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tables/table3.xml" ContentType="application/vnd.openxmlformats-officedocument.spreadsheetml.table+xml"/>
  <Override PartName="/xl/pivotTables/pivotTable2.xml" ContentType="application/vnd.openxmlformats-officedocument.spreadsheetml.pivotTable+xml"/>
  <Override PartName="/xl/drawings/drawing2.xml" ContentType="application/vnd.openxmlformats-officedocument.drawing+xml"/>
  <Override PartName="/xl/charts/chart2.xml" ContentType="application/vnd.openxmlformats-officedocument.drawingml.chart+xml"/>
  <Override PartName="/xl/pivotTables/pivotTable3.xml" ContentType="application/vnd.openxmlformats-officedocument.spreadsheetml.pivotTable+xml"/>
  <Override PartName="/xl/drawings/drawing3.xml" ContentType="application/vnd.openxmlformats-officedocument.drawing+xml"/>
  <Override PartName="/xl/tables/table4.xml" ContentType="application/vnd.openxmlformats-officedocument.spreadsheetml.table+xml"/>
  <Override PartName="/xl/charts/chart3.xml" ContentType="application/vnd.openxmlformats-officedocument.drawingml.chart+xml"/>
  <Override PartName="/xl/pivotTables/pivotTable4.xml" ContentType="application/vnd.openxmlformats-officedocument.spreadsheetml.pivotTable+xml"/>
  <Override PartName="/xl/drawings/drawing4.xml" ContentType="application/vnd.openxmlformats-officedocument.drawing+xml"/>
  <Override PartName="/xl/slicers/slicer1.xml" ContentType="application/vnd.ms-excel.slicer+xml"/>
  <Override PartName="/xl/charts/chart4.xml" ContentType="application/vnd.openxmlformats-officedocument.drawingml.chart+xml"/>
  <Override PartName="/xl/drawings/drawing5.xml" ContentType="application/vnd.openxmlformats-officedocument.drawingml.chartshapes+xml"/>
  <Override PartName="/xl/pivotTables/pivotTable5.xml" ContentType="application/vnd.openxmlformats-officedocument.spreadsheetml.pivotTable+xml"/>
  <Override PartName="/xl/drawings/drawing6.xml" ContentType="application/vnd.openxmlformats-officedocument.drawing+xml"/>
  <Override PartName="/xl/tables/table5.xml" ContentType="application/vnd.openxmlformats-officedocument.spreadsheetml.table+xml"/>
  <Override PartName="/xl/slicers/slicer2.xml" ContentType="application/vnd.ms-excel.slicer+xml"/>
  <Override PartName="/xl/charts/chart5.xml" ContentType="application/vnd.openxmlformats-officedocument.drawingml.chart+xml"/>
  <Override PartName="/xl/charts/chart6.xml" ContentType="application/vnd.openxmlformats-officedocument.drawingml.chart+xml"/>
  <Override PartName="/xl/pivotTables/pivotTable6.xml" ContentType="application/vnd.openxmlformats-officedocument.spreadsheetml.pivotTable+xml"/>
  <Override PartName="/xl/drawings/drawing7.xml" ContentType="application/vnd.openxmlformats-officedocument.drawing+xml"/>
  <Override PartName="/xl/tables/table6.xml" ContentType="application/vnd.openxmlformats-officedocument.spreadsheetml.table+xml"/>
  <Override PartName="/xl/slicers/slicer3.xml" ContentType="application/vnd.ms-excel.slicer+xml"/>
  <Override PartName="/xl/pivotTables/pivotTable7.xml" ContentType="application/vnd.openxmlformats-officedocument.spreadsheetml.pivotTable+xml"/>
  <Override PartName="/xl/drawings/drawing8.xml" ContentType="application/vnd.openxmlformats-officedocument.drawing+xml"/>
  <Override PartName="/xl/tables/table7.xml" ContentType="application/vnd.openxmlformats-officedocument.spreadsheetml.table+xml"/>
  <Override PartName="/xl/charts/chart7.xml" ContentType="application/vnd.openxmlformats-officedocument.drawingml.chart+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drawings/drawing9.xml" ContentType="application/vnd.openxmlformats-officedocument.drawing+xml"/>
  <Override PartName="/xl/charts/chart8.xml" ContentType="application/vnd.openxmlformats-officedocument.drawingml.chart+xml"/>
  <Override PartName="/xl/charts/style1.xml" ContentType="application/vnd.ms-office.chartstyle+xml"/>
  <Override PartName="/xl/charts/colors1.xml" ContentType="application/vnd.ms-office.chartcolorstyle+xml"/>
  <Override PartName="/xl/charts/chart9.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12.xml" ContentType="application/vnd.openxmlformats-officedocument.spreadsheetml.pivotTable+xml"/>
  <Override PartName="/xl/drawings/drawing10.xml" ContentType="application/vnd.openxmlformats-officedocument.drawing+xml"/>
  <Override PartName="/xl/tables/table8.xml" ContentType="application/vnd.openxmlformats-officedocument.spreadsheetml.table+xml"/>
  <Override PartName="/xl/tables/table9.xml" ContentType="application/vnd.openxmlformats-officedocument.spreadsheetml.table+xml"/>
  <Override PartName="/xl/charts/chart10.xml" ContentType="application/vnd.openxmlformats-officedocument.drawingml.chart+xml"/>
  <Override PartName="/xl/drawings/drawing11.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charts/chart11.xml" ContentType="application/vnd.openxmlformats-officedocument.drawingml.chart+xml"/>
  <Override PartName="/xl/pivotTables/pivotTable13.xml" ContentType="application/vnd.openxmlformats-officedocument.spreadsheetml.pivotTable+xml"/>
  <Override PartName="/xl/pivotTables/pivotTable14.xml" ContentType="application/vnd.openxmlformats-officedocument.spreadsheetml.pivotTable+xml"/>
  <Override PartName="/xl/drawings/drawing12.xml" ContentType="application/vnd.openxmlformats-officedocument.drawing+xml"/>
  <Override PartName="/xl/tables/table12.xml" ContentType="application/vnd.openxmlformats-officedocument.spreadsheetml.table+xml"/>
  <Override PartName="/xl/charts/chart12.xml" ContentType="application/vnd.openxmlformats-officedocument.drawingml.chart+xml"/>
  <Override PartName="/xl/charts/style3.xml" ContentType="application/vnd.ms-office.chartstyle+xml"/>
  <Override PartName="/xl/charts/colors3.xml" ContentType="application/vnd.ms-office.chartcolorstyle+xml"/>
  <Override PartName="/xl/tables/table1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hidePivotFieldList="1"/>
  <mc:AlternateContent xmlns:mc="http://schemas.openxmlformats.org/markup-compatibility/2006">
    <mc:Choice Requires="x15">
      <x15ac:absPath xmlns:x15ac="http://schemas.microsoft.com/office/spreadsheetml/2010/11/ac" url="C:\Users\Shreya\Desktop\"/>
    </mc:Choice>
  </mc:AlternateContent>
  <bookViews>
    <workbookView xWindow="0" yWindow="0" windowWidth="12000" windowHeight="4185" tabRatio="1000"/>
  </bookViews>
  <sheets>
    <sheet name="Raw data" sheetId="1" r:id="rId1"/>
    <sheet name="Indicators used" sheetId="44" r:id="rId2"/>
    <sheet name="Donor Attributes" sheetId="2" r:id="rId3"/>
    <sheet name="Overall scores and ranking" sheetId="4" r:id="rId4"/>
    <sheet name="Table of performance groups" sheetId="5" r:id="rId5"/>
    <sheet name="Comparison 2013 &amp; 2014" sheetId="9" r:id="rId6"/>
    <sheet name="Wtd - IATI vs Others" sheetId="12" r:id="rId7"/>
    <sheet name="Overall scores by indicator" sheetId="8" r:id="rId8"/>
    <sheet name="Summary - indicator results" sheetId="13" r:id="rId9"/>
    <sheet name="Format by indicator" sheetId="16" r:id="rId10"/>
    <sheet name="Format by donor" sheetId="19" r:id="rId11"/>
    <sheet name="Documents by donor" sheetId="27" r:id="rId12"/>
    <sheet name="Weighted scores -3 categories" sheetId="20" r:id="rId13"/>
    <sheet name="Category &amp; Ind. Group" sheetId="42" r:id="rId14"/>
    <sheet name="Wtd scores by sub-groups" sheetId="22" r:id="rId15"/>
    <sheet name="Pivot total scores - sub-groups" sheetId="23" r:id="rId16"/>
    <sheet name="% scores - sub-groups" sheetId="24" r:id="rId17"/>
    <sheet name="Sub-groups by performance cat." sheetId="25" r:id="rId18"/>
    <sheet name="Weighted scores by indicator" sheetId="15" r:id="rId19"/>
    <sheet name="Bilaterals" sheetId="28" r:id="rId20"/>
    <sheet name="Multilaterals" sheetId="29" r:id="rId21"/>
    <sheet name="Donor size data" sheetId="38" r:id="rId22"/>
    <sheet name="2013 ATI summary data" sheetId="10" r:id="rId23"/>
  </sheets>
  <externalReferences>
    <externalReference r:id="rId24"/>
  </externalReferences>
  <definedNames>
    <definedName name="_xlnm._FilterDatabase" localSheetId="16" hidden="1">'% scores - sub-groups'!$A$3:$J$71</definedName>
    <definedName name="_xlnm._FilterDatabase" localSheetId="11" hidden="1">'Documents by donor'!$N$6:$N$74</definedName>
    <definedName name="_xlnm._FilterDatabase" localSheetId="21" hidden="1">'Donor size data'!$A$3:$G$71</definedName>
    <definedName name="_xlnm._FilterDatabase" localSheetId="3" hidden="1">'Overall scores and ranking'!$A$3:$D$71</definedName>
    <definedName name="_xlnm._FilterDatabase" localSheetId="7" hidden="1">'Overall scores by indicator'!$A$3:$AO$78</definedName>
    <definedName name="_xlnm._FilterDatabase" localSheetId="0" hidden="1">'Raw data'!$B$1:$B$2653</definedName>
    <definedName name="_xlnm._FilterDatabase" localSheetId="18" hidden="1">'Weighted scores by indicator'!$A$3:$AO$74</definedName>
    <definedName name="_xlnm._FilterDatabase" localSheetId="14" hidden="1">'Wtd scores by sub-groups'!$A$4:$K$75</definedName>
    <definedName name="Slicer_indicator_name">#N/A</definedName>
    <definedName name="Slicer_indicator_name1">#N/A</definedName>
    <definedName name="Slicer_total_points">#N/A</definedName>
    <definedName name="Slicer_total_points1">#N/A</definedName>
  </definedNames>
  <calcPr calcId="152511"/>
  <pivotCaches>
    <pivotCache cacheId="1" r:id="rId25"/>
    <pivotCache cacheId="2" r:id="rId26"/>
    <pivotCache cacheId="3" r:id="rId27"/>
    <pivotCache cacheId="4" r:id="rId28"/>
  </pivotCaches>
  <fileRecoveryPr repairLoad="1"/>
  <extLst>
    <ext xmlns:x14="http://schemas.microsoft.com/office/spreadsheetml/2009/9/main" uri="{BBE1A952-AA13-448e-AADC-164F8A28A991}">
      <x14:slicerCaches>
        <x14:slicerCache r:id="rId29"/>
        <x14:slicerCache r:id="rId30"/>
        <x14:slicerCache r:id="rId31"/>
        <x14:slicerCache r:id="rId32"/>
      </x14:slicerCaches>
    </ext>
    <ext xmlns:x14="http://schemas.microsoft.com/office/spreadsheetml/2009/9/main" uri="{79F54976-1DA5-4618-B147-4CDE4B953A38}">
      <x14:workbookPr/>
    </ext>
  </extLst>
</workbook>
</file>

<file path=xl/calcChain.xml><?xml version="1.0" encoding="utf-8"?>
<calcChain xmlns="http://schemas.openxmlformats.org/spreadsheetml/2006/main">
  <c r="F71" i="38" l="1"/>
  <c r="F70" i="38"/>
  <c r="F69" i="38"/>
  <c r="F68" i="38"/>
  <c r="F67" i="38"/>
  <c r="F66" i="38"/>
  <c r="F65" i="38"/>
  <c r="F64" i="38"/>
  <c r="F63" i="38"/>
  <c r="F62" i="38"/>
  <c r="F61" i="38"/>
  <c r="F60" i="38"/>
  <c r="F59" i="38"/>
  <c r="F58" i="38"/>
  <c r="F57" i="38"/>
  <c r="F56" i="38"/>
  <c r="F55" i="38"/>
  <c r="F54" i="38"/>
  <c r="F53" i="38"/>
  <c r="F52" i="38"/>
  <c r="F51" i="38"/>
  <c r="F50" i="38"/>
  <c r="F49" i="38"/>
  <c r="F48" i="38"/>
  <c r="F47" i="38"/>
  <c r="F46" i="38"/>
  <c r="F45" i="38"/>
  <c r="F44" i="38"/>
  <c r="F43" i="38"/>
  <c r="F42" i="38"/>
  <c r="F41" i="38"/>
  <c r="F40" i="38"/>
  <c r="F39" i="38"/>
  <c r="F38" i="38"/>
  <c r="F37" i="38"/>
  <c r="F36" i="38"/>
  <c r="F35" i="38"/>
  <c r="F34" i="38"/>
  <c r="F33" i="38"/>
  <c r="F32" i="38"/>
  <c r="F31" i="38"/>
  <c r="F30" i="38"/>
  <c r="F29" i="38"/>
  <c r="F28" i="38"/>
  <c r="F27" i="38"/>
  <c r="F26" i="38"/>
  <c r="F25" i="38"/>
  <c r="F24" i="38"/>
  <c r="F23" i="38"/>
  <c r="F22" i="38"/>
  <c r="F21" i="38"/>
  <c r="F20" i="38"/>
  <c r="F19" i="38"/>
  <c r="F18" i="38"/>
  <c r="F17" i="38"/>
  <c r="F16" i="38"/>
  <c r="F15" i="38"/>
  <c r="F14" i="38"/>
  <c r="F13" i="38"/>
  <c r="F12" i="38"/>
  <c r="F11" i="38"/>
  <c r="F10" i="38"/>
  <c r="F9" i="38"/>
  <c r="F8" i="38"/>
  <c r="F7" i="38"/>
  <c r="F6" i="38"/>
  <c r="F5" i="38"/>
  <c r="F4" i="38"/>
  <c r="I9" i="25" l="1"/>
  <c r="H9" i="25"/>
  <c r="G9" i="25"/>
  <c r="F9" i="25"/>
  <c r="E9" i="25"/>
  <c r="D9" i="25"/>
  <c r="C9" i="25"/>
  <c r="B9" i="25"/>
  <c r="I5" i="24" l="1"/>
  <c r="I6" i="24"/>
  <c r="I7" i="24"/>
  <c r="I8" i="24"/>
  <c r="I9" i="24"/>
  <c r="I10" i="24"/>
  <c r="I11" i="24"/>
  <c r="I12" i="24"/>
  <c r="I13" i="24"/>
  <c r="I14" i="24"/>
  <c r="I15" i="24"/>
  <c r="I16" i="24"/>
  <c r="I17" i="24"/>
  <c r="I18" i="24"/>
  <c r="I19" i="24"/>
  <c r="I20" i="24"/>
  <c r="I21" i="24"/>
  <c r="I22" i="24"/>
  <c r="I23" i="24"/>
  <c r="I24" i="24"/>
  <c r="I25" i="24"/>
  <c r="I26" i="24"/>
  <c r="I27" i="24"/>
  <c r="I28" i="24"/>
  <c r="I29" i="24"/>
  <c r="I30" i="24"/>
  <c r="I31" i="24"/>
  <c r="I32" i="24"/>
  <c r="I33" i="24"/>
  <c r="I34" i="24"/>
  <c r="I35" i="24"/>
  <c r="I36" i="24"/>
  <c r="I37" i="24"/>
  <c r="I38" i="24"/>
  <c r="I39" i="24"/>
  <c r="I40" i="24"/>
  <c r="I41" i="24"/>
  <c r="I42" i="24"/>
  <c r="I43" i="24"/>
  <c r="I44" i="24"/>
  <c r="I45" i="24"/>
  <c r="I46" i="24"/>
  <c r="I47" i="24"/>
  <c r="I48" i="24"/>
  <c r="I49" i="24"/>
  <c r="I50" i="24"/>
  <c r="I51" i="24"/>
  <c r="I52" i="24"/>
  <c r="I53" i="24"/>
  <c r="I54" i="24"/>
  <c r="I55" i="24"/>
  <c r="I56" i="24"/>
  <c r="I57" i="24"/>
  <c r="I58" i="24"/>
  <c r="I59" i="24"/>
  <c r="I60" i="24"/>
  <c r="I61" i="24"/>
  <c r="I62" i="24"/>
  <c r="I63" i="24"/>
  <c r="I64" i="24"/>
  <c r="I65" i="24"/>
  <c r="I66" i="24"/>
  <c r="I67" i="24"/>
  <c r="I68" i="24"/>
  <c r="I69" i="24"/>
  <c r="I70" i="24"/>
  <c r="I71" i="24"/>
  <c r="I4" i="24"/>
  <c r="H5" i="24"/>
  <c r="H6" i="24"/>
  <c r="H7" i="24"/>
  <c r="H8" i="24"/>
  <c r="H9" i="24"/>
  <c r="H10" i="24"/>
  <c r="H11" i="24"/>
  <c r="H12" i="24"/>
  <c r="H13" i="24"/>
  <c r="H14" i="24"/>
  <c r="H15" i="24"/>
  <c r="H16" i="24"/>
  <c r="H17" i="24"/>
  <c r="H18" i="24"/>
  <c r="H19" i="24"/>
  <c r="H20" i="24"/>
  <c r="H21" i="24"/>
  <c r="H22" i="24"/>
  <c r="H23" i="24"/>
  <c r="H24" i="24"/>
  <c r="H25" i="24"/>
  <c r="H26" i="24"/>
  <c r="H27" i="24"/>
  <c r="H28" i="24"/>
  <c r="H29" i="24"/>
  <c r="H30" i="24"/>
  <c r="H31" i="24"/>
  <c r="H32" i="24"/>
  <c r="H33" i="24"/>
  <c r="H34" i="24"/>
  <c r="H35" i="24"/>
  <c r="H36" i="24"/>
  <c r="H37" i="24"/>
  <c r="H38" i="24"/>
  <c r="H39" i="24"/>
  <c r="H40" i="24"/>
  <c r="H41" i="24"/>
  <c r="H42" i="24"/>
  <c r="H43" i="24"/>
  <c r="H44" i="24"/>
  <c r="H45" i="24"/>
  <c r="H46" i="24"/>
  <c r="H47" i="24"/>
  <c r="H48" i="24"/>
  <c r="H49" i="24"/>
  <c r="H50" i="24"/>
  <c r="H51" i="24"/>
  <c r="H52" i="24"/>
  <c r="H53" i="24"/>
  <c r="H54" i="24"/>
  <c r="H55" i="24"/>
  <c r="H56" i="24"/>
  <c r="H57" i="24"/>
  <c r="H58" i="24"/>
  <c r="H59" i="24"/>
  <c r="H60" i="24"/>
  <c r="H61" i="24"/>
  <c r="H62" i="24"/>
  <c r="H63" i="24"/>
  <c r="H64" i="24"/>
  <c r="H65" i="24"/>
  <c r="H66" i="24"/>
  <c r="H67" i="24"/>
  <c r="H68" i="24"/>
  <c r="H69" i="24"/>
  <c r="H70" i="24"/>
  <c r="H71" i="24"/>
  <c r="H4" i="24"/>
  <c r="G5" i="24"/>
  <c r="G6" i="24"/>
  <c r="G7" i="24"/>
  <c r="G8" i="24"/>
  <c r="G9" i="24"/>
  <c r="G10" i="24"/>
  <c r="G11" i="24"/>
  <c r="G12" i="24"/>
  <c r="G13" i="24"/>
  <c r="G14" i="24"/>
  <c r="G15" i="24"/>
  <c r="G16" i="24"/>
  <c r="G17" i="24"/>
  <c r="G18" i="24"/>
  <c r="G19" i="24"/>
  <c r="G20" i="24"/>
  <c r="G21" i="24"/>
  <c r="G22" i="24"/>
  <c r="G23" i="24"/>
  <c r="G24" i="24"/>
  <c r="G25" i="24"/>
  <c r="G26" i="24"/>
  <c r="G27" i="24"/>
  <c r="G28" i="24"/>
  <c r="G29" i="24"/>
  <c r="G30" i="24"/>
  <c r="G31" i="24"/>
  <c r="G32" i="24"/>
  <c r="G33" i="24"/>
  <c r="G34" i="24"/>
  <c r="G35" i="24"/>
  <c r="G36" i="24"/>
  <c r="G37" i="24"/>
  <c r="G38" i="24"/>
  <c r="G39" i="24"/>
  <c r="G40" i="24"/>
  <c r="G41" i="24"/>
  <c r="G42" i="24"/>
  <c r="G43" i="24"/>
  <c r="G44" i="24"/>
  <c r="G45" i="24"/>
  <c r="G46" i="24"/>
  <c r="G47" i="24"/>
  <c r="G48" i="24"/>
  <c r="G49" i="24"/>
  <c r="G50" i="24"/>
  <c r="G51" i="24"/>
  <c r="G52" i="24"/>
  <c r="G53" i="24"/>
  <c r="G54" i="24"/>
  <c r="G55" i="24"/>
  <c r="G56" i="24"/>
  <c r="G57" i="24"/>
  <c r="G58" i="24"/>
  <c r="G59" i="24"/>
  <c r="G60" i="24"/>
  <c r="G61" i="24"/>
  <c r="G62" i="24"/>
  <c r="G63" i="24"/>
  <c r="G64" i="24"/>
  <c r="G65" i="24"/>
  <c r="G66" i="24"/>
  <c r="G67" i="24"/>
  <c r="G68" i="24"/>
  <c r="G69" i="24"/>
  <c r="G70" i="24"/>
  <c r="G71" i="24"/>
  <c r="G4" i="24"/>
  <c r="F5" i="24"/>
  <c r="F6" i="24"/>
  <c r="F7" i="24"/>
  <c r="F8" i="24"/>
  <c r="F9" i="24"/>
  <c r="F10" i="24"/>
  <c r="F11" i="24"/>
  <c r="F12" i="24"/>
  <c r="F13" i="24"/>
  <c r="F14" i="24"/>
  <c r="F15" i="24"/>
  <c r="F16" i="24"/>
  <c r="F17" i="24"/>
  <c r="F18" i="24"/>
  <c r="F19" i="24"/>
  <c r="F20" i="24"/>
  <c r="F21" i="24"/>
  <c r="F22" i="24"/>
  <c r="F23" i="24"/>
  <c r="F24" i="24"/>
  <c r="F25" i="24"/>
  <c r="F26" i="24"/>
  <c r="F27" i="24"/>
  <c r="F28" i="24"/>
  <c r="F29" i="24"/>
  <c r="F30" i="24"/>
  <c r="F31" i="24"/>
  <c r="F32" i="24"/>
  <c r="F33" i="24"/>
  <c r="F34" i="24"/>
  <c r="F35" i="24"/>
  <c r="F36" i="24"/>
  <c r="F37" i="24"/>
  <c r="F38" i="24"/>
  <c r="F39" i="24"/>
  <c r="F40" i="24"/>
  <c r="F41" i="24"/>
  <c r="F42" i="24"/>
  <c r="F43" i="24"/>
  <c r="F44" i="24"/>
  <c r="F45" i="24"/>
  <c r="F46" i="24"/>
  <c r="F47" i="24"/>
  <c r="F48" i="24"/>
  <c r="F49" i="24"/>
  <c r="F50" i="24"/>
  <c r="F51" i="24"/>
  <c r="F52" i="24"/>
  <c r="F53" i="24"/>
  <c r="F54" i="24"/>
  <c r="F55" i="24"/>
  <c r="F56" i="24"/>
  <c r="F57" i="24"/>
  <c r="F58" i="24"/>
  <c r="F59" i="24"/>
  <c r="F60" i="24"/>
  <c r="F61" i="24"/>
  <c r="F62" i="24"/>
  <c r="F63" i="24"/>
  <c r="F64" i="24"/>
  <c r="F65" i="24"/>
  <c r="F66" i="24"/>
  <c r="F67" i="24"/>
  <c r="F68" i="24"/>
  <c r="F69" i="24"/>
  <c r="F70" i="24"/>
  <c r="F71" i="24"/>
  <c r="F4" i="24"/>
  <c r="E5" i="24"/>
  <c r="E6" i="24"/>
  <c r="E7" i="24"/>
  <c r="E8" i="24"/>
  <c r="E9" i="24"/>
  <c r="E10" i="24"/>
  <c r="E11" i="24"/>
  <c r="E12" i="24"/>
  <c r="E13" i="24"/>
  <c r="E14" i="24"/>
  <c r="E15" i="24"/>
  <c r="E16" i="24"/>
  <c r="E17" i="24"/>
  <c r="E18" i="24"/>
  <c r="E19" i="24"/>
  <c r="E20" i="24"/>
  <c r="E21" i="24"/>
  <c r="E22" i="24"/>
  <c r="E23" i="24"/>
  <c r="E24" i="24"/>
  <c r="E25" i="24"/>
  <c r="E26" i="24"/>
  <c r="E27" i="24"/>
  <c r="E28" i="24"/>
  <c r="E29" i="24"/>
  <c r="E30" i="24"/>
  <c r="E31" i="24"/>
  <c r="E32" i="24"/>
  <c r="E33" i="24"/>
  <c r="E34" i="24"/>
  <c r="E35" i="24"/>
  <c r="E36" i="24"/>
  <c r="E37" i="24"/>
  <c r="E38" i="24"/>
  <c r="E39" i="24"/>
  <c r="E40" i="24"/>
  <c r="E41" i="24"/>
  <c r="E42" i="24"/>
  <c r="E43" i="24"/>
  <c r="E44" i="24"/>
  <c r="E45" i="24"/>
  <c r="E46" i="24"/>
  <c r="E47" i="24"/>
  <c r="E48" i="24"/>
  <c r="E49" i="24"/>
  <c r="E50" i="24"/>
  <c r="E51" i="24"/>
  <c r="E52" i="24"/>
  <c r="E53" i="24"/>
  <c r="E54" i="24"/>
  <c r="E55" i="24"/>
  <c r="E56" i="24"/>
  <c r="E57" i="24"/>
  <c r="E58" i="24"/>
  <c r="E59" i="24"/>
  <c r="E60" i="24"/>
  <c r="E61" i="24"/>
  <c r="E62" i="24"/>
  <c r="E63" i="24"/>
  <c r="E64" i="24"/>
  <c r="E65" i="24"/>
  <c r="E66" i="24"/>
  <c r="E67" i="24"/>
  <c r="E68" i="24"/>
  <c r="E69" i="24"/>
  <c r="E70" i="24"/>
  <c r="E71" i="24"/>
  <c r="E4" i="24"/>
  <c r="D5" i="24"/>
  <c r="D6" i="24"/>
  <c r="D7" i="24"/>
  <c r="D8" i="24"/>
  <c r="D9" i="24"/>
  <c r="D10" i="24"/>
  <c r="D11" i="24"/>
  <c r="D12" i="24"/>
  <c r="D13" i="24"/>
  <c r="D14" i="24"/>
  <c r="D15" i="24"/>
  <c r="D16" i="24"/>
  <c r="D17" i="24"/>
  <c r="D18" i="24"/>
  <c r="D19" i="24"/>
  <c r="D20" i="24"/>
  <c r="D21" i="24"/>
  <c r="D22" i="24"/>
  <c r="D23" i="24"/>
  <c r="D24" i="24"/>
  <c r="D25" i="24"/>
  <c r="D26" i="24"/>
  <c r="D27" i="24"/>
  <c r="D28" i="24"/>
  <c r="D29" i="24"/>
  <c r="D30" i="24"/>
  <c r="D31" i="24"/>
  <c r="D32" i="24"/>
  <c r="D33" i="24"/>
  <c r="D34" i="24"/>
  <c r="D35" i="24"/>
  <c r="D36" i="24"/>
  <c r="D37" i="24"/>
  <c r="D38" i="24"/>
  <c r="D39" i="24"/>
  <c r="D40" i="24"/>
  <c r="D41" i="24"/>
  <c r="D42" i="24"/>
  <c r="D43" i="24"/>
  <c r="D44" i="24"/>
  <c r="D45" i="24"/>
  <c r="D46" i="24"/>
  <c r="D47" i="24"/>
  <c r="D48" i="24"/>
  <c r="D49" i="24"/>
  <c r="D50" i="24"/>
  <c r="D51" i="24"/>
  <c r="D52" i="24"/>
  <c r="D53" i="24"/>
  <c r="D54" i="24"/>
  <c r="D55" i="24"/>
  <c r="D56" i="24"/>
  <c r="D57" i="24"/>
  <c r="D58" i="24"/>
  <c r="D59" i="24"/>
  <c r="D60" i="24"/>
  <c r="D61" i="24"/>
  <c r="D62" i="24"/>
  <c r="D63" i="24"/>
  <c r="D64" i="24"/>
  <c r="D65" i="24"/>
  <c r="D66" i="24"/>
  <c r="D67" i="24"/>
  <c r="D68" i="24"/>
  <c r="D69" i="24"/>
  <c r="D70" i="24"/>
  <c r="D71" i="24"/>
  <c r="D4" i="24"/>
  <c r="C5" i="24"/>
  <c r="C6" i="24"/>
  <c r="C7" i="24"/>
  <c r="C8" i="24"/>
  <c r="C9" i="24"/>
  <c r="C10" i="24"/>
  <c r="C11" i="24"/>
  <c r="C12" i="24"/>
  <c r="C13" i="24"/>
  <c r="C14" i="24"/>
  <c r="C15" i="24"/>
  <c r="C16" i="24"/>
  <c r="C17" i="24"/>
  <c r="C18" i="24"/>
  <c r="C19" i="24"/>
  <c r="C20" i="24"/>
  <c r="C21" i="24"/>
  <c r="C22" i="24"/>
  <c r="C23" i="24"/>
  <c r="C24" i="24"/>
  <c r="C25" i="24"/>
  <c r="C26" i="24"/>
  <c r="C27" i="24"/>
  <c r="C28" i="24"/>
  <c r="C29" i="24"/>
  <c r="C30" i="24"/>
  <c r="C31" i="24"/>
  <c r="C32" i="24"/>
  <c r="C33" i="24"/>
  <c r="C34" i="24"/>
  <c r="C35" i="24"/>
  <c r="C36" i="24"/>
  <c r="C37" i="24"/>
  <c r="C38" i="24"/>
  <c r="C39" i="24"/>
  <c r="C40" i="24"/>
  <c r="C41" i="24"/>
  <c r="C42" i="24"/>
  <c r="C43" i="24"/>
  <c r="C44" i="24"/>
  <c r="C45" i="24"/>
  <c r="C46" i="24"/>
  <c r="C47" i="24"/>
  <c r="C48" i="24"/>
  <c r="C49" i="24"/>
  <c r="C50" i="24"/>
  <c r="C51" i="24"/>
  <c r="C52" i="24"/>
  <c r="C53" i="24"/>
  <c r="C54" i="24"/>
  <c r="C55" i="24"/>
  <c r="C56" i="24"/>
  <c r="C57" i="24"/>
  <c r="C58" i="24"/>
  <c r="C59" i="24"/>
  <c r="C60" i="24"/>
  <c r="C61" i="24"/>
  <c r="C62" i="24"/>
  <c r="C63" i="24"/>
  <c r="C64" i="24"/>
  <c r="C65" i="24"/>
  <c r="C66" i="24"/>
  <c r="C67" i="24"/>
  <c r="C68" i="24"/>
  <c r="C69" i="24"/>
  <c r="C70" i="24"/>
  <c r="C71" i="24"/>
  <c r="C4" i="24"/>
  <c r="B5" i="24"/>
  <c r="B6" i="24"/>
  <c r="B7" i="24"/>
  <c r="B8" i="24"/>
  <c r="B9" i="24"/>
  <c r="B10" i="24"/>
  <c r="B11" i="24"/>
  <c r="B12" i="24"/>
  <c r="B13" i="24"/>
  <c r="B14" i="24"/>
  <c r="B15" i="24"/>
  <c r="B16" i="24"/>
  <c r="B17" i="24"/>
  <c r="B18" i="24"/>
  <c r="B19" i="24"/>
  <c r="B20" i="24"/>
  <c r="B21" i="24"/>
  <c r="B22" i="24"/>
  <c r="B23" i="24"/>
  <c r="B24" i="24"/>
  <c r="B25" i="24"/>
  <c r="B26" i="24"/>
  <c r="B27" i="24"/>
  <c r="B28" i="24"/>
  <c r="B29" i="24"/>
  <c r="B30" i="24"/>
  <c r="B31" i="24"/>
  <c r="B32" i="24"/>
  <c r="B33" i="24"/>
  <c r="B34" i="24"/>
  <c r="B35" i="24"/>
  <c r="B36" i="24"/>
  <c r="B37" i="24"/>
  <c r="B38" i="24"/>
  <c r="B39" i="24"/>
  <c r="B40" i="24"/>
  <c r="B41" i="24"/>
  <c r="B42" i="24"/>
  <c r="B43" i="24"/>
  <c r="B44" i="24"/>
  <c r="B45" i="24"/>
  <c r="B46" i="24"/>
  <c r="B47" i="24"/>
  <c r="B48" i="24"/>
  <c r="B49" i="24"/>
  <c r="B50" i="24"/>
  <c r="B51" i="24"/>
  <c r="B52" i="24"/>
  <c r="B53" i="24"/>
  <c r="B54" i="24"/>
  <c r="B55" i="24"/>
  <c r="B56" i="24"/>
  <c r="B57" i="24"/>
  <c r="B58" i="24"/>
  <c r="B59" i="24"/>
  <c r="B60" i="24"/>
  <c r="B61" i="24"/>
  <c r="B62" i="24"/>
  <c r="B63" i="24"/>
  <c r="B64" i="24"/>
  <c r="B65" i="24"/>
  <c r="B66" i="24"/>
  <c r="B67" i="24"/>
  <c r="B68" i="24"/>
  <c r="B69" i="24"/>
  <c r="B70" i="24"/>
  <c r="B71" i="24"/>
  <c r="B4" i="24"/>
  <c r="C24" i="28"/>
  <c r="D24" i="28"/>
  <c r="F24" i="28"/>
  <c r="G24" i="28"/>
  <c r="H24" i="28"/>
  <c r="I24" i="28"/>
  <c r="J24" i="28"/>
  <c r="K24" i="28"/>
  <c r="L24" i="28"/>
  <c r="M24" i="28"/>
  <c r="N24" i="28"/>
  <c r="O24" i="28"/>
  <c r="P24" i="28"/>
  <c r="Q24" i="28"/>
  <c r="R24" i="28"/>
  <c r="S24" i="28"/>
  <c r="T24" i="28"/>
  <c r="U24" i="28"/>
  <c r="V24" i="28"/>
  <c r="W24" i="28"/>
  <c r="X24" i="28"/>
  <c r="Y24" i="28"/>
  <c r="Z24" i="28"/>
  <c r="AA24" i="28"/>
  <c r="AB24" i="28"/>
  <c r="AC24" i="28"/>
  <c r="AD24" i="28"/>
  <c r="AE24" i="28"/>
  <c r="AF24" i="28"/>
  <c r="AG24" i="28"/>
  <c r="AH24" i="28"/>
  <c r="AI24" i="28"/>
  <c r="AJ24" i="28"/>
  <c r="AK24" i="28"/>
  <c r="AL24" i="28"/>
  <c r="AM24" i="28"/>
  <c r="AN24" i="28"/>
  <c r="AO24" i="28"/>
  <c r="AP24" i="28"/>
  <c r="AQ24" i="28"/>
  <c r="AR24" i="28"/>
  <c r="AS24" i="28"/>
  <c r="AT24" i="28"/>
  <c r="AU24" i="28"/>
  <c r="AV24" i="28"/>
  <c r="AW24" i="28"/>
  <c r="AX24" i="28"/>
  <c r="AY24" i="28"/>
  <c r="AZ24" i="28"/>
  <c r="BA24" i="28"/>
  <c r="BB24" i="28"/>
  <c r="BC24" i="28"/>
  <c r="BE24" i="28" l="1"/>
  <c r="BD24" i="28"/>
  <c r="BG24" i="28" s="1"/>
  <c r="B72" i="4" l="1"/>
  <c r="M73" i="20" l="1"/>
  <c r="M74" i="20"/>
  <c r="C71" i="9" l="1"/>
  <c r="C70" i="9"/>
  <c r="C69" i="9"/>
  <c r="C68" i="9"/>
  <c r="C67" i="9"/>
  <c r="C66" i="9"/>
  <c r="C65" i="9"/>
  <c r="C64" i="9"/>
  <c r="C63" i="9"/>
  <c r="C62" i="9"/>
  <c r="C61" i="9"/>
  <c r="C60" i="9"/>
  <c r="C58" i="9"/>
  <c r="C57" i="9"/>
  <c r="C56" i="9"/>
  <c r="C55" i="9"/>
  <c r="C54" i="9"/>
  <c r="C53" i="9"/>
  <c r="C52" i="9"/>
  <c r="C51" i="9"/>
  <c r="C50" i="9"/>
  <c r="C49" i="9"/>
  <c r="C48" i="9"/>
  <c r="C47" i="9"/>
  <c r="C46" i="9"/>
  <c r="C45" i="9"/>
  <c r="C44" i="9"/>
  <c r="C43" i="9"/>
  <c r="C42" i="9"/>
  <c r="C41" i="9"/>
  <c r="C40" i="9"/>
  <c r="C39" i="9"/>
  <c r="C38" i="9"/>
  <c r="C37" i="9"/>
  <c r="C36" i="9"/>
  <c r="C35" i="9"/>
  <c r="C34" i="9"/>
  <c r="C33" i="9"/>
  <c r="C32" i="9"/>
  <c r="C31" i="9"/>
  <c r="C30" i="9"/>
  <c r="C29" i="9"/>
  <c r="C28" i="9"/>
  <c r="C27" i="9"/>
  <c r="C26" i="9"/>
  <c r="C25" i="9"/>
  <c r="C24" i="9"/>
  <c r="C23" i="9"/>
  <c r="C22" i="9"/>
  <c r="C21" i="9"/>
  <c r="C20" i="9"/>
  <c r="C19" i="9"/>
  <c r="C18" i="9"/>
  <c r="C17" i="9"/>
  <c r="C16" i="9"/>
  <c r="C15" i="9"/>
  <c r="C14" i="9"/>
  <c r="C13" i="9"/>
  <c r="C12" i="9"/>
  <c r="C11" i="9"/>
  <c r="C10" i="9"/>
  <c r="C9" i="9"/>
  <c r="C8" i="9"/>
  <c r="C7" i="9"/>
  <c r="C6" i="9"/>
  <c r="C5" i="9"/>
  <c r="F20" i="5"/>
  <c r="F19" i="5"/>
  <c r="H19" i="5" l="1"/>
  <c r="H18" i="5" l="1"/>
  <c r="H17" i="5"/>
  <c r="H16" i="5"/>
  <c r="H15" i="5"/>
  <c r="H14" i="5"/>
  <c r="H13" i="5"/>
  <c r="H12" i="5"/>
  <c r="H11" i="5"/>
  <c r="H10" i="5"/>
  <c r="H9" i="5"/>
  <c r="H8" i="5"/>
  <c r="H77" i="38" l="1"/>
  <c r="H78" i="38"/>
  <c r="H79" i="38"/>
  <c r="H80" i="38"/>
  <c r="H76" i="38"/>
  <c r="N68" i="27"/>
  <c r="N74" i="27"/>
  <c r="I77" i="22"/>
  <c r="H77" i="22"/>
  <c r="G77" i="22"/>
  <c r="F77" i="22"/>
  <c r="E77" i="22"/>
  <c r="D77" i="22"/>
  <c r="C77" i="22"/>
  <c r="B77" i="22"/>
  <c r="C4" i="9" l="1"/>
  <c r="F18" i="5"/>
  <c r="D5" i="5"/>
  <c r="D6" i="5"/>
  <c r="D7" i="5"/>
  <c r="D8" i="5"/>
  <c r="D9" i="5"/>
  <c r="D10" i="5"/>
  <c r="D11" i="5"/>
  <c r="D12" i="5"/>
  <c r="D28" i="5" l="1"/>
  <c r="C81" i="9"/>
  <c r="Z3" i="2" l="1"/>
  <c r="Z4" i="2"/>
  <c r="Z5" i="2"/>
  <c r="Z6" i="2"/>
  <c r="Z7" i="2"/>
  <c r="Z8" i="2"/>
  <c r="Z9" i="2"/>
  <c r="Z10" i="2"/>
  <c r="Z11" i="2"/>
  <c r="Z12" i="2"/>
  <c r="Z13" i="2"/>
  <c r="Z14" i="2"/>
  <c r="Z15" i="2"/>
  <c r="Z16" i="2"/>
  <c r="Z17" i="2"/>
  <c r="Z18" i="2"/>
  <c r="Z19" i="2"/>
  <c r="Z20" i="2"/>
  <c r="Z21" i="2"/>
  <c r="Z22" i="2"/>
  <c r="Z23" i="2"/>
  <c r="Z24" i="2"/>
  <c r="Z25" i="2"/>
  <c r="Z26" i="2"/>
  <c r="Z27" i="2"/>
  <c r="Z28" i="2"/>
  <c r="Z29" i="2"/>
  <c r="Z30" i="2"/>
  <c r="Z31" i="2"/>
  <c r="Z32" i="2"/>
  <c r="Z33" i="2"/>
  <c r="Z34" i="2"/>
  <c r="Z35" i="2"/>
  <c r="Z36" i="2"/>
  <c r="Z37" i="2"/>
  <c r="Z38" i="2"/>
  <c r="Z39" i="2"/>
  <c r="Z40" i="2"/>
  <c r="Z41" i="2"/>
  <c r="Z42" i="2"/>
  <c r="Z43" i="2"/>
  <c r="Z44" i="2"/>
  <c r="Z45" i="2"/>
  <c r="Z46" i="2"/>
  <c r="Z47" i="2"/>
  <c r="Z48" i="2"/>
  <c r="Z49" i="2"/>
  <c r="Z50" i="2"/>
  <c r="Z51" i="2"/>
  <c r="Z52" i="2"/>
  <c r="Z53" i="2"/>
  <c r="Z54" i="2"/>
  <c r="Z55" i="2"/>
  <c r="Z56" i="2"/>
  <c r="Z57" i="2"/>
  <c r="Z58" i="2"/>
  <c r="Z59" i="2"/>
  <c r="Z60" i="2"/>
  <c r="Z61" i="2"/>
  <c r="Z62" i="2"/>
  <c r="Z63" i="2"/>
  <c r="Z64" i="2"/>
  <c r="Z65" i="2"/>
  <c r="Z66" i="2"/>
  <c r="Z67" i="2"/>
  <c r="Z68" i="2"/>
  <c r="Z69" i="2"/>
  <c r="E71" i="38"/>
  <c r="D71" i="38"/>
  <c r="E70" i="38"/>
  <c r="D70" i="38"/>
  <c r="E69" i="38"/>
  <c r="D69" i="38"/>
  <c r="E68" i="38"/>
  <c r="D68" i="38"/>
  <c r="E67" i="38"/>
  <c r="D67" i="38"/>
  <c r="E66" i="38"/>
  <c r="D66" i="38"/>
  <c r="E65" i="38"/>
  <c r="D65" i="38"/>
  <c r="E64" i="38"/>
  <c r="D64" i="38"/>
  <c r="E63" i="38"/>
  <c r="D63" i="38"/>
  <c r="E62" i="38"/>
  <c r="D62" i="38"/>
  <c r="E61" i="38"/>
  <c r="D61" i="38"/>
  <c r="E60" i="38"/>
  <c r="D60" i="38"/>
  <c r="E59" i="38"/>
  <c r="D59" i="38"/>
  <c r="E58" i="38"/>
  <c r="D58" i="38"/>
  <c r="E57" i="38"/>
  <c r="D57" i="38"/>
  <c r="E56" i="38"/>
  <c r="D56" i="38"/>
  <c r="E55" i="38"/>
  <c r="D55" i="38"/>
  <c r="E54" i="38"/>
  <c r="D54" i="38"/>
  <c r="E53" i="38"/>
  <c r="D53" i="38"/>
  <c r="E52" i="38"/>
  <c r="D52" i="38"/>
  <c r="E51" i="38"/>
  <c r="D51" i="38"/>
  <c r="E50" i="38"/>
  <c r="D50" i="38"/>
  <c r="E49" i="38"/>
  <c r="D49" i="38"/>
  <c r="E48" i="38"/>
  <c r="D48" i="38"/>
  <c r="E47" i="38"/>
  <c r="D47" i="38"/>
  <c r="E46" i="38"/>
  <c r="D46" i="38"/>
  <c r="E45" i="38"/>
  <c r="D45" i="38"/>
  <c r="E44" i="38"/>
  <c r="D44" i="38"/>
  <c r="E43" i="38"/>
  <c r="D43" i="38"/>
  <c r="E42" i="38"/>
  <c r="D42" i="38"/>
  <c r="E41" i="38"/>
  <c r="D41" i="38"/>
  <c r="E40" i="38"/>
  <c r="D40" i="38"/>
  <c r="E39" i="38"/>
  <c r="D39" i="38"/>
  <c r="E38" i="38"/>
  <c r="D38" i="38"/>
  <c r="E37" i="38"/>
  <c r="D37" i="38"/>
  <c r="E36" i="38"/>
  <c r="D36" i="38"/>
  <c r="E35" i="38"/>
  <c r="D35" i="38"/>
  <c r="E34" i="38"/>
  <c r="D34" i="38"/>
  <c r="E33" i="38"/>
  <c r="D33" i="38"/>
  <c r="E32" i="38"/>
  <c r="D32" i="38"/>
  <c r="E31" i="38"/>
  <c r="D31" i="38"/>
  <c r="E30" i="38"/>
  <c r="D30" i="38"/>
  <c r="E29" i="38"/>
  <c r="D29" i="38"/>
  <c r="E28" i="38"/>
  <c r="D28" i="38"/>
  <c r="E27" i="38"/>
  <c r="D27" i="38"/>
  <c r="E26" i="38"/>
  <c r="D26" i="38"/>
  <c r="E25" i="38"/>
  <c r="D25" i="38"/>
  <c r="E24" i="38"/>
  <c r="D24" i="38"/>
  <c r="E23" i="38"/>
  <c r="D23" i="38"/>
  <c r="E22" i="38"/>
  <c r="D22" i="38"/>
  <c r="E21" i="38"/>
  <c r="D21" i="38"/>
  <c r="E20" i="38"/>
  <c r="D20" i="38"/>
  <c r="E19" i="38"/>
  <c r="D19" i="38"/>
  <c r="E18" i="38"/>
  <c r="D18" i="38"/>
  <c r="E17" i="38"/>
  <c r="D17" i="38"/>
  <c r="E16" i="38"/>
  <c r="D16" i="38"/>
  <c r="E15" i="38"/>
  <c r="D15" i="38"/>
  <c r="E14" i="38"/>
  <c r="D14" i="38"/>
  <c r="E13" i="38"/>
  <c r="D13" i="38"/>
  <c r="E12" i="38"/>
  <c r="D12" i="38"/>
  <c r="E11" i="38"/>
  <c r="D11" i="38"/>
  <c r="E10" i="38"/>
  <c r="D10" i="38"/>
  <c r="E9" i="38"/>
  <c r="D9" i="38"/>
  <c r="E8" i="38"/>
  <c r="D8" i="38"/>
  <c r="E7" i="38"/>
  <c r="D7" i="38"/>
  <c r="E6" i="38"/>
  <c r="D6" i="38"/>
  <c r="E5" i="38"/>
  <c r="D5" i="38"/>
  <c r="E4" i="38"/>
  <c r="D4" i="38"/>
  <c r="G64" i="38" l="1"/>
  <c r="G48" i="38"/>
  <c r="G40" i="38"/>
  <c r="G32" i="38"/>
  <c r="G24" i="38"/>
  <c r="G16" i="38"/>
  <c r="G12" i="38"/>
  <c r="G63" i="38"/>
  <c r="G55" i="38"/>
  <c r="G47" i="38"/>
  <c r="G39" i="38"/>
  <c r="G31" i="38"/>
  <c r="G23" i="38"/>
  <c r="G15" i="38"/>
  <c r="G11" i="38"/>
  <c r="G70" i="38"/>
  <c r="G66" i="38"/>
  <c r="G62" i="38"/>
  <c r="G58" i="38"/>
  <c r="G54" i="38"/>
  <c r="G50" i="38"/>
  <c r="G46" i="38"/>
  <c r="G42" i="38"/>
  <c r="G38" i="38"/>
  <c r="G34" i="38"/>
  <c r="G30" i="38"/>
  <c r="G26" i="38"/>
  <c r="G22" i="38"/>
  <c r="G18" i="38"/>
  <c r="G14" i="38"/>
  <c r="G10" i="38"/>
  <c r="G6" i="38"/>
  <c r="G68" i="38"/>
  <c r="G60" i="38"/>
  <c r="G52" i="38"/>
  <c r="G44" i="38"/>
  <c r="G36" i="38"/>
  <c r="G28" i="38"/>
  <c r="G20" i="38"/>
  <c r="G8" i="38"/>
  <c r="G71" i="38"/>
  <c r="G67" i="38"/>
  <c r="G59" i="38"/>
  <c r="G51" i="38"/>
  <c r="G43" i="38"/>
  <c r="G35" i="38"/>
  <c r="G27" i="38"/>
  <c r="G19" i="38"/>
  <c r="G69" i="38"/>
  <c r="G65" i="38"/>
  <c r="G61" i="38"/>
  <c r="G57" i="38"/>
  <c r="G53" i="38"/>
  <c r="G49" i="38"/>
  <c r="G45" i="38"/>
  <c r="G41" i="38"/>
  <c r="G37" i="38"/>
  <c r="G33" i="38"/>
  <c r="G29" i="38"/>
  <c r="G25" i="38"/>
  <c r="G21" i="38"/>
  <c r="G17" i="38"/>
  <c r="G13" i="38"/>
  <c r="G9" i="38"/>
  <c r="G5" i="38"/>
  <c r="BC18" i="29"/>
  <c r="BB18" i="29"/>
  <c r="BA18" i="29"/>
  <c r="AZ18" i="29"/>
  <c r="AY18" i="29"/>
  <c r="AX18" i="29"/>
  <c r="AW18" i="29"/>
  <c r="AV18" i="29"/>
  <c r="AU18" i="29"/>
  <c r="AT18" i="29"/>
  <c r="AS18" i="29"/>
  <c r="AR18" i="29"/>
  <c r="AQ18" i="29"/>
  <c r="AP18" i="29"/>
  <c r="AO18" i="29"/>
  <c r="AN18" i="29"/>
  <c r="AM18" i="29"/>
  <c r="AL18" i="29"/>
  <c r="AK18" i="29"/>
  <c r="AJ18" i="29"/>
  <c r="AI18" i="29"/>
  <c r="AH18" i="29"/>
  <c r="AG18" i="29"/>
  <c r="AF18" i="29"/>
  <c r="AE18" i="29"/>
  <c r="AD18" i="29"/>
  <c r="AC18" i="29"/>
  <c r="AB18" i="29"/>
  <c r="AA18" i="29"/>
  <c r="Z18" i="29"/>
  <c r="Y18" i="29"/>
  <c r="X18" i="29"/>
  <c r="W18" i="29"/>
  <c r="V18" i="29"/>
  <c r="U18" i="29"/>
  <c r="T18" i="29"/>
  <c r="S18" i="29"/>
  <c r="R18" i="29"/>
  <c r="Q18" i="29"/>
  <c r="P18" i="29"/>
  <c r="O18" i="29"/>
  <c r="N18" i="29"/>
  <c r="M18" i="29"/>
  <c r="L18" i="29"/>
  <c r="K18" i="29"/>
  <c r="J18" i="29"/>
  <c r="I18" i="29"/>
  <c r="H18" i="29"/>
  <c r="G18" i="29"/>
  <c r="C18" i="29"/>
  <c r="BC7" i="29"/>
  <c r="BB7" i="29"/>
  <c r="BA7" i="29"/>
  <c r="AZ7" i="29"/>
  <c r="AY7" i="29"/>
  <c r="AX7" i="29"/>
  <c r="AW7" i="29"/>
  <c r="AV7" i="29"/>
  <c r="AU7" i="29"/>
  <c r="AT7" i="29"/>
  <c r="AS7" i="29"/>
  <c r="AR7" i="29"/>
  <c r="AQ7" i="29"/>
  <c r="AP7" i="29"/>
  <c r="AO7" i="29"/>
  <c r="AN7" i="29"/>
  <c r="AM7" i="29"/>
  <c r="AL7" i="29"/>
  <c r="AK7" i="29"/>
  <c r="AJ7" i="29"/>
  <c r="AI7" i="29"/>
  <c r="AH7" i="29"/>
  <c r="AG7" i="29"/>
  <c r="AF7" i="29"/>
  <c r="AE7" i="29"/>
  <c r="AD7" i="29"/>
  <c r="AC7" i="29"/>
  <c r="AB7" i="29"/>
  <c r="AA7" i="29"/>
  <c r="Z7" i="29"/>
  <c r="Y7" i="29"/>
  <c r="X7" i="29"/>
  <c r="W7" i="29"/>
  <c r="V7" i="29"/>
  <c r="U7" i="29"/>
  <c r="T7" i="29"/>
  <c r="S7" i="29"/>
  <c r="R7" i="29"/>
  <c r="Q7" i="29"/>
  <c r="P7" i="29"/>
  <c r="O7" i="29"/>
  <c r="N7" i="29"/>
  <c r="M7" i="29"/>
  <c r="L7" i="29"/>
  <c r="K7" i="29"/>
  <c r="J7" i="29"/>
  <c r="I7" i="29"/>
  <c r="H7" i="29"/>
  <c r="G7" i="29"/>
  <c r="C7" i="29"/>
  <c r="BC16" i="29"/>
  <c r="BB16" i="29"/>
  <c r="BA16" i="29"/>
  <c r="AZ16" i="29"/>
  <c r="AY16" i="29"/>
  <c r="AX16" i="29"/>
  <c r="AW16" i="29"/>
  <c r="AV16" i="29"/>
  <c r="AU16" i="29"/>
  <c r="AT16" i="29"/>
  <c r="AS16" i="29"/>
  <c r="AR16" i="29"/>
  <c r="AQ16" i="29"/>
  <c r="AP16" i="29"/>
  <c r="AO16" i="29"/>
  <c r="AN16" i="29"/>
  <c r="AM16" i="29"/>
  <c r="AL16" i="29"/>
  <c r="AK16" i="29"/>
  <c r="AJ16" i="29"/>
  <c r="AI16" i="29"/>
  <c r="AH16" i="29"/>
  <c r="AG16" i="29"/>
  <c r="AF16" i="29"/>
  <c r="AE16" i="29"/>
  <c r="AD16" i="29"/>
  <c r="AC16" i="29"/>
  <c r="AB16" i="29"/>
  <c r="AA16" i="29"/>
  <c r="Z16" i="29"/>
  <c r="Y16" i="29"/>
  <c r="X16" i="29"/>
  <c r="W16" i="29"/>
  <c r="V16" i="29"/>
  <c r="U16" i="29"/>
  <c r="T16" i="29"/>
  <c r="S16" i="29"/>
  <c r="R16" i="29"/>
  <c r="Q16" i="29"/>
  <c r="P16" i="29"/>
  <c r="O16" i="29"/>
  <c r="N16" i="29"/>
  <c r="M16" i="29"/>
  <c r="L16" i="29"/>
  <c r="K16" i="29"/>
  <c r="J16" i="29"/>
  <c r="I16" i="29"/>
  <c r="H16" i="29"/>
  <c r="G16" i="29"/>
  <c r="C16" i="29"/>
  <c r="BC4" i="29"/>
  <c r="BB4" i="29"/>
  <c r="BA4" i="29"/>
  <c r="AZ4" i="29"/>
  <c r="AY4" i="29"/>
  <c r="AX4" i="29"/>
  <c r="AW4" i="29"/>
  <c r="AV4" i="29"/>
  <c r="AU4" i="29"/>
  <c r="AT4" i="29"/>
  <c r="AS4" i="29"/>
  <c r="AR4" i="29"/>
  <c r="AQ4" i="29"/>
  <c r="AP4" i="29"/>
  <c r="AO4" i="29"/>
  <c r="AN4" i="29"/>
  <c r="AM4" i="29"/>
  <c r="AL4" i="29"/>
  <c r="AK4" i="29"/>
  <c r="AJ4" i="29"/>
  <c r="AI4" i="29"/>
  <c r="AH4" i="29"/>
  <c r="AG4" i="29"/>
  <c r="AF4" i="29"/>
  <c r="AE4" i="29"/>
  <c r="AD4" i="29"/>
  <c r="AC4" i="29"/>
  <c r="AB4" i="29"/>
  <c r="AA4" i="29"/>
  <c r="Z4" i="29"/>
  <c r="Y4" i="29"/>
  <c r="X4" i="29"/>
  <c r="W4" i="29"/>
  <c r="V4" i="29"/>
  <c r="U4" i="29"/>
  <c r="T4" i="29"/>
  <c r="S4" i="29"/>
  <c r="R4" i="29"/>
  <c r="Q4" i="29"/>
  <c r="P4" i="29"/>
  <c r="O4" i="29"/>
  <c r="N4" i="29"/>
  <c r="M4" i="29"/>
  <c r="L4" i="29"/>
  <c r="K4" i="29"/>
  <c r="J4" i="29"/>
  <c r="I4" i="29"/>
  <c r="H4" i="29"/>
  <c r="G4" i="29"/>
  <c r="C4" i="29"/>
  <c r="BC13" i="29"/>
  <c r="BB13" i="29"/>
  <c r="BA13" i="29"/>
  <c r="AZ13" i="29"/>
  <c r="AY13" i="29"/>
  <c r="AX13" i="29"/>
  <c r="AW13" i="29"/>
  <c r="AV13" i="29"/>
  <c r="AU13" i="29"/>
  <c r="AT13" i="29"/>
  <c r="AS13" i="29"/>
  <c r="AR13" i="29"/>
  <c r="AQ13" i="29"/>
  <c r="AP13" i="29"/>
  <c r="AO13" i="29"/>
  <c r="AN13" i="29"/>
  <c r="AM13" i="29"/>
  <c r="AL13" i="29"/>
  <c r="AK13" i="29"/>
  <c r="AJ13" i="29"/>
  <c r="AI13" i="29"/>
  <c r="AH13" i="29"/>
  <c r="AG13" i="29"/>
  <c r="AF13" i="29"/>
  <c r="AE13" i="29"/>
  <c r="AD13" i="29"/>
  <c r="AC13" i="29"/>
  <c r="AB13" i="29"/>
  <c r="AA13" i="29"/>
  <c r="Z13" i="29"/>
  <c r="Y13" i="29"/>
  <c r="X13" i="29"/>
  <c r="W13" i="29"/>
  <c r="V13" i="29"/>
  <c r="U13" i="29"/>
  <c r="T13" i="29"/>
  <c r="S13" i="29"/>
  <c r="R13" i="29"/>
  <c r="Q13" i="29"/>
  <c r="P13" i="29"/>
  <c r="O13" i="29"/>
  <c r="N13" i="29"/>
  <c r="M13" i="29"/>
  <c r="L13" i="29"/>
  <c r="K13" i="29"/>
  <c r="J13" i="29"/>
  <c r="I13" i="29"/>
  <c r="H13" i="29"/>
  <c r="G13" i="29"/>
  <c r="C13" i="29"/>
  <c r="BC10" i="29"/>
  <c r="BB10" i="29"/>
  <c r="BA10" i="29"/>
  <c r="AZ10" i="29"/>
  <c r="AY10" i="29"/>
  <c r="AX10" i="29"/>
  <c r="AW10" i="29"/>
  <c r="AV10" i="29"/>
  <c r="AU10" i="29"/>
  <c r="AT10" i="29"/>
  <c r="AS10" i="29"/>
  <c r="AR10" i="29"/>
  <c r="AQ10" i="29"/>
  <c r="AP10" i="29"/>
  <c r="AO10" i="29"/>
  <c r="AN10" i="29"/>
  <c r="AM10" i="29"/>
  <c r="AL10" i="29"/>
  <c r="AK10" i="29"/>
  <c r="AJ10" i="29"/>
  <c r="AI10" i="29"/>
  <c r="AH10" i="29"/>
  <c r="AG10" i="29"/>
  <c r="AF10" i="29"/>
  <c r="AE10" i="29"/>
  <c r="AD10" i="29"/>
  <c r="AC10" i="29"/>
  <c r="AB10" i="29"/>
  <c r="AA10" i="29"/>
  <c r="Z10" i="29"/>
  <c r="Y10" i="29"/>
  <c r="X10" i="29"/>
  <c r="W10" i="29"/>
  <c r="V10" i="29"/>
  <c r="U10" i="29"/>
  <c r="T10" i="29"/>
  <c r="S10" i="29"/>
  <c r="R10" i="29"/>
  <c r="Q10" i="29"/>
  <c r="P10" i="29"/>
  <c r="O10" i="29"/>
  <c r="N10" i="29"/>
  <c r="M10" i="29"/>
  <c r="L10" i="29"/>
  <c r="K10" i="29"/>
  <c r="J10" i="29"/>
  <c r="I10" i="29"/>
  <c r="H10" i="29"/>
  <c r="G10" i="29"/>
  <c r="C10" i="29"/>
  <c r="BC17" i="29"/>
  <c r="BB17" i="29"/>
  <c r="BA17" i="29"/>
  <c r="AZ17" i="29"/>
  <c r="AY17" i="29"/>
  <c r="AX17" i="29"/>
  <c r="AW17" i="29"/>
  <c r="AV17" i="29"/>
  <c r="AU17" i="29"/>
  <c r="AT17" i="29"/>
  <c r="AS17" i="29"/>
  <c r="AR17" i="29"/>
  <c r="AQ17" i="29"/>
  <c r="AP17" i="29"/>
  <c r="AO17" i="29"/>
  <c r="AN17" i="29"/>
  <c r="AM17" i="29"/>
  <c r="AL17" i="29"/>
  <c r="AK17" i="29"/>
  <c r="AJ17" i="29"/>
  <c r="AI17" i="29"/>
  <c r="AH17" i="29"/>
  <c r="AG17" i="29"/>
  <c r="AF17" i="29"/>
  <c r="AE17" i="29"/>
  <c r="AD17" i="29"/>
  <c r="AC17" i="29"/>
  <c r="AB17" i="29"/>
  <c r="AA17" i="29"/>
  <c r="Z17" i="29"/>
  <c r="Y17" i="29"/>
  <c r="X17" i="29"/>
  <c r="W17" i="29"/>
  <c r="V17" i="29"/>
  <c r="U17" i="29"/>
  <c r="T17" i="29"/>
  <c r="S17" i="29"/>
  <c r="R17" i="29"/>
  <c r="Q17" i="29"/>
  <c r="P17" i="29"/>
  <c r="O17" i="29"/>
  <c r="N17" i="29"/>
  <c r="M17" i="29"/>
  <c r="L17" i="29"/>
  <c r="K17" i="29"/>
  <c r="J17" i="29"/>
  <c r="I17" i="29"/>
  <c r="H17" i="29"/>
  <c r="G17" i="29"/>
  <c r="C17" i="29"/>
  <c r="BC9" i="29"/>
  <c r="BB9" i="29"/>
  <c r="BA9" i="29"/>
  <c r="AZ9" i="29"/>
  <c r="AY9" i="29"/>
  <c r="AX9" i="29"/>
  <c r="AW9" i="29"/>
  <c r="AV9" i="29"/>
  <c r="AU9" i="29"/>
  <c r="AT9" i="29"/>
  <c r="AS9" i="29"/>
  <c r="AR9" i="29"/>
  <c r="AQ9" i="29"/>
  <c r="AP9" i="29"/>
  <c r="AO9" i="29"/>
  <c r="AN9" i="29"/>
  <c r="AM9"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H9" i="29"/>
  <c r="G9" i="29"/>
  <c r="C9" i="29"/>
  <c r="BC5" i="29"/>
  <c r="BB5" i="29"/>
  <c r="BA5" i="29"/>
  <c r="AZ5" i="29"/>
  <c r="AY5" i="29"/>
  <c r="AX5" i="29"/>
  <c r="AW5" i="29"/>
  <c r="AV5" i="29"/>
  <c r="AU5" i="29"/>
  <c r="AT5" i="29"/>
  <c r="AS5" i="29"/>
  <c r="AR5" i="29"/>
  <c r="AQ5" i="29"/>
  <c r="AP5" i="29"/>
  <c r="AO5" i="29"/>
  <c r="AN5" i="29"/>
  <c r="AM5" i="29"/>
  <c r="AL5" i="29"/>
  <c r="AK5" i="29"/>
  <c r="AJ5" i="29"/>
  <c r="AI5" i="29"/>
  <c r="AH5" i="29"/>
  <c r="AG5" i="29"/>
  <c r="AF5" i="29"/>
  <c r="AE5" i="29"/>
  <c r="AD5" i="29"/>
  <c r="AC5" i="29"/>
  <c r="AB5" i="29"/>
  <c r="AA5" i="29"/>
  <c r="Z5" i="29"/>
  <c r="Y5" i="29"/>
  <c r="X5" i="29"/>
  <c r="W5" i="29"/>
  <c r="V5" i="29"/>
  <c r="U5" i="29"/>
  <c r="T5" i="29"/>
  <c r="S5" i="29"/>
  <c r="R5" i="29"/>
  <c r="Q5" i="29"/>
  <c r="P5" i="29"/>
  <c r="O5" i="29"/>
  <c r="N5" i="29"/>
  <c r="M5" i="29"/>
  <c r="L5" i="29"/>
  <c r="K5" i="29"/>
  <c r="J5" i="29"/>
  <c r="I5" i="29"/>
  <c r="H5" i="29"/>
  <c r="G5" i="29"/>
  <c r="C5" i="29"/>
  <c r="BC19" i="29"/>
  <c r="BB19" i="29"/>
  <c r="BA19" i="29"/>
  <c r="AZ19" i="29"/>
  <c r="AY19" i="29"/>
  <c r="AX19" i="29"/>
  <c r="AW19" i="29"/>
  <c r="AV19" i="29"/>
  <c r="AU19" i="29"/>
  <c r="AT19" i="29"/>
  <c r="AS19" i="29"/>
  <c r="AR19" i="29"/>
  <c r="AQ19" i="29"/>
  <c r="AP19" i="29"/>
  <c r="AO19" i="29"/>
  <c r="AN19" i="29"/>
  <c r="AM19" i="29"/>
  <c r="AL19" i="29"/>
  <c r="AK19" i="29"/>
  <c r="AJ19" i="29"/>
  <c r="AI19" i="29"/>
  <c r="AH19" i="29"/>
  <c r="AG19" i="29"/>
  <c r="AF19" i="29"/>
  <c r="AE19" i="29"/>
  <c r="AD19" i="29"/>
  <c r="AC19" i="29"/>
  <c r="AB19" i="29"/>
  <c r="AA19" i="29"/>
  <c r="Z19" i="29"/>
  <c r="Y19" i="29"/>
  <c r="X19" i="29"/>
  <c r="W19" i="29"/>
  <c r="V19" i="29"/>
  <c r="U19" i="29"/>
  <c r="T19" i="29"/>
  <c r="S19" i="29"/>
  <c r="R19" i="29"/>
  <c r="Q19" i="29"/>
  <c r="P19" i="29"/>
  <c r="O19" i="29"/>
  <c r="N19" i="29"/>
  <c r="M19" i="29"/>
  <c r="L19" i="29"/>
  <c r="K19" i="29"/>
  <c r="J19" i="29"/>
  <c r="I19" i="29"/>
  <c r="H19" i="29"/>
  <c r="G19" i="29"/>
  <c r="C19" i="29"/>
  <c r="BC11" i="29"/>
  <c r="BB11" i="29"/>
  <c r="BA11" i="29"/>
  <c r="AZ11" i="29"/>
  <c r="AY11" i="29"/>
  <c r="AX11" i="29"/>
  <c r="AW11" i="29"/>
  <c r="AV11" i="29"/>
  <c r="AU11" i="29"/>
  <c r="AT11" i="29"/>
  <c r="AS11" i="29"/>
  <c r="AR11" i="29"/>
  <c r="AQ11" i="29"/>
  <c r="AP11" i="29"/>
  <c r="AO11" i="29"/>
  <c r="AN11" i="29"/>
  <c r="AM11" i="29"/>
  <c r="AL11" i="29"/>
  <c r="AK11" i="29"/>
  <c r="AJ11" i="29"/>
  <c r="AI11" i="29"/>
  <c r="AH11" i="29"/>
  <c r="AG11" i="29"/>
  <c r="AF11" i="29"/>
  <c r="AE11" i="29"/>
  <c r="AD11" i="29"/>
  <c r="AC11" i="29"/>
  <c r="AB11" i="29"/>
  <c r="AA11" i="29"/>
  <c r="Z11" i="29"/>
  <c r="Y11" i="29"/>
  <c r="X11" i="29"/>
  <c r="W11" i="29"/>
  <c r="V11" i="29"/>
  <c r="U11" i="29"/>
  <c r="T11" i="29"/>
  <c r="S11" i="29"/>
  <c r="R11" i="29"/>
  <c r="Q11" i="29"/>
  <c r="P11" i="29"/>
  <c r="O11" i="29"/>
  <c r="N11" i="29"/>
  <c r="M11" i="29"/>
  <c r="L11" i="29"/>
  <c r="K11" i="29"/>
  <c r="J11" i="29"/>
  <c r="I11" i="29"/>
  <c r="H11" i="29"/>
  <c r="G11" i="29"/>
  <c r="C11" i="29"/>
  <c r="BC15" i="29"/>
  <c r="BB15" i="29"/>
  <c r="BA15" i="29"/>
  <c r="AZ15" i="29"/>
  <c r="AY15" i="29"/>
  <c r="AX15" i="29"/>
  <c r="AW15" i="29"/>
  <c r="AV15" i="29"/>
  <c r="AU15" i="29"/>
  <c r="AT15" i="29"/>
  <c r="AS15" i="29"/>
  <c r="AR15" i="29"/>
  <c r="AQ15" i="29"/>
  <c r="AP15" i="29"/>
  <c r="AO15" i="29"/>
  <c r="AN15" i="29"/>
  <c r="AM15" i="29"/>
  <c r="AL15" i="29"/>
  <c r="AK15" i="29"/>
  <c r="AJ15" i="29"/>
  <c r="AI15" i="29"/>
  <c r="AH15" i="29"/>
  <c r="AG15" i="29"/>
  <c r="AF15" i="29"/>
  <c r="AE15" i="29"/>
  <c r="AD15" i="29"/>
  <c r="AC15" i="29"/>
  <c r="AB15" i="29"/>
  <c r="AA15" i="29"/>
  <c r="Z15" i="29"/>
  <c r="Y15" i="29"/>
  <c r="X15" i="29"/>
  <c r="W15" i="29"/>
  <c r="V15" i="29"/>
  <c r="U15" i="29"/>
  <c r="T15" i="29"/>
  <c r="S15" i="29"/>
  <c r="R15" i="29"/>
  <c r="Q15" i="29"/>
  <c r="P15" i="29"/>
  <c r="O15" i="29"/>
  <c r="N15" i="29"/>
  <c r="M15" i="29"/>
  <c r="L15" i="29"/>
  <c r="K15" i="29"/>
  <c r="J15" i="29"/>
  <c r="I15" i="29"/>
  <c r="H15" i="29"/>
  <c r="G15" i="29"/>
  <c r="C15" i="29"/>
  <c r="BC14" i="29"/>
  <c r="BB14" i="29"/>
  <c r="BA14" i="29"/>
  <c r="AZ14" i="29"/>
  <c r="AY14" i="29"/>
  <c r="AX14" i="29"/>
  <c r="AW14" i="29"/>
  <c r="AV14" i="29"/>
  <c r="AU14" i="29"/>
  <c r="AT14" i="29"/>
  <c r="AS14" i="29"/>
  <c r="AR14" i="29"/>
  <c r="AQ14" i="29"/>
  <c r="AP14" i="29"/>
  <c r="AO14" i="29"/>
  <c r="AN14" i="29"/>
  <c r="AM14" i="29"/>
  <c r="AL14" i="29"/>
  <c r="AK14" i="29"/>
  <c r="AJ14" i="29"/>
  <c r="AI14" i="29"/>
  <c r="AH14" i="29"/>
  <c r="AG14" i="29"/>
  <c r="AF14" i="29"/>
  <c r="AE14" i="29"/>
  <c r="AD14" i="29"/>
  <c r="AC14" i="29"/>
  <c r="AB14" i="29"/>
  <c r="AA14" i="29"/>
  <c r="Z14" i="29"/>
  <c r="Y14" i="29"/>
  <c r="X14" i="29"/>
  <c r="W14" i="29"/>
  <c r="V14" i="29"/>
  <c r="U14" i="29"/>
  <c r="T14" i="29"/>
  <c r="S14" i="29"/>
  <c r="R14" i="29"/>
  <c r="Q14" i="29"/>
  <c r="P14" i="29"/>
  <c r="O14" i="29"/>
  <c r="N14" i="29"/>
  <c r="M14" i="29"/>
  <c r="L14" i="29"/>
  <c r="K14" i="29"/>
  <c r="J14" i="29"/>
  <c r="I14" i="29"/>
  <c r="H14" i="29"/>
  <c r="G14" i="29"/>
  <c r="C14" i="29"/>
  <c r="BC12" i="29"/>
  <c r="BB12" i="29"/>
  <c r="BA12" i="29"/>
  <c r="AZ12" i="29"/>
  <c r="AY12" i="29"/>
  <c r="AX12" i="29"/>
  <c r="AW12" i="29"/>
  <c r="AV12" i="29"/>
  <c r="AU12" i="29"/>
  <c r="AT12" i="29"/>
  <c r="AS12" i="29"/>
  <c r="AR12" i="29"/>
  <c r="AQ12" i="29"/>
  <c r="AP12" i="29"/>
  <c r="AO12" i="29"/>
  <c r="AN12" i="29"/>
  <c r="AM12" i="29"/>
  <c r="AL12" i="29"/>
  <c r="AK12" i="29"/>
  <c r="AJ12" i="29"/>
  <c r="AI12" i="29"/>
  <c r="AH12" i="29"/>
  <c r="AG12" i="29"/>
  <c r="AF12" i="29"/>
  <c r="AE12" i="29"/>
  <c r="AD12" i="29"/>
  <c r="AC12" i="29"/>
  <c r="AB12" i="29"/>
  <c r="AA12" i="29"/>
  <c r="Z12" i="29"/>
  <c r="Y12" i="29"/>
  <c r="X12" i="29"/>
  <c r="W12" i="29"/>
  <c r="V12" i="29"/>
  <c r="U12" i="29"/>
  <c r="T12" i="29"/>
  <c r="S12" i="29"/>
  <c r="R12" i="29"/>
  <c r="Q12" i="29"/>
  <c r="P12" i="29"/>
  <c r="O12" i="29"/>
  <c r="N12" i="29"/>
  <c r="M12" i="29"/>
  <c r="L12" i="29"/>
  <c r="K12" i="29"/>
  <c r="J12" i="29"/>
  <c r="I12" i="29"/>
  <c r="H12" i="29"/>
  <c r="G12" i="29"/>
  <c r="C12" i="29"/>
  <c r="BC20" i="29"/>
  <c r="BB20" i="29"/>
  <c r="BA20" i="29"/>
  <c r="AZ20" i="29"/>
  <c r="AY20" i="29"/>
  <c r="AX20" i="29"/>
  <c r="AW20" i="29"/>
  <c r="AV20" i="29"/>
  <c r="AU20" i="29"/>
  <c r="AT20" i="29"/>
  <c r="AS20" i="29"/>
  <c r="AR20" i="29"/>
  <c r="AQ20" i="29"/>
  <c r="AP20" i="29"/>
  <c r="AO20" i="29"/>
  <c r="AN20" i="29"/>
  <c r="AM20" i="29"/>
  <c r="AL20" i="29"/>
  <c r="AK20" i="29"/>
  <c r="AJ20" i="29"/>
  <c r="AI20" i="29"/>
  <c r="AH20" i="29"/>
  <c r="AG20" i="29"/>
  <c r="AF20" i="29"/>
  <c r="AE20" i="29"/>
  <c r="AD20" i="29"/>
  <c r="AC20" i="29"/>
  <c r="AB20" i="29"/>
  <c r="AA20" i="29"/>
  <c r="Z20" i="29"/>
  <c r="Y20" i="29"/>
  <c r="X20" i="29"/>
  <c r="W20" i="29"/>
  <c r="V20" i="29"/>
  <c r="U20" i="29"/>
  <c r="T20" i="29"/>
  <c r="S20" i="29"/>
  <c r="R20" i="29"/>
  <c r="Q20" i="29"/>
  <c r="P20" i="29"/>
  <c r="O20" i="29"/>
  <c r="N20" i="29"/>
  <c r="M20" i="29"/>
  <c r="L20" i="29"/>
  <c r="K20" i="29"/>
  <c r="J20" i="29"/>
  <c r="I20" i="29"/>
  <c r="H20" i="29"/>
  <c r="G20" i="29"/>
  <c r="C20" i="29"/>
  <c r="BC6" i="29"/>
  <c r="BB6" i="29"/>
  <c r="BA6" i="29"/>
  <c r="AZ6" i="29"/>
  <c r="AY6" i="29"/>
  <c r="AX6" i="29"/>
  <c r="AW6" i="29"/>
  <c r="AV6" i="29"/>
  <c r="AU6" i="29"/>
  <c r="AT6" i="29"/>
  <c r="AS6" i="29"/>
  <c r="AR6" i="29"/>
  <c r="AQ6" i="29"/>
  <c r="AP6" i="29"/>
  <c r="AO6" i="29"/>
  <c r="AN6" i="29"/>
  <c r="AM6" i="29"/>
  <c r="AL6" i="29"/>
  <c r="AK6" i="29"/>
  <c r="AJ6" i="29"/>
  <c r="AI6" i="29"/>
  <c r="AH6" i="29"/>
  <c r="AG6" i="29"/>
  <c r="AF6" i="29"/>
  <c r="AE6" i="29"/>
  <c r="AD6" i="29"/>
  <c r="AC6" i="29"/>
  <c r="AB6" i="29"/>
  <c r="AA6" i="29"/>
  <c r="Z6" i="29"/>
  <c r="Y6" i="29"/>
  <c r="X6" i="29"/>
  <c r="W6" i="29"/>
  <c r="V6" i="29"/>
  <c r="U6" i="29"/>
  <c r="T6" i="29"/>
  <c r="S6" i="29"/>
  <c r="R6" i="29"/>
  <c r="Q6" i="29"/>
  <c r="P6" i="29"/>
  <c r="O6" i="29"/>
  <c r="N6" i="29"/>
  <c r="M6" i="29"/>
  <c r="L6" i="29"/>
  <c r="K6" i="29"/>
  <c r="J6" i="29"/>
  <c r="I6" i="29"/>
  <c r="H6" i="29"/>
  <c r="G6" i="29"/>
  <c r="C6" i="29"/>
  <c r="BC8" i="29"/>
  <c r="BB8" i="29"/>
  <c r="BA8" i="29"/>
  <c r="AZ8" i="29"/>
  <c r="AY8" i="29"/>
  <c r="AX8" i="29"/>
  <c r="AW8" i="29"/>
  <c r="AV8" i="29"/>
  <c r="AU8" i="29"/>
  <c r="AT8" i="29"/>
  <c r="AS8" i="29"/>
  <c r="AR8" i="29"/>
  <c r="AQ8" i="29"/>
  <c r="AP8" i="29"/>
  <c r="AO8" i="29"/>
  <c r="AN8" i="29"/>
  <c r="AM8" i="29"/>
  <c r="AL8" i="29"/>
  <c r="AK8" i="29"/>
  <c r="AJ8" i="29"/>
  <c r="AI8" i="29"/>
  <c r="AH8" i="29"/>
  <c r="AG8" i="29"/>
  <c r="AF8" i="29"/>
  <c r="AE8" i="29"/>
  <c r="AD8" i="29"/>
  <c r="AC8" i="29"/>
  <c r="AB8" i="29"/>
  <c r="AA8" i="29"/>
  <c r="Z8" i="29"/>
  <c r="Y8" i="29"/>
  <c r="X8" i="29"/>
  <c r="W8" i="29"/>
  <c r="V8" i="29"/>
  <c r="U8" i="29"/>
  <c r="T8" i="29"/>
  <c r="S8" i="29"/>
  <c r="R8" i="29"/>
  <c r="Q8" i="29"/>
  <c r="P8" i="29"/>
  <c r="O8" i="29"/>
  <c r="N8" i="29"/>
  <c r="M8" i="29"/>
  <c r="L8" i="29"/>
  <c r="K8" i="29"/>
  <c r="J8" i="29"/>
  <c r="I8" i="29"/>
  <c r="H8" i="29"/>
  <c r="G8" i="29"/>
  <c r="C8" i="29"/>
  <c r="D73" i="12"/>
  <c r="C73" i="12"/>
  <c r="BC15" i="28"/>
  <c r="BC32" i="28"/>
  <c r="BC34" i="28"/>
  <c r="BC44" i="28"/>
  <c r="BC48" i="28"/>
  <c r="BC7" i="28"/>
  <c r="BC53" i="28"/>
  <c r="BC41" i="28"/>
  <c r="BC51" i="28"/>
  <c r="BC27" i="28"/>
  <c r="BC13" i="28"/>
  <c r="BC28" i="28"/>
  <c r="BC14" i="28"/>
  <c r="BC43" i="28"/>
  <c r="BC18" i="28"/>
  <c r="BC31" i="28"/>
  <c r="BC46" i="28"/>
  <c r="BC8" i="28"/>
  <c r="BC11" i="28"/>
  <c r="BC52" i="28"/>
  <c r="BC47" i="28"/>
  <c r="BC17" i="28"/>
  <c r="BC39" i="28"/>
  <c r="BC21" i="28"/>
  <c r="BC38" i="28"/>
  <c r="BC23" i="28"/>
  <c r="BC33" i="28"/>
  <c r="BC50" i="28"/>
  <c r="BC35" i="28"/>
  <c r="BC49" i="28"/>
  <c r="BC10" i="28"/>
  <c r="BC16" i="28"/>
  <c r="BC29" i="28"/>
  <c r="BC40" i="28"/>
  <c r="BC30" i="28"/>
  <c r="BC42" i="28"/>
  <c r="BC36" i="28"/>
  <c r="BC37" i="28"/>
  <c r="BC12" i="28"/>
  <c r="BC6" i="28"/>
  <c r="BC9" i="28"/>
  <c r="BC4" i="28"/>
  <c r="BC45" i="28"/>
  <c r="BC20" i="28"/>
  <c r="BC26" i="28"/>
  <c r="BC22" i="28"/>
  <c r="BC25" i="28"/>
  <c r="BC5" i="28"/>
  <c r="BC19" i="28"/>
  <c r="BB15" i="28"/>
  <c r="BB32" i="28"/>
  <c r="BB34" i="28"/>
  <c r="BB44" i="28"/>
  <c r="BB48" i="28"/>
  <c r="BB7" i="28"/>
  <c r="BB53" i="28"/>
  <c r="BB41" i="28"/>
  <c r="BB51" i="28"/>
  <c r="BB27" i="28"/>
  <c r="BB13" i="28"/>
  <c r="BB28" i="28"/>
  <c r="BB14" i="28"/>
  <c r="BB43" i="28"/>
  <c r="BB18" i="28"/>
  <c r="BB31" i="28"/>
  <c r="BB46" i="28"/>
  <c r="BB8" i="28"/>
  <c r="BB11" i="28"/>
  <c r="BB52" i="28"/>
  <c r="BB47" i="28"/>
  <c r="BB17" i="28"/>
  <c r="BB39" i="28"/>
  <c r="BB21" i="28"/>
  <c r="BB38" i="28"/>
  <c r="BB23" i="28"/>
  <c r="BB33" i="28"/>
  <c r="BB50" i="28"/>
  <c r="BB35" i="28"/>
  <c r="BB49" i="28"/>
  <c r="BB10" i="28"/>
  <c r="BB16" i="28"/>
  <c r="BB29" i="28"/>
  <c r="BB40" i="28"/>
  <c r="BB30" i="28"/>
  <c r="BB42" i="28"/>
  <c r="BB36" i="28"/>
  <c r="BB37" i="28"/>
  <c r="BB12" i="28"/>
  <c r="BB6" i="28"/>
  <c r="BB9" i="28"/>
  <c r="BB4" i="28"/>
  <c r="BB45" i="28"/>
  <c r="BB20" i="28"/>
  <c r="BB26" i="28"/>
  <c r="BB22" i="28"/>
  <c r="BB25" i="28"/>
  <c r="BB5" i="28"/>
  <c r="BB19" i="28"/>
  <c r="BA15" i="28"/>
  <c r="BA32" i="28"/>
  <c r="BA34" i="28"/>
  <c r="BA44" i="28"/>
  <c r="BA48" i="28"/>
  <c r="BA7" i="28"/>
  <c r="BA53" i="28"/>
  <c r="BA41" i="28"/>
  <c r="BA51" i="28"/>
  <c r="BA27" i="28"/>
  <c r="BA13" i="28"/>
  <c r="BA28" i="28"/>
  <c r="BA14" i="28"/>
  <c r="BA43" i="28"/>
  <c r="BA18" i="28"/>
  <c r="BA31" i="28"/>
  <c r="BA46" i="28"/>
  <c r="BA8" i="28"/>
  <c r="BA11" i="28"/>
  <c r="BA52" i="28"/>
  <c r="BA47" i="28"/>
  <c r="BA17" i="28"/>
  <c r="BA39" i="28"/>
  <c r="BA21" i="28"/>
  <c r="BA38" i="28"/>
  <c r="BA23" i="28"/>
  <c r="BA33" i="28"/>
  <c r="BA50" i="28"/>
  <c r="BA35" i="28"/>
  <c r="BA49" i="28"/>
  <c r="BA10" i="28"/>
  <c r="BA16" i="28"/>
  <c r="BA29" i="28"/>
  <c r="BA40" i="28"/>
  <c r="BA30" i="28"/>
  <c r="BA42" i="28"/>
  <c r="BA36" i="28"/>
  <c r="BA37" i="28"/>
  <c r="BA12" i="28"/>
  <c r="BA6" i="28"/>
  <c r="BA9" i="28"/>
  <c r="BA4" i="28"/>
  <c r="BA45" i="28"/>
  <c r="BA20" i="28"/>
  <c r="BA26" i="28"/>
  <c r="BA22" i="28"/>
  <c r="BA25" i="28"/>
  <c r="BA5" i="28"/>
  <c r="BA19" i="28"/>
  <c r="AZ15" i="28"/>
  <c r="AZ32" i="28"/>
  <c r="AZ34" i="28"/>
  <c r="AZ44" i="28"/>
  <c r="AZ48" i="28"/>
  <c r="AZ7" i="28"/>
  <c r="AZ53" i="28"/>
  <c r="AZ41" i="28"/>
  <c r="AZ51" i="28"/>
  <c r="AZ27" i="28"/>
  <c r="AZ13" i="28"/>
  <c r="AZ28" i="28"/>
  <c r="AZ14" i="28"/>
  <c r="AZ43" i="28"/>
  <c r="AZ18" i="28"/>
  <c r="AZ31" i="28"/>
  <c r="AZ46" i="28"/>
  <c r="AZ8" i="28"/>
  <c r="AZ11" i="28"/>
  <c r="AZ52" i="28"/>
  <c r="AZ47" i="28"/>
  <c r="AZ17" i="28"/>
  <c r="AZ39" i="28"/>
  <c r="AZ21" i="28"/>
  <c r="AZ38" i="28"/>
  <c r="AZ23" i="28"/>
  <c r="AZ33" i="28"/>
  <c r="AZ50" i="28"/>
  <c r="AZ35" i="28"/>
  <c r="AZ49" i="28"/>
  <c r="AZ10" i="28"/>
  <c r="AZ16" i="28"/>
  <c r="AZ29" i="28"/>
  <c r="AZ40" i="28"/>
  <c r="AZ30" i="28"/>
  <c r="AZ42" i="28"/>
  <c r="AZ36" i="28"/>
  <c r="AZ37" i="28"/>
  <c r="AZ12" i="28"/>
  <c r="AZ6" i="28"/>
  <c r="AZ9" i="28"/>
  <c r="AZ4" i="28"/>
  <c r="AZ45" i="28"/>
  <c r="AZ20" i="28"/>
  <c r="AZ26" i="28"/>
  <c r="AZ22" i="28"/>
  <c r="AZ25" i="28"/>
  <c r="AZ5" i="28"/>
  <c r="AZ19" i="28"/>
  <c r="AY15" i="28"/>
  <c r="AY32" i="28"/>
  <c r="AY34" i="28"/>
  <c r="AY44" i="28"/>
  <c r="AY48" i="28"/>
  <c r="AY7" i="28"/>
  <c r="AY53" i="28"/>
  <c r="AY41" i="28"/>
  <c r="AY51" i="28"/>
  <c r="AY27" i="28"/>
  <c r="AY13" i="28"/>
  <c r="AY28" i="28"/>
  <c r="AY14" i="28"/>
  <c r="AY43" i="28"/>
  <c r="AY18" i="28"/>
  <c r="AY31" i="28"/>
  <c r="AY46" i="28"/>
  <c r="AY8" i="28"/>
  <c r="AY11" i="28"/>
  <c r="AY52" i="28"/>
  <c r="AY47" i="28"/>
  <c r="AY17" i="28"/>
  <c r="AY39" i="28"/>
  <c r="AY21" i="28"/>
  <c r="AY38" i="28"/>
  <c r="AY23" i="28"/>
  <c r="AY33" i="28"/>
  <c r="AY50" i="28"/>
  <c r="AY35" i="28"/>
  <c r="AY49" i="28"/>
  <c r="AY10" i="28"/>
  <c r="AY16" i="28"/>
  <c r="AY29" i="28"/>
  <c r="AY40" i="28"/>
  <c r="AY30" i="28"/>
  <c r="AY42" i="28"/>
  <c r="AY36" i="28"/>
  <c r="AY37" i="28"/>
  <c r="AY12" i="28"/>
  <c r="AY6" i="28"/>
  <c r="AY9" i="28"/>
  <c r="AY4" i="28"/>
  <c r="AY45" i="28"/>
  <c r="AY20" i="28"/>
  <c r="AY26" i="28"/>
  <c r="AY22" i="28"/>
  <c r="AY25" i="28"/>
  <c r="AY5" i="28"/>
  <c r="AY19" i="28"/>
  <c r="AX15" i="28"/>
  <c r="AX32" i="28"/>
  <c r="AX34" i="28"/>
  <c r="AX44" i="28"/>
  <c r="AX48" i="28"/>
  <c r="AX7" i="28"/>
  <c r="AX53" i="28"/>
  <c r="AX41" i="28"/>
  <c r="AX51" i="28"/>
  <c r="AX27" i="28"/>
  <c r="AX13" i="28"/>
  <c r="AX28" i="28"/>
  <c r="AX14" i="28"/>
  <c r="AX43" i="28"/>
  <c r="AX18" i="28"/>
  <c r="AX31" i="28"/>
  <c r="AX46" i="28"/>
  <c r="AX8" i="28"/>
  <c r="AX11" i="28"/>
  <c r="AX52" i="28"/>
  <c r="AX47" i="28"/>
  <c r="AX17" i="28"/>
  <c r="AX39" i="28"/>
  <c r="AX21" i="28"/>
  <c r="AX38" i="28"/>
  <c r="AX23" i="28"/>
  <c r="AX33" i="28"/>
  <c r="AX50" i="28"/>
  <c r="AX35" i="28"/>
  <c r="AX49" i="28"/>
  <c r="AX10" i="28"/>
  <c r="AX16" i="28"/>
  <c r="AX29" i="28"/>
  <c r="AX40" i="28"/>
  <c r="AX30" i="28"/>
  <c r="AX42" i="28"/>
  <c r="AX36" i="28"/>
  <c r="AX37" i="28"/>
  <c r="AX12" i="28"/>
  <c r="AX6" i="28"/>
  <c r="AX9" i="28"/>
  <c r="AX4" i="28"/>
  <c r="AX45" i="28"/>
  <c r="AX20" i="28"/>
  <c r="AX26" i="28"/>
  <c r="AX22" i="28"/>
  <c r="AX25" i="28"/>
  <c r="AX5" i="28"/>
  <c r="AX19" i="28"/>
  <c r="AW15" i="28"/>
  <c r="AW32" i="28"/>
  <c r="AW34" i="28"/>
  <c r="AW44" i="28"/>
  <c r="AW48" i="28"/>
  <c r="AW7" i="28"/>
  <c r="AW53" i="28"/>
  <c r="AW41" i="28"/>
  <c r="AW51" i="28"/>
  <c r="AW27" i="28"/>
  <c r="AW13" i="28"/>
  <c r="AW28" i="28"/>
  <c r="AW14" i="28"/>
  <c r="AW43" i="28"/>
  <c r="AW18" i="28"/>
  <c r="AW31" i="28"/>
  <c r="AW46" i="28"/>
  <c r="AW8" i="28"/>
  <c r="AW11" i="28"/>
  <c r="AW52" i="28"/>
  <c r="AW47" i="28"/>
  <c r="AW17" i="28"/>
  <c r="AW39" i="28"/>
  <c r="AW21" i="28"/>
  <c r="AW38" i="28"/>
  <c r="AW23" i="28"/>
  <c r="AW33" i="28"/>
  <c r="AW50" i="28"/>
  <c r="AW35" i="28"/>
  <c r="AW49" i="28"/>
  <c r="AW10" i="28"/>
  <c r="AW16" i="28"/>
  <c r="AW29" i="28"/>
  <c r="AW40" i="28"/>
  <c r="AW30" i="28"/>
  <c r="AW42" i="28"/>
  <c r="AW36" i="28"/>
  <c r="AW37" i="28"/>
  <c r="AW12" i="28"/>
  <c r="AW6" i="28"/>
  <c r="AW9" i="28"/>
  <c r="AW4" i="28"/>
  <c r="AW45" i="28"/>
  <c r="AW20" i="28"/>
  <c r="AW26" i="28"/>
  <c r="AW22" i="28"/>
  <c r="AW25" i="28"/>
  <c r="AW5" i="28"/>
  <c r="AW19" i="28"/>
  <c r="AV15" i="28"/>
  <c r="AV32" i="28"/>
  <c r="AV34" i="28"/>
  <c r="AV44" i="28"/>
  <c r="AV48" i="28"/>
  <c r="AV7" i="28"/>
  <c r="AV53" i="28"/>
  <c r="AV41" i="28"/>
  <c r="AV51" i="28"/>
  <c r="AV27" i="28"/>
  <c r="AV13" i="28"/>
  <c r="AV28" i="28"/>
  <c r="AV14" i="28"/>
  <c r="AV43" i="28"/>
  <c r="AV18" i="28"/>
  <c r="AV31" i="28"/>
  <c r="AV46" i="28"/>
  <c r="AV8" i="28"/>
  <c r="AV11" i="28"/>
  <c r="AV52" i="28"/>
  <c r="AV47" i="28"/>
  <c r="AV17" i="28"/>
  <c r="AV39" i="28"/>
  <c r="AV21" i="28"/>
  <c r="AV38" i="28"/>
  <c r="AV23" i="28"/>
  <c r="AV33" i="28"/>
  <c r="AV50" i="28"/>
  <c r="AV35" i="28"/>
  <c r="AV49" i="28"/>
  <c r="AV10" i="28"/>
  <c r="AV16" i="28"/>
  <c r="AV29" i="28"/>
  <c r="AV40" i="28"/>
  <c r="AV30" i="28"/>
  <c r="AV42" i="28"/>
  <c r="AV36" i="28"/>
  <c r="AV37" i="28"/>
  <c r="AV12" i="28"/>
  <c r="AV6" i="28"/>
  <c r="AV9" i="28"/>
  <c r="AV4" i="28"/>
  <c r="AV45" i="28"/>
  <c r="AV20" i="28"/>
  <c r="AV26" i="28"/>
  <c r="AV22" i="28"/>
  <c r="AV25" i="28"/>
  <c r="AV5" i="28"/>
  <c r="AV19" i="28"/>
  <c r="AU15" i="28"/>
  <c r="AU32" i="28"/>
  <c r="AU34" i="28"/>
  <c r="AU44" i="28"/>
  <c r="AU48" i="28"/>
  <c r="AU7" i="28"/>
  <c r="AU53" i="28"/>
  <c r="AU41" i="28"/>
  <c r="AU51" i="28"/>
  <c r="AU27" i="28"/>
  <c r="AU13" i="28"/>
  <c r="AU28" i="28"/>
  <c r="AU14" i="28"/>
  <c r="AU43" i="28"/>
  <c r="AU18" i="28"/>
  <c r="AU31" i="28"/>
  <c r="AU46" i="28"/>
  <c r="AU8" i="28"/>
  <c r="AU11" i="28"/>
  <c r="AU52" i="28"/>
  <c r="AU47" i="28"/>
  <c r="AU17" i="28"/>
  <c r="AU39" i="28"/>
  <c r="AU21" i="28"/>
  <c r="AU38" i="28"/>
  <c r="AU23" i="28"/>
  <c r="AU33" i="28"/>
  <c r="AU50" i="28"/>
  <c r="AU35" i="28"/>
  <c r="AU49" i="28"/>
  <c r="AU10" i="28"/>
  <c r="AU16" i="28"/>
  <c r="AU29" i="28"/>
  <c r="AU40" i="28"/>
  <c r="AU30" i="28"/>
  <c r="AU42" i="28"/>
  <c r="AU36" i="28"/>
  <c r="AU37" i="28"/>
  <c r="AU12" i="28"/>
  <c r="AU6" i="28"/>
  <c r="AU9" i="28"/>
  <c r="AU4" i="28"/>
  <c r="AU45" i="28"/>
  <c r="AU20" i="28"/>
  <c r="AU26" i="28"/>
  <c r="AU22" i="28"/>
  <c r="AU25" i="28"/>
  <c r="AU5" i="28"/>
  <c r="AU19" i="28"/>
  <c r="AT15" i="28"/>
  <c r="AT32" i="28"/>
  <c r="AT34" i="28"/>
  <c r="AT44" i="28"/>
  <c r="AT48" i="28"/>
  <c r="AT7" i="28"/>
  <c r="AT53" i="28"/>
  <c r="AT41" i="28"/>
  <c r="AT51" i="28"/>
  <c r="AT27" i="28"/>
  <c r="AT13" i="28"/>
  <c r="AT28" i="28"/>
  <c r="AT14" i="28"/>
  <c r="AT43" i="28"/>
  <c r="AT18" i="28"/>
  <c r="AT31" i="28"/>
  <c r="AT46" i="28"/>
  <c r="AT8" i="28"/>
  <c r="AT11" i="28"/>
  <c r="AT52" i="28"/>
  <c r="AT47" i="28"/>
  <c r="AT17" i="28"/>
  <c r="AT39" i="28"/>
  <c r="AT21" i="28"/>
  <c r="AT38" i="28"/>
  <c r="AT23" i="28"/>
  <c r="AT33" i="28"/>
  <c r="AT50" i="28"/>
  <c r="AT35" i="28"/>
  <c r="AT49" i="28"/>
  <c r="AT10" i="28"/>
  <c r="AT16" i="28"/>
  <c r="AT29" i="28"/>
  <c r="AT40" i="28"/>
  <c r="AT30" i="28"/>
  <c r="AT42" i="28"/>
  <c r="AT36" i="28"/>
  <c r="AT37" i="28"/>
  <c r="AT12" i="28"/>
  <c r="AT6" i="28"/>
  <c r="AT9" i="28"/>
  <c r="AT4" i="28"/>
  <c r="AT45" i="28"/>
  <c r="AT20" i="28"/>
  <c r="AT26" i="28"/>
  <c r="AT22" i="28"/>
  <c r="AT25" i="28"/>
  <c r="AT5" i="28"/>
  <c r="AT19" i="28"/>
  <c r="AS15" i="28"/>
  <c r="AS32" i="28"/>
  <c r="AS34" i="28"/>
  <c r="AS44" i="28"/>
  <c r="AS48" i="28"/>
  <c r="AS7" i="28"/>
  <c r="AS53" i="28"/>
  <c r="AS41" i="28"/>
  <c r="AS51" i="28"/>
  <c r="AS27" i="28"/>
  <c r="AS13" i="28"/>
  <c r="AS28" i="28"/>
  <c r="AS14" i="28"/>
  <c r="AS43" i="28"/>
  <c r="AS18" i="28"/>
  <c r="AS31" i="28"/>
  <c r="AS46" i="28"/>
  <c r="AS8" i="28"/>
  <c r="AS11" i="28"/>
  <c r="AS52" i="28"/>
  <c r="AS47" i="28"/>
  <c r="AS17" i="28"/>
  <c r="AS39" i="28"/>
  <c r="AS21" i="28"/>
  <c r="AS38" i="28"/>
  <c r="AS23" i="28"/>
  <c r="AS33" i="28"/>
  <c r="AS50" i="28"/>
  <c r="AS35" i="28"/>
  <c r="AS49" i="28"/>
  <c r="AS10" i="28"/>
  <c r="AS16" i="28"/>
  <c r="AS29" i="28"/>
  <c r="AS40" i="28"/>
  <c r="AS30" i="28"/>
  <c r="AS42" i="28"/>
  <c r="AS36" i="28"/>
  <c r="AS37" i="28"/>
  <c r="AS12" i="28"/>
  <c r="AS6" i="28"/>
  <c r="AS9" i="28"/>
  <c r="AS4" i="28"/>
  <c r="AS45" i="28"/>
  <c r="AS20" i="28"/>
  <c r="AS26" i="28"/>
  <c r="AS22" i="28"/>
  <c r="AS25" i="28"/>
  <c r="AS5" i="28"/>
  <c r="AS19" i="28"/>
  <c r="AR15" i="28"/>
  <c r="AR32" i="28"/>
  <c r="AR34" i="28"/>
  <c r="AR44" i="28"/>
  <c r="AR48" i="28"/>
  <c r="AR7" i="28"/>
  <c r="AR53" i="28"/>
  <c r="AR41" i="28"/>
  <c r="AR51" i="28"/>
  <c r="AR27" i="28"/>
  <c r="AR13" i="28"/>
  <c r="AR28" i="28"/>
  <c r="AR14" i="28"/>
  <c r="AR43" i="28"/>
  <c r="AR18" i="28"/>
  <c r="AR31" i="28"/>
  <c r="AR46" i="28"/>
  <c r="AR8" i="28"/>
  <c r="AR11" i="28"/>
  <c r="AR52" i="28"/>
  <c r="AR47" i="28"/>
  <c r="AR17" i="28"/>
  <c r="AR39" i="28"/>
  <c r="AR21" i="28"/>
  <c r="AR38" i="28"/>
  <c r="AR23" i="28"/>
  <c r="AR33" i="28"/>
  <c r="AR50" i="28"/>
  <c r="AR35" i="28"/>
  <c r="AR49" i="28"/>
  <c r="AR10" i="28"/>
  <c r="AR16" i="28"/>
  <c r="AR29" i="28"/>
  <c r="AR40" i="28"/>
  <c r="AR30" i="28"/>
  <c r="AR42" i="28"/>
  <c r="AR36" i="28"/>
  <c r="AR37" i="28"/>
  <c r="AR12" i="28"/>
  <c r="AR6" i="28"/>
  <c r="AR9" i="28"/>
  <c r="AR4" i="28"/>
  <c r="AR45" i="28"/>
  <c r="AR20" i="28"/>
  <c r="AR26" i="28"/>
  <c r="AR22" i="28"/>
  <c r="AR25" i="28"/>
  <c r="AR5" i="28"/>
  <c r="AR19" i="28"/>
  <c r="AQ15" i="28"/>
  <c r="AQ32" i="28"/>
  <c r="AQ34" i="28"/>
  <c r="AQ44" i="28"/>
  <c r="AQ48" i="28"/>
  <c r="AQ7" i="28"/>
  <c r="AQ53" i="28"/>
  <c r="AQ41" i="28"/>
  <c r="AQ51" i="28"/>
  <c r="AQ27" i="28"/>
  <c r="AQ13" i="28"/>
  <c r="AQ28" i="28"/>
  <c r="AQ14" i="28"/>
  <c r="AQ43" i="28"/>
  <c r="AQ18" i="28"/>
  <c r="AQ31" i="28"/>
  <c r="AQ46" i="28"/>
  <c r="AQ8" i="28"/>
  <c r="AQ11" i="28"/>
  <c r="AQ52" i="28"/>
  <c r="AQ47" i="28"/>
  <c r="AQ17" i="28"/>
  <c r="AQ39" i="28"/>
  <c r="AQ21" i="28"/>
  <c r="AQ38" i="28"/>
  <c r="AQ23" i="28"/>
  <c r="AQ33" i="28"/>
  <c r="AQ50" i="28"/>
  <c r="AQ35" i="28"/>
  <c r="AQ49" i="28"/>
  <c r="AQ10" i="28"/>
  <c r="AQ16" i="28"/>
  <c r="AQ29" i="28"/>
  <c r="AQ40" i="28"/>
  <c r="AQ30" i="28"/>
  <c r="AQ42" i="28"/>
  <c r="AQ36" i="28"/>
  <c r="AQ37" i="28"/>
  <c r="AQ12" i="28"/>
  <c r="AQ6" i="28"/>
  <c r="AQ9" i="28"/>
  <c r="AQ4" i="28"/>
  <c r="AQ45" i="28"/>
  <c r="AQ20" i="28"/>
  <c r="AQ26" i="28"/>
  <c r="AQ22" i="28"/>
  <c r="AQ25" i="28"/>
  <c r="AQ5" i="28"/>
  <c r="AQ19" i="28"/>
  <c r="AP15" i="28"/>
  <c r="AP32" i="28"/>
  <c r="AP34" i="28"/>
  <c r="AP44" i="28"/>
  <c r="AP48" i="28"/>
  <c r="AP7" i="28"/>
  <c r="AP53" i="28"/>
  <c r="AP41" i="28"/>
  <c r="AP51" i="28"/>
  <c r="AP27" i="28"/>
  <c r="AP13" i="28"/>
  <c r="AP28" i="28"/>
  <c r="AP14" i="28"/>
  <c r="AP43" i="28"/>
  <c r="AP18" i="28"/>
  <c r="AP31" i="28"/>
  <c r="AP46" i="28"/>
  <c r="AP8" i="28"/>
  <c r="AP11" i="28"/>
  <c r="AP52" i="28"/>
  <c r="AP47" i="28"/>
  <c r="AP17" i="28"/>
  <c r="AP39" i="28"/>
  <c r="AP21" i="28"/>
  <c r="AP38" i="28"/>
  <c r="AP23" i="28"/>
  <c r="AP33" i="28"/>
  <c r="AP50" i="28"/>
  <c r="AP35" i="28"/>
  <c r="AP49" i="28"/>
  <c r="AP10" i="28"/>
  <c r="AP16" i="28"/>
  <c r="AP29" i="28"/>
  <c r="AP40" i="28"/>
  <c r="AP30" i="28"/>
  <c r="AP42" i="28"/>
  <c r="AP36" i="28"/>
  <c r="AP37" i="28"/>
  <c r="AP12" i="28"/>
  <c r="AP6" i="28"/>
  <c r="AP9" i="28"/>
  <c r="AP4" i="28"/>
  <c r="AP45" i="28"/>
  <c r="AP20" i="28"/>
  <c r="AP26" i="28"/>
  <c r="AP22" i="28"/>
  <c r="AP25" i="28"/>
  <c r="AP5" i="28"/>
  <c r="AP19" i="28"/>
  <c r="AO15" i="28"/>
  <c r="AO32" i="28"/>
  <c r="AO34" i="28"/>
  <c r="AO44" i="28"/>
  <c r="AO48" i="28"/>
  <c r="AO7" i="28"/>
  <c r="AO53" i="28"/>
  <c r="AO41" i="28"/>
  <c r="AO51" i="28"/>
  <c r="AO27" i="28"/>
  <c r="AO13" i="28"/>
  <c r="AO28" i="28"/>
  <c r="AO14" i="28"/>
  <c r="AO43" i="28"/>
  <c r="AO18" i="28"/>
  <c r="AO31" i="28"/>
  <c r="AO46" i="28"/>
  <c r="AO8" i="28"/>
  <c r="AO11" i="28"/>
  <c r="AO52" i="28"/>
  <c r="AO47" i="28"/>
  <c r="AO17" i="28"/>
  <c r="AO39" i="28"/>
  <c r="AO21" i="28"/>
  <c r="AO38" i="28"/>
  <c r="AO23" i="28"/>
  <c r="AO33" i="28"/>
  <c r="AO50" i="28"/>
  <c r="AO35" i="28"/>
  <c r="AO49" i="28"/>
  <c r="AO10" i="28"/>
  <c r="AO16" i="28"/>
  <c r="AO29" i="28"/>
  <c r="AO40" i="28"/>
  <c r="AO30" i="28"/>
  <c r="AO42" i="28"/>
  <c r="AO36" i="28"/>
  <c r="AO37" i="28"/>
  <c r="AO12" i="28"/>
  <c r="AO6" i="28"/>
  <c r="AO9" i="28"/>
  <c r="AO4" i="28"/>
  <c r="AO45" i="28"/>
  <c r="AO20" i="28"/>
  <c r="AO26" i="28"/>
  <c r="AO22" i="28"/>
  <c r="AO25" i="28"/>
  <c r="AO5" i="28"/>
  <c r="AO19" i="28"/>
  <c r="AN15" i="28"/>
  <c r="AN32" i="28"/>
  <c r="AN34" i="28"/>
  <c r="AN44" i="28"/>
  <c r="AN48" i="28"/>
  <c r="AN7" i="28"/>
  <c r="AN53" i="28"/>
  <c r="AN41" i="28"/>
  <c r="AN51" i="28"/>
  <c r="AN27" i="28"/>
  <c r="AN13" i="28"/>
  <c r="AN28" i="28"/>
  <c r="AN14" i="28"/>
  <c r="AN43" i="28"/>
  <c r="AN18" i="28"/>
  <c r="AN31" i="28"/>
  <c r="AN46" i="28"/>
  <c r="AN8" i="28"/>
  <c r="AN11" i="28"/>
  <c r="AN52" i="28"/>
  <c r="AN47" i="28"/>
  <c r="AN17" i="28"/>
  <c r="AN39" i="28"/>
  <c r="AN21" i="28"/>
  <c r="AN38" i="28"/>
  <c r="AN23" i="28"/>
  <c r="AN33" i="28"/>
  <c r="AN50" i="28"/>
  <c r="AN35" i="28"/>
  <c r="AN49" i="28"/>
  <c r="AN10" i="28"/>
  <c r="AN16" i="28"/>
  <c r="AN29" i="28"/>
  <c r="AN40" i="28"/>
  <c r="AN30" i="28"/>
  <c r="AN42" i="28"/>
  <c r="AN36" i="28"/>
  <c r="AN37" i="28"/>
  <c r="AN12" i="28"/>
  <c r="AN6" i="28"/>
  <c r="AN9" i="28"/>
  <c r="AN4" i="28"/>
  <c r="AN45" i="28"/>
  <c r="AN20" i="28"/>
  <c r="AN26" i="28"/>
  <c r="AN22" i="28"/>
  <c r="AN25" i="28"/>
  <c r="AN5" i="28"/>
  <c r="AN19" i="28"/>
  <c r="AM15" i="28"/>
  <c r="AM32" i="28"/>
  <c r="AM34" i="28"/>
  <c r="AM44" i="28"/>
  <c r="AM48" i="28"/>
  <c r="AM7" i="28"/>
  <c r="AM53" i="28"/>
  <c r="AM41" i="28"/>
  <c r="AM51" i="28"/>
  <c r="AM27" i="28"/>
  <c r="AM13" i="28"/>
  <c r="AM28" i="28"/>
  <c r="AM14" i="28"/>
  <c r="AM43" i="28"/>
  <c r="AM18" i="28"/>
  <c r="AM31" i="28"/>
  <c r="AM46" i="28"/>
  <c r="AM8" i="28"/>
  <c r="AM11" i="28"/>
  <c r="AM52" i="28"/>
  <c r="AM47" i="28"/>
  <c r="AM17" i="28"/>
  <c r="AM39" i="28"/>
  <c r="AM21" i="28"/>
  <c r="AM38" i="28"/>
  <c r="AM23" i="28"/>
  <c r="AM33" i="28"/>
  <c r="AM50" i="28"/>
  <c r="AM35" i="28"/>
  <c r="AM49" i="28"/>
  <c r="AM10" i="28"/>
  <c r="AM16" i="28"/>
  <c r="AM29" i="28"/>
  <c r="AM40" i="28"/>
  <c r="AM30" i="28"/>
  <c r="AM42" i="28"/>
  <c r="AM36" i="28"/>
  <c r="AM37" i="28"/>
  <c r="AM12" i="28"/>
  <c r="AM6" i="28"/>
  <c r="AM9" i="28"/>
  <c r="AM4" i="28"/>
  <c r="AM45" i="28"/>
  <c r="AM20" i="28"/>
  <c r="AM26" i="28"/>
  <c r="AM22" i="28"/>
  <c r="AM25" i="28"/>
  <c r="AM5" i="28"/>
  <c r="AM19" i="28"/>
  <c r="AL15" i="28"/>
  <c r="AL32" i="28"/>
  <c r="AL34" i="28"/>
  <c r="AL44" i="28"/>
  <c r="AL48" i="28"/>
  <c r="AL7" i="28"/>
  <c r="AL53" i="28"/>
  <c r="AL41" i="28"/>
  <c r="AL51" i="28"/>
  <c r="AL27" i="28"/>
  <c r="AL13" i="28"/>
  <c r="AL28" i="28"/>
  <c r="AL14" i="28"/>
  <c r="AL43" i="28"/>
  <c r="AL18" i="28"/>
  <c r="AL31" i="28"/>
  <c r="AL46" i="28"/>
  <c r="AL8" i="28"/>
  <c r="AL11" i="28"/>
  <c r="AL52" i="28"/>
  <c r="AL47" i="28"/>
  <c r="AL17" i="28"/>
  <c r="AL39" i="28"/>
  <c r="AL21" i="28"/>
  <c r="AL38" i="28"/>
  <c r="AL23" i="28"/>
  <c r="AL33" i="28"/>
  <c r="AL50" i="28"/>
  <c r="AL35" i="28"/>
  <c r="AL49" i="28"/>
  <c r="AL10" i="28"/>
  <c r="AL16" i="28"/>
  <c r="AL29" i="28"/>
  <c r="AL40" i="28"/>
  <c r="AL30" i="28"/>
  <c r="AL42" i="28"/>
  <c r="AL36" i="28"/>
  <c r="AL37" i="28"/>
  <c r="AL12" i="28"/>
  <c r="AL6" i="28"/>
  <c r="AL9" i="28"/>
  <c r="AL4" i="28"/>
  <c r="AL45" i="28"/>
  <c r="AL20" i="28"/>
  <c r="AL26" i="28"/>
  <c r="AL22" i="28"/>
  <c r="AL25" i="28"/>
  <c r="AL5" i="28"/>
  <c r="AL19" i="28"/>
  <c r="AK15" i="28"/>
  <c r="AK32" i="28"/>
  <c r="AK34" i="28"/>
  <c r="AK44" i="28"/>
  <c r="AK48" i="28"/>
  <c r="AK7" i="28"/>
  <c r="AK53" i="28"/>
  <c r="AK41" i="28"/>
  <c r="AK51" i="28"/>
  <c r="AK27" i="28"/>
  <c r="AK13" i="28"/>
  <c r="AK28" i="28"/>
  <c r="AK14" i="28"/>
  <c r="AK43" i="28"/>
  <c r="AK18" i="28"/>
  <c r="AK31" i="28"/>
  <c r="AK46" i="28"/>
  <c r="AK8" i="28"/>
  <c r="AK11" i="28"/>
  <c r="AK52" i="28"/>
  <c r="AK47" i="28"/>
  <c r="AK17" i="28"/>
  <c r="AK39" i="28"/>
  <c r="AK21" i="28"/>
  <c r="AK38" i="28"/>
  <c r="AK23" i="28"/>
  <c r="AK33" i="28"/>
  <c r="AK50" i="28"/>
  <c r="AK35" i="28"/>
  <c r="AK49" i="28"/>
  <c r="AK10" i="28"/>
  <c r="AK16" i="28"/>
  <c r="AK29" i="28"/>
  <c r="AK40" i="28"/>
  <c r="AK30" i="28"/>
  <c r="AK42" i="28"/>
  <c r="AK36" i="28"/>
  <c r="AK37" i="28"/>
  <c r="AK12" i="28"/>
  <c r="AK6" i="28"/>
  <c r="AK9" i="28"/>
  <c r="AK4" i="28"/>
  <c r="AK45" i="28"/>
  <c r="AK20" i="28"/>
  <c r="AK26" i="28"/>
  <c r="AK22" i="28"/>
  <c r="AK25" i="28"/>
  <c r="AK5" i="28"/>
  <c r="AK19" i="28"/>
  <c r="AJ15" i="28"/>
  <c r="AJ32" i="28"/>
  <c r="AJ34" i="28"/>
  <c r="AJ44" i="28"/>
  <c r="AJ48" i="28"/>
  <c r="AJ7" i="28"/>
  <c r="AJ53" i="28"/>
  <c r="AJ41" i="28"/>
  <c r="AJ51" i="28"/>
  <c r="AJ27" i="28"/>
  <c r="AJ13" i="28"/>
  <c r="AJ28" i="28"/>
  <c r="AJ14" i="28"/>
  <c r="AJ43" i="28"/>
  <c r="AJ18" i="28"/>
  <c r="AJ31" i="28"/>
  <c r="AJ46" i="28"/>
  <c r="AJ8" i="28"/>
  <c r="AJ11" i="28"/>
  <c r="AJ52" i="28"/>
  <c r="AJ47" i="28"/>
  <c r="AJ17" i="28"/>
  <c r="AJ39" i="28"/>
  <c r="AJ21" i="28"/>
  <c r="AJ38" i="28"/>
  <c r="AJ23" i="28"/>
  <c r="AJ33" i="28"/>
  <c r="AJ50" i="28"/>
  <c r="AJ35" i="28"/>
  <c r="AJ49" i="28"/>
  <c r="AJ10" i="28"/>
  <c r="AJ16" i="28"/>
  <c r="AJ29" i="28"/>
  <c r="AJ40" i="28"/>
  <c r="AJ30" i="28"/>
  <c r="AJ42" i="28"/>
  <c r="AJ36" i="28"/>
  <c r="AJ37" i="28"/>
  <c r="AJ12" i="28"/>
  <c r="AJ6" i="28"/>
  <c r="AJ9" i="28"/>
  <c r="AJ4" i="28"/>
  <c r="AJ45" i="28"/>
  <c r="AJ20" i="28"/>
  <c r="AJ26" i="28"/>
  <c r="AJ22" i="28"/>
  <c r="AJ25" i="28"/>
  <c r="AJ5" i="28"/>
  <c r="AJ19" i="28"/>
  <c r="AI15" i="28"/>
  <c r="AI32" i="28"/>
  <c r="AI34" i="28"/>
  <c r="AI44" i="28"/>
  <c r="AI48" i="28"/>
  <c r="AI7" i="28"/>
  <c r="AI53" i="28"/>
  <c r="AI41" i="28"/>
  <c r="AI51" i="28"/>
  <c r="AI27" i="28"/>
  <c r="AI13" i="28"/>
  <c r="AI28" i="28"/>
  <c r="AI14" i="28"/>
  <c r="AI43" i="28"/>
  <c r="AI18" i="28"/>
  <c r="AI31" i="28"/>
  <c r="AI46" i="28"/>
  <c r="AI8" i="28"/>
  <c r="AI11" i="28"/>
  <c r="AI52" i="28"/>
  <c r="AI47" i="28"/>
  <c r="AI17" i="28"/>
  <c r="AI39" i="28"/>
  <c r="AI21" i="28"/>
  <c r="AI38" i="28"/>
  <c r="AI23" i="28"/>
  <c r="AI33" i="28"/>
  <c r="AI50" i="28"/>
  <c r="AI35" i="28"/>
  <c r="AI49" i="28"/>
  <c r="AI10" i="28"/>
  <c r="AI16" i="28"/>
  <c r="AI29" i="28"/>
  <c r="AI40" i="28"/>
  <c r="AI30" i="28"/>
  <c r="AI42" i="28"/>
  <c r="AI36" i="28"/>
  <c r="AI37" i="28"/>
  <c r="AI12" i="28"/>
  <c r="AI6" i="28"/>
  <c r="AI9" i="28"/>
  <c r="AI4" i="28"/>
  <c r="AI45" i="28"/>
  <c r="AI20" i="28"/>
  <c r="AI26" i="28"/>
  <c r="AI22" i="28"/>
  <c r="AI25" i="28"/>
  <c r="AI5" i="28"/>
  <c r="AI19" i="28"/>
  <c r="AH15" i="28"/>
  <c r="AH32" i="28"/>
  <c r="AH34" i="28"/>
  <c r="AH44" i="28"/>
  <c r="AH48" i="28"/>
  <c r="AH7" i="28"/>
  <c r="AH53" i="28"/>
  <c r="AH41" i="28"/>
  <c r="AH51" i="28"/>
  <c r="AH27" i="28"/>
  <c r="AH13" i="28"/>
  <c r="AH28" i="28"/>
  <c r="AH14" i="28"/>
  <c r="AH43" i="28"/>
  <c r="AH18" i="28"/>
  <c r="AH31" i="28"/>
  <c r="AH46" i="28"/>
  <c r="AH8" i="28"/>
  <c r="AH11" i="28"/>
  <c r="AH52" i="28"/>
  <c r="AH47" i="28"/>
  <c r="AH17" i="28"/>
  <c r="AH39" i="28"/>
  <c r="AH21" i="28"/>
  <c r="AH38" i="28"/>
  <c r="AH23" i="28"/>
  <c r="AH33" i="28"/>
  <c r="AH50" i="28"/>
  <c r="AH35" i="28"/>
  <c r="AH49" i="28"/>
  <c r="AH10" i="28"/>
  <c r="AH16" i="28"/>
  <c r="AH29" i="28"/>
  <c r="AH40" i="28"/>
  <c r="AH30" i="28"/>
  <c r="AH42" i="28"/>
  <c r="AH36" i="28"/>
  <c r="AH37" i="28"/>
  <c r="AH12" i="28"/>
  <c r="AH6" i="28"/>
  <c r="AH9" i="28"/>
  <c r="AH4" i="28"/>
  <c r="AH45" i="28"/>
  <c r="AH20" i="28"/>
  <c r="AH26" i="28"/>
  <c r="AH22" i="28"/>
  <c r="AH25" i="28"/>
  <c r="AH5" i="28"/>
  <c r="AH19" i="28"/>
  <c r="AG15" i="28"/>
  <c r="AG32" i="28"/>
  <c r="AG34" i="28"/>
  <c r="AG44" i="28"/>
  <c r="AG48" i="28"/>
  <c r="AG7" i="28"/>
  <c r="AG53" i="28"/>
  <c r="AG41" i="28"/>
  <c r="AG51" i="28"/>
  <c r="AG27" i="28"/>
  <c r="AG13" i="28"/>
  <c r="AG28" i="28"/>
  <c r="AG14" i="28"/>
  <c r="AG43" i="28"/>
  <c r="AG18" i="28"/>
  <c r="AG31" i="28"/>
  <c r="AG46" i="28"/>
  <c r="AG8" i="28"/>
  <c r="AG11" i="28"/>
  <c r="AG52" i="28"/>
  <c r="AG47" i="28"/>
  <c r="AG17" i="28"/>
  <c r="AG39" i="28"/>
  <c r="AG21" i="28"/>
  <c r="AG38" i="28"/>
  <c r="AG23" i="28"/>
  <c r="AG33" i="28"/>
  <c r="AG50" i="28"/>
  <c r="AG35" i="28"/>
  <c r="AG49" i="28"/>
  <c r="AG10" i="28"/>
  <c r="AG16" i="28"/>
  <c r="AG29" i="28"/>
  <c r="AG40" i="28"/>
  <c r="AG30" i="28"/>
  <c r="AG42" i="28"/>
  <c r="AG36" i="28"/>
  <c r="AG37" i="28"/>
  <c r="AG12" i="28"/>
  <c r="AG6" i="28"/>
  <c r="AG9" i="28"/>
  <c r="AG4" i="28"/>
  <c r="AG45" i="28"/>
  <c r="AG20" i="28"/>
  <c r="AG26" i="28"/>
  <c r="AG22" i="28"/>
  <c r="AG25" i="28"/>
  <c r="AG5" i="28"/>
  <c r="AG19" i="28"/>
  <c r="AF15" i="28"/>
  <c r="AF32" i="28"/>
  <c r="AF34" i="28"/>
  <c r="AF44" i="28"/>
  <c r="AF48" i="28"/>
  <c r="AF7" i="28"/>
  <c r="AF53" i="28"/>
  <c r="AF41" i="28"/>
  <c r="AF51" i="28"/>
  <c r="AF27" i="28"/>
  <c r="AF13" i="28"/>
  <c r="AF28" i="28"/>
  <c r="AF14" i="28"/>
  <c r="AF43" i="28"/>
  <c r="AF18" i="28"/>
  <c r="AF31" i="28"/>
  <c r="AF46" i="28"/>
  <c r="AF8" i="28"/>
  <c r="AF11" i="28"/>
  <c r="AF52" i="28"/>
  <c r="AF47" i="28"/>
  <c r="AF17" i="28"/>
  <c r="AF39" i="28"/>
  <c r="AF21" i="28"/>
  <c r="AF38" i="28"/>
  <c r="AF23" i="28"/>
  <c r="AF33" i="28"/>
  <c r="AF50" i="28"/>
  <c r="AF35" i="28"/>
  <c r="AF49" i="28"/>
  <c r="AF10" i="28"/>
  <c r="AF16" i="28"/>
  <c r="AF29" i="28"/>
  <c r="AF40" i="28"/>
  <c r="AF30" i="28"/>
  <c r="AF42" i="28"/>
  <c r="AF36" i="28"/>
  <c r="AF37" i="28"/>
  <c r="AF12" i="28"/>
  <c r="AF6" i="28"/>
  <c r="AF9" i="28"/>
  <c r="AF4" i="28"/>
  <c r="AF45" i="28"/>
  <c r="AF20" i="28"/>
  <c r="AF26" i="28"/>
  <c r="AF22" i="28"/>
  <c r="AF25" i="28"/>
  <c r="AF5" i="28"/>
  <c r="AF19" i="28"/>
  <c r="AE15" i="28"/>
  <c r="AE32" i="28"/>
  <c r="AE34" i="28"/>
  <c r="AE44" i="28"/>
  <c r="AE48" i="28"/>
  <c r="AE7" i="28"/>
  <c r="AE53" i="28"/>
  <c r="AE41" i="28"/>
  <c r="AE51" i="28"/>
  <c r="AE27" i="28"/>
  <c r="AE13" i="28"/>
  <c r="AE28" i="28"/>
  <c r="AE14" i="28"/>
  <c r="AE43" i="28"/>
  <c r="AE18" i="28"/>
  <c r="AE31" i="28"/>
  <c r="AE46" i="28"/>
  <c r="AE8" i="28"/>
  <c r="AE11" i="28"/>
  <c r="AE52" i="28"/>
  <c r="AE47" i="28"/>
  <c r="AE17" i="28"/>
  <c r="AE39" i="28"/>
  <c r="AE21" i="28"/>
  <c r="AE38" i="28"/>
  <c r="AE23" i="28"/>
  <c r="AE33" i="28"/>
  <c r="AE50" i="28"/>
  <c r="AE35" i="28"/>
  <c r="AE49" i="28"/>
  <c r="AE10" i="28"/>
  <c r="AE16" i="28"/>
  <c r="AE29" i="28"/>
  <c r="AE40" i="28"/>
  <c r="AE30" i="28"/>
  <c r="AE42" i="28"/>
  <c r="AE36" i="28"/>
  <c r="AE37" i="28"/>
  <c r="AE12" i="28"/>
  <c r="AE6" i="28"/>
  <c r="AE9" i="28"/>
  <c r="AE4" i="28"/>
  <c r="AE45" i="28"/>
  <c r="AE20" i="28"/>
  <c r="AE26" i="28"/>
  <c r="AE22" i="28"/>
  <c r="AE25" i="28"/>
  <c r="AE5" i="28"/>
  <c r="AE19" i="28"/>
  <c r="AD15" i="28"/>
  <c r="AD32" i="28"/>
  <c r="AD34" i="28"/>
  <c r="AD44" i="28"/>
  <c r="AD48" i="28"/>
  <c r="AD7" i="28"/>
  <c r="AD53" i="28"/>
  <c r="AD41" i="28"/>
  <c r="AD51" i="28"/>
  <c r="AD27" i="28"/>
  <c r="AD13" i="28"/>
  <c r="AD28" i="28"/>
  <c r="AD14" i="28"/>
  <c r="AD43" i="28"/>
  <c r="AD18" i="28"/>
  <c r="AD31" i="28"/>
  <c r="AD46" i="28"/>
  <c r="AD8" i="28"/>
  <c r="AD11" i="28"/>
  <c r="AD52" i="28"/>
  <c r="AD47" i="28"/>
  <c r="AD17" i="28"/>
  <c r="AD39" i="28"/>
  <c r="AD21" i="28"/>
  <c r="AD38" i="28"/>
  <c r="AD23" i="28"/>
  <c r="AD33" i="28"/>
  <c r="AD50" i="28"/>
  <c r="AD35" i="28"/>
  <c r="AD49" i="28"/>
  <c r="AD10" i="28"/>
  <c r="AD16" i="28"/>
  <c r="AD29" i="28"/>
  <c r="AD40" i="28"/>
  <c r="AD30" i="28"/>
  <c r="AD42" i="28"/>
  <c r="AD36" i="28"/>
  <c r="AD37" i="28"/>
  <c r="AD12" i="28"/>
  <c r="AD6" i="28"/>
  <c r="AD9" i="28"/>
  <c r="AD4" i="28"/>
  <c r="AD45" i="28"/>
  <c r="AD20" i="28"/>
  <c r="AD26" i="28"/>
  <c r="AD22" i="28"/>
  <c r="AD25" i="28"/>
  <c r="AD5" i="28"/>
  <c r="AD19" i="28"/>
  <c r="AC15" i="28"/>
  <c r="AC32" i="28"/>
  <c r="AC34" i="28"/>
  <c r="AC44" i="28"/>
  <c r="AC48" i="28"/>
  <c r="AC7" i="28"/>
  <c r="AC53" i="28"/>
  <c r="AC41" i="28"/>
  <c r="AC51" i="28"/>
  <c r="AC27" i="28"/>
  <c r="AC13" i="28"/>
  <c r="AC28" i="28"/>
  <c r="AC14" i="28"/>
  <c r="AC43" i="28"/>
  <c r="AC18" i="28"/>
  <c r="AC31" i="28"/>
  <c r="AC46" i="28"/>
  <c r="AC8" i="28"/>
  <c r="AC11" i="28"/>
  <c r="AC52" i="28"/>
  <c r="AC47" i="28"/>
  <c r="AC17" i="28"/>
  <c r="AC39" i="28"/>
  <c r="AC21" i="28"/>
  <c r="AC38" i="28"/>
  <c r="AC23" i="28"/>
  <c r="AC33" i="28"/>
  <c r="AC50" i="28"/>
  <c r="AC35" i="28"/>
  <c r="AC49" i="28"/>
  <c r="AC10" i="28"/>
  <c r="AC16" i="28"/>
  <c r="AC29" i="28"/>
  <c r="AC40" i="28"/>
  <c r="AC30" i="28"/>
  <c r="AC42" i="28"/>
  <c r="AC36" i="28"/>
  <c r="AC37" i="28"/>
  <c r="AC12" i="28"/>
  <c r="AC6" i="28"/>
  <c r="AC9" i="28"/>
  <c r="AC4" i="28"/>
  <c r="AC45" i="28"/>
  <c r="AC20" i="28"/>
  <c r="AC26" i="28"/>
  <c r="AC22" i="28"/>
  <c r="AC25" i="28"/>
  <c r="AC5" i="28"/>
  <c r="AC19" i="28"/>
  <c r="AB15" i="28"/>
  <c r="AB32" i="28"/>
  <c r="AB34" i="28"/>
  <c r="AB44" i="28"/>
  <c r="AB48" i="28"/>
  <c r="AB7" i="28"/>
  <c r="AB53" i="28"/>
  <c r="AB41" i="28"/>
  <c r="AB51" i="28"/>
  <c r="AB27" i="28"/>
  <c r="AB13" i="28"/>
  <c r="AB28" i="28"/>
  <c r="AB14" i="28"/>
  <c r="AB43" i="28"/>
  <c r="AB18" i="28"/>
  <c r="AB31" i="28"/>
  <c r="AB46" i="28"/>
  <c r="AB8" i="28"/>
  <c r="AB11" i="28"/>
  <c r="AB52" i="28"/>
  <c r="AB47" i="28"/>
  <c r="AB17" i="28"/>
  <c r="AB39" i="28"/>
  <c r="AB21" i="28"/>
  <c r="AB38" i="28"/>
  <c r="AB23" i="28"/>
  <c r="AB33" i="28"/>
  <c r="AB50" i="28"/>
  <c r="AB35" i="28"/>
  <c r="AB49" i="28"/>
  <c r="AB10" i="28"/>
  <c r="AB16" i="28"/>
  <c r="AB29" i="28"/>
  <c r="AB40" i="28"/>
  <c r="AB30" i="28"/>
  <c r="AB42" i="28"/>
  <c r="AB36" i="28"/>
  <c r="AB37" i="28"/>
  <c r="AB12" i="28"/>
  <c r="AB6" i="28"/>
  <c r="AB9" i="28"/>
  <c r="AB4" i="28"/>
  <c r="AB45" i="28"/>
  <c r="AB20" i="28"/>
  <c r="AB26" i="28"/>
  <c r="AB22" i="28"/>
  <c r="AB25" i="28"/>
  <c r="AB5" i="28"/>
  <c r="AB19" i="28"/>
  <c r="AA15" i="28"/>
  <c r="AA32" i="28"/>
  <c r="AA34" i="28"/>
  <c r="AA44" i="28"/>
  <c r="AA48" i="28"/>
  <c r="AA7" i="28"/>
  <c r="AA53" i="28"/>
  <c r="AA41" i="28"/>
  <c r="AA51" i="28"/>
  <c r="AA27" i="28"/>
  <c r="AA13" i="28"/>
  <c r="AA28" i="28"/>
  <c r="AA14" i="28"/>
  <c r="AA43" i="28"/>
  <c r="AA18" i="28"/>
  <c r="AA31" i="28"/>
  <c r="AA46" i="28"/>
  <c r="AA8" i="28"/>
  <c r="AA11" i="28"/>
  <c r="AA52" i="28"/>
  <c r="AA47" i="28"/>
  <c r="AA17" i="28"/>
  <c r="AA39" i="28"/>
  <c r="AA21" i="28"/>
  <c r="AA38" i="28"/>
  <c r="AA23" i="28"/>
  <c r="AA33" i="28"/>
  <c r="AA50" i="28"/>
  <c r="AA35" i="28"/>
  <c r="AA49" i="28"/>
  <c r="AA10" i="28"/>
  <c r="AA16" i="28"/>
  <c r="AA29" i="28"/>
  <c r="AA40" i="28"/>
  <c r="AA30" i="28"/>
  <c r="AA42" i="28"/>
  <c r="AA36" i="28"/>
  <c r="AA37" i="28"/>
  <c r="AA12" i="28"/>
  <c r="AA6" i="28"/>
  <c r="AA9" i="28"/>
  <c r="AA4" i="28"/>
  <c r="AA45" i="28"/>
  <c r="AA20" i="28"/>
  <c r="AA26" i="28"/>
  <c r="AA22" i="28"/>
  <c r="AA25" i="28"/>
  <c r="AA5" i="28"/>
  <c r="AA19" i="28"/>
  <c r="Z15" i="28"/>
  <c r="Z32" i="28"/>
  <c r="Z34" i="28"/>
  <c r="Z44" i="28"/>
  <c r="Z48" i="28"/>
  <c r="Z7" i="28"/>
  <c r="Z53" i="28"/>
  <c r="Z41" i="28"/>
  <c r="Z51" i="28"/>
  <c r="Z27" i="28"/>
  <c r="Z13" i="28"/>
  <c r="Z28" i="28"/>
  <c r="Z14" i="28"/>
  <c r="Z43" i="28"/>
  <c r="Z18" i="28"/>
  <c r="Z31" i="28"/>
  <c r="Z46" i="28"/>
  <c r="Z8" i="28"/>
  <c r="Z11" i="28"/>
  <c r="Z52" i="28"/>
  <c r="Z47" i="28"/>
  <c r="Z17" i="28"/>
  <c r="Z39" i="28"/>
  <c r="Z21" i="28"/>
  <c r="Z38" i="28"/>
  <c r="Z23" i="28"/>
  <c r="Z33" i="28"/>
  <c r="Z50" i="28"/>
  <c r="Z35" i="28"/>
  <c r="Z49" i="28"/>
  <c r="Z10" i="28"/>
  <c r="Z16" i="28"/>
  <c r="Z29" i="28"/>
  <c r="Z40" i="28"/>
  <c r="Z30" i="28"/>
  <c r="Z42" i="28"/>
  <c r="Z36" i="28"/>
  <c r="Z37" i="28"/>
  <c r="Z12" i="28"/>
  <c r="Z6" i="28"/>
  <c r="Z9" i="28"/>
  <c r="Z4" i="28"/>
  <c r="Z45" i="28"/>
  <c r="Z20" i="28"/>
  <c r="Z26" i="28"/>
  <c r="Z22" i="28"/>
  <c r="Z25" i="28"/>
  <c r="Z5" i="28"/>
  <c r="Z19" i="28"/>
  <c r="Y15" i="28"/>
  <c r="Y32" i="28"/>
  <c r="Y34" i="28"/>
  <c r="Y44" i="28"/>
  <c r="Y48" i="28"/>
  <c r="Y7" i="28"/>
  <c r="Y53" i="28"/>
  <c r="Y41" i="28"/>
  <c r="Y51" i="28"/>
  <c r="Y27" i="28"/>
  <c r="Y13" i="28"/>
  <c r="Y28" i="28"/>
  <c r="Y14" i="28"/>
  <c r="Y43" i="28"/>
  <c r="Y18" i="28"/>
  <c r="Y31" i="28"/>
  <c r="Y46" i="28"/>
  <c r="Y8" i="28"/>
  <c r="Y11" i="28"/>
  <c r="Y52" i="28"/>
  <c r="Y47" i="28"/>
  <c r="Y17" i="28"/>
  <c r="Y39" i="28"/>
  <c r="Y21" i="28"/>
  <c r="Y38" i="28"/>
  <c r="Y23" i="28"/>
  <c r="Y33" i="28"/>
  <c r="Y50" i="28"/>
  <c r="Y35" i="28"/>
  <c r="Y49" i="28"/>
  <c r="Y10" i="28"/>
  <c r="Y16" i="28"/>
  <c r="Y29" i="28"/>
  <c r="Y40" i="28"/>
  <c r="Y30" i="28"/>
  <c r="Y42" i="28"/>
  <c r="Y36" i="28"/>
  <c r="Y37" i="28"/>
  <c r="Y12" i="28"/>
  <c r="Y6" i="28"/>
  <c r="Y9" i="28"/>
  <c r="Y4" i="28"/>
  <c r="Y45" i="28"/>
  <c r="Y20" i="28"/>
  <c r="Y26" i="28"/>
  <c r="Y22" i="28"/>
  <c r="Y25" i="28"/>
  <c r="Y5" i="28"/>
  <c r="Y19" i="28"/>
  <c r="X15" i="28"/>
  <c r="X32" i="28"/>
  <c r="X34" i="28"/>
  <c r="X44" i="28"/>
  <c r="X48" i="28"/>
  <c r="X7" i="28"/>
  <c r="X53" i="28"/>
  <c r="X41" i="28"/>
  <c r="X51" i="28"/>
  <c r="X27" i="28"/>
  <c r="X13" i="28"/>
  <c r="X28" i="28"/>
  <c r="X14" i="28"/>
  <c r="X43" i="28"/>
  <c r="X18" i="28"/>
  <c r="X31" i="28"/>
  <c r="X46" i="28"/>
  <c r="X8" i="28"/>
  <c r="X11" i="28"/>
  <c r="X52" i="28"/>
  <c r="X47" i="28"/>
  <c r="X17" i="28"/>
  <c r="X39" i="28"/>
  <c r="X21" i="28"/>
  <c r="X38" i="28"/>
  <c r="X23" i="28"/>
  <c r="X33" i="28"/>
  <c r="X50" i="28"/>
  <c r="X35" i="28"/>
  <c r="X49" i="28"/>
  <c r="X10" i="28"/>
  <c r="X16" i="28"/>
  <c r="X29" i="28"/>
  <c r="X40" i="28"/>
  <c r="X30" i="28"/>
  <c r="X42" i="28"/>
  <c r="X36" i="28"/>
  <c r="X37" i="28"/>
  <c r="X12" i="28"/>
  <c r="X6" i="28"/>
  <c r="X9" i="28"/>
  <c r="X4" i="28"/>
  <c r="X45" i="28"/>
  <c r="X20" i="28"/>
  <c r="X26" i="28"/>
  <c r="X22" i="28"/>
  <c r="X25" i="28"/>
  <c r="X5" i="28"/>
  <c r="X19" i="28"/>
  <c r="W15" i="28"/>
  <c r="W32" i="28"/>
  <c r="W34" i="28"/>
  <c r="W44" i="28"/>
  <c r="W48" i="28"/>
  <c r="W7" i="28"/>
  <c r="W53" i="28"/>
  <c r="W41" i="28"/>
  <c r="W51" i="28"/>
  <c r="W27" i="28"/>
  <c r="W13" i="28"/>
  <c r="W28" i="28"/>
  <c r="W14" i="28"/>
  <c r="W43" i="28"/>
  <c r="W18" i="28"/>
  <c r="W31" i="28"/>
  <c r="W46" i="28"/>
  <c r="W8" i="28"/>
  <c r="W11" i="28"/>
  <c r="W52" i="28"/>
  <c r="W47" i="28"/>
  <c r="W17" i="28"/>
  <c r="W39" i="28"/>
  <c r="W21" i="28"/>
  <c r="W38" i="28"/>
  <c r="W23" i="28"/>
  <c r="W33" i="28"/>
  <c r="W50" i="28"/>
  <c r="W35" i="28"/>
  <c r="W49" i="28"/>
  <c r="W10" i="28"/>
  <c r="W16" i="28"/>
  <c r="W29" i="28"/>
  <c r="W40" i="28"/>
  <c r="W30" i="28"/>
  <c r="W42" i="28"/>
  <c r="W36" i="28"/>
  <c r="W37" i="28"/>
  <c r="W12" i="28"/>
  <c r="W6" i="28"/>
  <c r="W9" i="28"/>
  <c r="W4" i="28"/>
  <c r="W45" i="28"/>
  <c r="W20" i="28"/>
  <c r="W26" i="28"/>
  <c r="W22" i="28"/>
  <c r="W25" i="28"/>
  <c r="W5" i="28"/>
  <c r="W19" i="28"/>
  <c r="V15" i="28"/>
  <c r="V32" i="28"/>
  <c r="V34" i="28"/>
  <c r="V44" i="28"/>
  <c r="V48" i="28"/>
  <c r="V7" i="28"/>
  <c r="V53" i="28"/>
  <c r="V41" i="28"/>
  <c r="V51" i="28"/>
  <c r="V27" i="28"/>
  <c r="V13" i="28"/>
  <c r="V28" i="28"/>
  <c r="V14" i="28"/>
  <c r="V43" i="28"/>
  <c r="V18" i="28"/>
  <c r="V31" i="28"/>
  <c r="V46" i="28"/>
  <c r="V8" i="28"/>
  <c r="V11" i="28"/>
  <c r="V52" i="28"/>
  <c r="V47" i="28"/>
  <c r="V17" i="28"/>
  <c r="V39" i="28"/>
  <c r="V21" i="28"/>
  <c r="V38" i="28"/>
  <c r="V23" i="28"/>
  <c r="V33" i="28"/>
  <c r="V50" i="28"/>
  <c r="V35" i="28"/>
  <c r="V49" i="28"/>
  <c r="V10" i="28"/>
  <c r="V16" i="28"/>
  <c r="V29" i="28"/>
  <c r="V40" i="28"/>
  <c r="V30" i="28"/>
  <c r="V42" i="28"/>
  <c r="V36" i="28"/>
  <c r="V37" i="28"/>
  <c r="V12" i="28"/>
  <c r="V6" i="28"/>
  <c r="V9" i="28"/>
  <c r="V4" i="28"/>
  <c r="V45" i="28"/>
  <c r="V20" i="28"/>
  <c r="V26" i="28"/>
  <c r="V22" i="28"/>
  <c r="V25" i="28"/>
  <c r="V5" i="28"/>
  <c r="V19" i="28"/>
  <c r="U15" i="28"/>
  <c r="U32" i="28"/>
  <c r="U34" i="28"/>
  <c r="U44" i="28"/>
  <c r="U48" i="28"/>
  <c r="U7" i="28"/>
  <c r="U53" i="28"/>
  <c r="U41" i="28"/>
  <c r="U51" i="28"/>
  <c r="U27" i="28"/>
  <c r="U13" i="28"/>
  <c r="U28" i="28"/>
  <c r="U14" i="28"/>
  <c r="U43" i="28"/>
  <c r="U18" i="28"/>
  <c r="U31" i="28"/>
  <c r="U46" i="28"/>
  <c r="U8" i="28"/>
  <c r="U11" i="28"/>
  <c r="U52" i="28"/>
  <c r="U47" i="28"/>
  <c r="U17" i="28"/>
  <c r="U39" i="28"/>
  <c r="U21" i="28"/>
  <c r="U38" i="28"/>
  <c r="U23" i="28"/>
  <c r="U33" i="28"/>
  <c r="U50" i="28"/>
  <c r="U35" i="28"/>
  <c r="U49" i="28"/>
  <c r="U10" i="28"/>
  <c r="U16" i="28"/>
  <c r="U29" i="28"/>
  <c r="U40" i="28"/>
  <c r="U30" i="28"/>
  <c r="U42" i="28"/>
  <c r="U36" i="28"/>
  <c r="U37" i="28"/>
  <c r="U12" i="28"/>
  <c r="U6" i="28"/>
  <c r="U9" i="28"/>
  <c r="U4" i="28"/>
  <c r="U45" i="28"/>
  <c r="U20" i="28"/>
  <c r="U26" i="28"/>
  <c r="U22" i="28"/>
  <c r="U25" i="28"/>
  <c r="U5" i="28"/>
  <c r="U19" i="28"/>
  <c r="T15" i="28"/>
  <c r="T32" i="28"/>
  <c r="T34" i="28"/>
  <c r="T44" i="28"/>
  <c r="T48" i="28"/>
  <c r="T7" i="28"/>
  <c r="T53" i="28"/>
  <c r="T41" i="28"/>
  <c r="T51" i="28"/>
  <c r="T27" i="28"/>
  <c r="T13" i="28"/>
  <c r="T28" i="28"/>
  <c r="T14" i="28"/>
  <c r="T43" i="28"/>
  <c r="T18" i="28"/>
  <c r="T31" i="28"/>
  <c r="T46" i="28"/>
  <c r="T8" i="28"/>
  <c r="T11" i="28"/>
  <c r="T52" i="28"/>
  <c r="T47" i="28"/>
  <c r="T17" i="28"/>
  <c r="T39" i="28"/>
  <c r="T21" i="28"/>
  <c r="T38" i="28"/>
  <c r="T23" i="28"/>
  <c r="T33" i="28"/>
  <c r="T50" i="28"/>
  <c r="T35" i="28"/>
  <c r="T49" i="28"/>
  <c r="T10" i="28"/>
  <c r="T16" i="28"/>
  <c r="T29" i="28"/>
  <c r="T40" i="28"/>
  <c r="T30" i="28"/>
  <c r="T42" i="28"/>
  <c r="T36" i="28"/>
  <c r="T37" i="28"/>
  <c r="T12" i="28"/>
  <c r="T6" i="28"/>
  <c r="T9" i="28"/>
  <c r="T4" i="28"/>
  <c r="T45" i="28"/>
  <c r="T20" i="28"/>
  <c r="T26" i="28"/>
  <c r="T22" i="28"/>
  <c r="T25" i="28"/>
  <c r="T5" i="28"/>
  <c r="T19" i="28"/>
  <c r="S15" i="28"/>
  <c r="S32" i="28"/>
  <c r="S34" i="28"/>
  <c r="S44" i="28"/>
  <c r="S48" i="28"/>
  <c r="S7" i="28"/>
  <c r="S53" i="28"/>
  <c r="S41" i="28"/>
  <c r="S51" i="28"/>
  <c r="S27" i="28"/>
  <c r="S13" i="28"/>
  <c r="S28" i="28"/>
  <c r="S14" i="28"/>
  <c r="S43" i="28"/>
  <c r="S18" i="28"/>
  <c r="S31" i="28"/>
  <c r="S46" i="28"/>
  <c r="S8" i="28"/>
  <c r="S11" i="28"/>
  <c r="S52" i="28"/>
  <c r="S47" i="28"/>
  <c r="S17" i="28"/>
  <c r="S39" i="28"/>
  <c r="S21" i="28"/>
  <c r="S38" i="28"/>
  <c r="S23" i="28"/>
  <c r="S33" i="28"/>
  <c r="S50" i="28"/>
  <c r="S35" i="28"/>
  <c r="S49" i="28"/>
  <c r="S10" i="28"/>
  <c r="S16" i="28"/>
  <c r="S29" i="28"/>
  <c r="S40" i="28"/>
  <c r="S30" i="28"/>
  <c r="S42" i="28"/>
  <c r="S36" i="28"/>
  <c r="S37" i="28"/>
  <c r="S12" i="28"/>
  <c r="S6" i="28"/>
  <c r="S9" i="28"/>
  <c r="S4" i="28"/>
  <c r="S45" i="28"/>
  <c r="S20" i="28"/>
  <c r="S26" i="28"/>
  <c r="S22" i="28"/>
  <c r="S25" i="28"/>
  <c r="S5" i="28"/>
  <c r="S19" i="28"/>
  <c r="R15" i="28"/>
  <c r="R32" i="28"/>
  <c r="R34" i="28"/>
  <c r="R44" i="28"/>
  <c r="R48" i="28"/>
  <c r="R7" i="28"/>
  <c r="R53" i="28"/>
  <c r="R41" i="28"/>
  <c r="R51" i="28"/>
  <c r="R27" i="28"/>
  <c r="R13" i="28"/>
  <c r="R28" i="28"/>
  <c r="R14" i="28"/>
  <c r="R43" i="28"/>
  <c r="R18" i="28"/>
  <c r="R31" i="28"/>
  <c r="R46" i="28"/>
  <c r="R8" i="28"/>
  <c r="R11" i="28"/>
  <c r="R52" i="28"/>
  <c r="R47" i="28"/>
  <c r="R17" i="28"/>
  <c r="R39" i="28"/>
  <c r="R21" i="28"/>
  <c r="R38" i="28"/>
  <c r="R23" i="28"/>
  <c r="R33" i="28"/>
  <c r="R50" i="28"/>
  <c r="R35" i="28"/>
  <c r="R49" i="28"/>
  <c r="R10" i="28"/>
  <c r="R16" i="28"/>
  <c r="R29" i="28"/>
  <c r="R40" i="28"/>
  <c r="R30" i="28"/>
  <c r="R42" i="28"/>
  <c r="R36" i="28"/>
  <c r="R37" i="28"/>
  <c r="R12" i="28"/>
  <c r="R6" i="28"/>
  <c r="R9" i="28"/>
  <c r="R4" i="28"/>
  <c r="R45" i="28"/>
  <c r="R20" i="28"/>
  <c r="R26" i="28"/>
  <c r="R22" i="28"/>
  <c r="R25" i="28"/>
  <c r="R5" i="28"/>
  <c r="R19" i="28"/>
  <c r="Q15" i="28"/>
  <c r="Q32" i="28"/>
  <c r="Q34" i="28"/>
  <c r="Q44" i="28"/>
  <c r="Q48" i="28"/>
  <c r="Q7" i="28"/>
  <c r="Q53" i="28"/>
  <c r="Q41" i="28"/>
  <c r="Q51" i="28"/>
  <c r="Q27" i="28"/>
  <c r="Q13" i="28"/>
  <c r="Q28" i="28"/>
  <c r="Q14" i="28"/>
  <c r="Q43" i="28"/>
  <c r="Q18" i="28"/>
  <c r="Q31" i="28"/>
  <c r="Q46" i="28"/>
  <c r="Q8" i="28"/>
  <c r="Q11" i="28"/>
  <c r="Q52" i="28"/>
  <c r="Q47" i="28"/>
  <c r="Q17" i="28"/>
  <c r="Q39" i="28"/>
  <c r="Q21" i="28"/>
  <c r="Q38" i="28"/>
  <c r="Q23" i="28"/>
  <c r="Q33" i="28"/>
  <c r="Q50" i="28"/>
  <c r="Q35" i="28"/>
  <c r="Q49" i="28"/>
  <c r="Q10" i="28"/>
  <c r="Q16" i="28"/>
  <c r="Q29" i="28"/>
  <c r="Q40" i="28"/>
  <c r="Q30" i="28"/>
  <c r="Q42" i="28"/>
  <c r="Q36" i="28"/>
  <c r="Q37" i="28"/>
  <c r="Q12" i="28"/>
  <c r="Q6" i="28"/>
  <c r="Q9" i="28"/>
  <c r="Q4" i="28"/>
  <c r="Q45" i="28"/>
  <c r="Q20" i="28"/>
  <c r="Q26" i="28"/>
  <c r="Q22" i="28"/>
  <c r="Q25" i="28"/>
  <c r="Q5" i="28"/>
  <c r="Q19" i="28"/>
  <c r="P15" i="28"/>
  <c r="P32" i="28"/>
  <c r="P34" i="28"/>
  <c r="P44" i="28"/>
  <c r="P48" i="28"/>
  <c r="P7" i="28"/>
  <c r="P53" i="28"/>
  <c r="P41" i="28"/>
  <c r="P51" i="28"/>
  <c r="P27" i="28"/>
  <c r="P13" i="28"/>
  <c r="P28" i="28"/>
  <c r="P14" i="28"/>
  <c r="P43" i="28"/>
  <c r="P18" i="28"/>
  <c r="P31" i="28"/>
  <c r="P46" i="28"/>
  <c r="P8" i="28"/>
  <c r="P11" i="28"/>
  <c r="P52" i="28"/>
  <c r="P47" i="28"/>
  <c r="P17" i="28"/>
  <c r="P39" i="28"/>
  <c r="P21" i="28"/>
  <c r="P38" i="28"/>
  <c r="P23" i="28"/>
  <c r="P33" i="28"/>
  <c r="P50" i="28"/>
  <c r="P35" i="28"/>
  <c r="P49" i="28"/>
  <c r="P10" i="28"/>
  <c r="P16" i="28"/>
  <c r="P29" i="28"/>
  <c r="P40" i="28"/>
  <c r="P30" i="28"/>
  <c r="P42" i="28"/>
  <c r="P36" i="28"/>
  <c r="P37" i="28"/>
  <c r="P12" i="28"/>
  <c r="P6" i="28"/>
  <c r="P9" i="28"/>
  <c r="P4" i="28"/>
  <c r="P45" i="28"/>
  <c r="P20" i="28"/>
  <c r="P26" i="28"/>
  <c r="P22" i="28"/>
  <c r="P25" i="28"/>
  <c r="P5" i="28"/>
  <c r="P19" i="28"/>
  <c r="O15" i="28"/>
  <c r="O32" i="28"/>
  <c r="O34" i="28"/>
  <c r="O44" i="28"/>
  <c r="O48" i="28"/>
  <c r="O7" i="28"/>
  <c r="O53" i="28"/>
  <c r="O41" i="28"/>
  <c r="O51" i="28"/>
  <c r="O27" i="28"/>
  <c r="O13" i="28"/>
  <c r="O28" i="28"/>
  <c r="O14" i="28"/>
  <c r="O43" i="28"/>
  <c r="O18" i="28"/>
  <c r="O31" i="28"/>
  <c r="O46" i="28"/>
  <c r="O8" i="28"/>
  <c r="O11" i="28"/>
  <c r="O52" i="28"/>
  <c r="O47" i="28"/>
  <c r="O17" i="28"/>
  <c r="O39" i="28"/>
  <c r="O21" i="28"/>
  <c r="O38" i="28"/>
  <c r="O23" i="28"/>
  <c r="O33" i="28"/>
  <c r="O50" i="28"/>
  <c r="O35" i="28"/>
  <c r="O49" i="28"/>
  <c r="O10" i="28"/>
  <c r="O16" i="28"/>
  <c r="O29" i="28"/>
  <c r="O40" i="28"/>
  <c r="O30" i="28"/>
  <c r="O42" i="28"/>
  <c r="O36" i="28"/>
  <c r="O37" i="28"/>
  <c r="O12" i="28"/>
  <c r="O6" i="28"/>
  <c r="O9" i="28"/>
  <c r="O4" i="28"/>
  <c r="O45" i="28"/>
  <c r="O20" i="28"/>
  <c r="O26" i="28"/>
  <c r="O22" i="28"/>
  <c r="O25" i="28"/>
  <c r="O5" i="28"/>
  <c r="O19" i="28"/>
  <c r="N15" i="28"/>
  <c r="N32" i="28"/>
  <c r="N34" i="28"/>
  <c r="N44" i="28"/>
  <c r="N48" i="28"/>
  <c r="N7" i="28"/>
  <c r="N53" i="28"/>
  <c r="N41" i="28"/>
  <c r="N51" i="28"/>
  <c r="N27" i="28"/>
  <c r="N13" i="28"/>
  <c r="N28" i="28"/>
  <c r="N14" i="28"/>
  <c r="N43" i="28"/>
  <c r="N18" i="28"/>
  <c r="N31" i="28"/>
  <c r="N46" i="28"/>
  <c r="N8" i="28"/>
  <c r="N11" i="28"/>
  <c r="N52" i="28"/>
  <c r="N47" i="28"/>
  <c r="N17" i="28"/>
  <c r="N39" i="28"/>
  <c r="N21" i="28"/>
  <c r="N38" i="28"/>
  <c r="N23" i="28"/>
  <c r="N33" i="28"/>
  <c r="N50" i="28"/>
  <c r="N35" i="28"/>
  <c r="N49" i="28"/>
  <c r="N10" i="28"/>
  <c r="N16" i="28"/>
  <c r="N29" i="28"/>
  <c r="N40" i="28"/>
  <c r="N30" i="28"/>
  <c r="N42" i="28"/>
  <c r="N36" i="28"/>
  <c r="N37" i="28"/>
  <c r="N12" i="28"/>
  <c r="N6" i="28"/>
  <c r="N9" i="28"/>
  <c r="N4" i="28"/>
  <c r="N45" i="28"/>
  <c r="N20" i="28"/>
  <c r="N26" i="28"/>
  <c r="N22" i="28"/>
  <c r="N25" i="28"/>
  <c r="N5" i="28"/>
  <c r="N19" i="28"/>
  <c r="M15" i="28"/>
  <c r="M32" i="28"/>
  <c r="M34" i="28"/>
  <c r="M44" i="28"/>
  <c r="M48" i="28"/>
  <c r="M7" i="28"/>
  <c r="M53" i="28"/>
  <c r="M41" i="28"/>
  <c r="M51" i="28"/>
  <c r="M27" i="28"/>
  <c r="M13" i="28"/>
  <c r="M28" i="28"/>
  <c r="M14" i="28"/>
  <c r="M43" i="28"/>
  <c r="M18" i="28"/>
  <c r="M31" i="28"/>
  <c r="M46" i="28"/>
  <c r="M8" i="28"/>
  <c r="M11" i="28"/>
  <c r="M52" i="28"/>
  <c r="M47" i="28"/>
  <c r="M17" i="28"/>
  <c r="M39" i="28"/>
  <c r="M21" i="28"/>
  <c r="M38" i="28"/>
  <c r="M23" i="28"/>
  <c r="M33" i="28"/>
  <c r="M50" i="28"/>
  <c r="M35" i="28"/>
  <c r="M49" i="28"/>
  <c r="M10" i="28"/>
  <c r="M16" i="28"/>
  <c r="M29" i="28"/>
  <c r="M40" i="28"/>
  <c r="M30" i="28"/>
  <c r="M42" i="28"/>
  <c r="M36" i="28"/>
  <c r="M37" i="28"/>
  <c r="M12" i="28"/>
  <c r="M6" i="28"/>
  <c r="M9" i="28"/>
  <c r="M4" i="28"/>
  <c r="M45" i="28"/>
  <c r="M20" i="28"/>
  <c r="M26" i="28"/>
  <c r="M22" i="28"/>
  <c r="M25" i="28"/>
  <c r="M5" i="28"/>
  <c r="M19" i="28"/>
  <c r="L15" i="28"/>
  <c r="L32" i="28"/>
  <c r="L34" i="28"/>
  <c r="L44" i="28"/>
  <c r="L48" i="28"/>
  <c r="L7" i="28"/>
  <c r="L53" i="28"/>
  <c r="L41" i="28"/>
  <c r="L51" i="28"/>
  <c r="L27" i="28"/>
  <c r="L13" i="28"/>
  <c r="L28" i="28"/>
  <c r="L14" i="28"/>
  <c r="L43" i="28"/>
  <c r="L18" i="28"/>
  <c r="L31" i="28"/>
  <c r="L46" i="28"/>
  <c r="L8" i="28"/>
  <c r="L11" i="28"/>
  <c r="L52" i="28"/>
  <c r="L47" i="28"/>
  <c r="L17" i="28"/>
  <c r="L39" i="28"/>
  <c r="L21" i="28"/>
  <c r="L38" i="28"/>
  <c r="L23" i="28"/>
  <c r="L33" i="28"/>
  <c r="L50" i="28"/>
  <c r="L35" i="28"/>
  <c r="L49" i="28"/>
  <c r="L10" i="28"/>
  <c r="L16" i="28"/>
  <c r="L29" i="28"/>
  <c r="L40" i="28"/>
  <c r="L30" i="28"/>
  <c r="L42" i="28"/>
  <c r="L36" i="28"/>
  <c r="L37" i="28"/>
  <c r="L12" i="28"/>
  <c r="L6" i="28"/>
  <c r="L9" i="28"/>
  <c r="L4" i="28"/>
  <c r="L45" i="28"/>
  <c r="L20" i="28"/>
  <c r="L26" i="28"/>
  <c r="L22" i="28"/>
  <c r="L25" i="28"/>
  <c r="L5" i="28"/>
  <c r="L19" i="28"/>
  <c r="K15" i="28"/>
  <c r="K32" i="28"/>
  <c r="K34" i="28"/>
  <c r="K44" i="28"/>
  <c r="K48" i="28"/>
  <c r="K7" i="28"/>
  <c r="K53" i="28"/>
  <c r="K41" i="28"/>
  <c r="K51" i="28"/>
  <c r="K27" i="28"/>
  <c r="K13" i="28"/>
  <c r="K28" i="28"/>
  <c r="K14" i="28"/>
  <c r="K43" i="28"/>
  <c r="K18" i="28"/>
  <c r="K31" i="28"/>
  <c r="K46" i="28"/>
  <c r="K8" i="28"/>
  <c r="K11" i="28"/>
  <c r="K52" i="28"/>
  <c r="K47" i="28"/>
  <c r="K17" i="28"/>
  <c r="K39" i="28"/>
  <c r="K21" i="28"/>
  <c r="K38" i="28"/>
  <c r="K23" i="28"/>
  <c r="K33" i="28"/>
  <c r="K50" i="28"/>
  <c r="K35" i="28"/>
  <c r="K49" i="28"/>
  <c r="K10" i="28"/>
  <c r="K16" i="28"/>
  <c r="K29" i="28"/>
  <c r="K40" i="28"/>
  <c r="K30" i="28"/>
  <c r="K42" i="28"/>
  <c r="K36" i="28"/>
  <c r="K37" i="28"/>
  <c r="K12" i="28"/>
  <c r="K6" i="28"/>
  <c r="K9" i="28"/>
  <c r="K4" i="28"/>
  <c r="K45" i="28"/>
  <c r="K20" i="28"/>
  <c r="K26" i="28"/>
  <c r="K22" i="28"/>
  <c r="K25" i="28"/>
  <c r="K5" i="28"/>
  <c r="K19" i="28"/>
  <c r="J15" i="28"/>
  <c r="J32" i="28"/>
  <c r="J34" i="28"/>
  <c r="J44" i="28"/>
  <c r="J48" i="28"/>
  <c r="J7" i="28"/>
  <c r="J53" i="28"/>
  <c r="J41" i="28"/>
  <c r="J51" i="28"/>
  <c r="J27" i="28"/>
  <c r="J13" i="28"/>
  <c r="J28" i="28"/>
  <c r="J14" i="28"/>
  <c r="J43" i="28"/>
  <c r="J18" i="28"/>
  <c r="J31" i="28"/>
  <c r="J46" i="28"/>
  <c r="J8" i="28"/>
  <c r="J11" i="28"/>
  <c r="J52" i="28"/>
  <c r="J47" i="28"/>
  <c r="J17" i="28"/>
  <c r="J39" i="28"/>
  <c r="J21" i="28"/>
  <c r="J38" i="28"/>
  <c r="J23" i="28"/>
  <c r="J33" i="28"/>
  <c r="J50" i="28"/>
  <c r="J35" i="28"/>
  <c r="J49" i="28"/>
  <c r="J10" i="28"/>
  <c r="J16" i="28"/>
  <c r="J29" i="28"/>
  <c r="J40" i="28"/>
  <c r="J30" i="28"/>
  <c r="J42" i="28"/>
  <c r="J36" i="28"/>
  <c r="J37" i="28"/>
  <c r="J12" i="28"/>
  <c r="J6" i="28"/>
  <c r="J9" i="28"/>
  <c r="J4" i="28"/>
  <c r="J45" i="28"/>
  <c r="J20" i="28"/>
  <c r="J26" i="28"/>
  <c r="J22" i="28"/>
  <c r="J25" i="28"/>
  <c r="J5" i="28"/>
  <c r="J19" i="28"/>
  <c r="I15" i="28"/>
  <c r="I32" i="28"/>
  <c r="I34" i="28"/>
  <c r="I44" i="28"/>
  <c r="I48" i="28"/>
  <c r="I7" i="28"/>
  <c r="I53" i="28"/>
  <c r="I41" i="28"/>
  <c r="I51" i="28"/>
  <c r="I27" i="28"/>
  <c r="I13" i="28"/>
  <c r="I28" i="28"/>
  <c r="I14" i="28"/>
  <c r="I43" i="28"/>
  <c r="I18" i="28"/>
  <c r="I31" i="28"/>
  <c r="I46" i="28"/>
  <c r="I8" i="28"/>
  <c r="I11" i="28"/>
  <c r="I52" i="28"/>
  <c r="I47" i="28"/>
  <c r="I17" i="28"/>
  <c r="I39" i="28"/>
  <c r="I21" i="28"/>
  <c r="I38" i="28"/>
  <c r="I23" i="28"/>
  <c r="I33" i="28"/>
  <c r="I50" i="28"/>
  <c r="I35" i="28"/>
  <c r="I49" i="28"/>
  <c r="I10" i="28"/>
  <c r="I16" i="28"/>
  <c r="I29" i="28"/>
  <c r="I40" i="28"/>
  <c r="I30" i="28"/>
  <c r="I42" i="28"/>
  <c r="I36" i="28"/>
  <c r="I37" i="28"/>
  <c r="I12" i="28"/>
  <c r="I6" i="28"/>
  <c r="I9" i="28"/>
  <c r="I4" i="28"/>
  <c r="I45" i="28"/>
  <c r="I20" i="28"/>
  <c r="I26" i="28"/>
  <c r="I22" i="28"/>
  <c r="I25" i="28"/>
  <c r="I5" i="28"/>
  <c r="I19" i="28"/>
  <c r="H15" i="28"/>
  <c r="H32" i="28"/>
  <c r="H34" i="28"/>
  <c r="H44" i="28"/>
  <c r="H48" i="28"/>
  <c r="H7" i="28"/>
  <c r="H53" i="28"/>
  <c r="H41" i="28"/>
  <c r="H51" i="28"/>
  <c r="H27" i="28"/>
  <c r="H13" i="28"/>
  <c r="H28" i="28"/>
  <c r="H14" i="28"/>
  <c r="H43" i="28"/>
  <c r="H18" i="28"/>
  <c r="H31" i="28"/>
  <c r="H46" i="28"/>
  <c r="H8" i="28"/>
  <c r="H11" i="28"/>
  <c r="H52" i="28"/>
  <c r="H47" i="28"/>
  <c r="H17" i="28"/>
  <c r="H39" i="28"/>
  <c r="H21" i="28"/>
  <c r="H38" i="28"/>
  <c r="H23" i="28"/>
  <c r="H33" i="28"/>
  <c r="H50" i="28"/>
  <c r="H35" i="28"/>
  <c r="H49" i="28"/>
  <c r="H10" i="28"/>
  <c r="H16" i="28"/>
  <c r="H29" i="28"/>
  <c r="H40" i="28"/>
  <c r="H30" i="28"/>
  <c r="H42" i="28"/>
  <c r="H36" i="28"/>
  <c r="H37" i="28"/>
  <c r="H12" i="28"/>
  <c r="H6" i="28"/>
  <c r="H9" i="28"/>
  <c r="H4" i="28"/>
  <c r="H45" i="28"/>
  <c r="H20" i="28"/>
  <c r="H26" i="28"/>
  <c r="H22" i="28"/>
  <c r="H25" i="28"/>
  <c r="H5" i="28"/>
  <c r="H19" i="28"/>
  <c r="G15" i="28"/>
  <c r="G32" i="28"/>
  <c r="G34" i="28"/>
  <c r="G44" i="28"/>
  <c r="G48" i="28"/>
  <c r="G7" i="28"/>
  <c r="G53" i="28"/>
  <c r="G41" i="28"/>
  <c r="G51" i="28"/>
  <c r="G27" i="28"/>
  <c r="G13" i="28"/>
  <c r="G28" i="28"/>
  <c r="G14" i="28"/>
  <c r="G43" i="28"/>
  <c r="G18" i="28"/>
  <c r="G31" i="28"/>
  <c r="G46" i="28"/>
  <c r="G8" i="28"/>
  <c r="G11" i="28"/>
  <c r="G52" i="28"/>
  <c r="G47" i="28"/>
  <c r="G17" i="28"/>
  <c r="G39" i="28"/>
  <c r="G21" i="28"/>
  <c r="G38" i="28"/>
  <c r="G23" i="28"/>
  <c r="G33" i="28"/>
  <c r="G50" i="28"/>
  <c r="G35" i="28"/>
  <c r="G49" i="28"/>
  <c r="G10" i="28"/>
  <c r="G16" i="28"/>
  <c r="G29" i="28"/>
  <c r="G40" i="28"/>
  <c r="G30" i="28"/>
  <c r="G42" i="28"/>
  <c r="G36" i="28"/>
  <c r="G37" i="28"/>
  <c r="G12" i="28"/>
  <c r="G6" i="28"/>
  <c r="G9" i="28"/>
  <c r="G4" i="28"/>
  <c r="G45" i="28"/>
  <c r="G20" i="28"/>
  <c r="G26" i="28"/>
  <c r="G22" i="28"/>
  <c r="G25" i="28"/>
  <c r="G5" i="28"/>
  <c r="G19" i="28"/>
  <c r="C15" i="28"/>
  <c r="C32" i="28"/>
  <c r="C34" i="28"/>
  <c r="C44" i="28"/>
  <c r="C48" i="28"/>
  <c r="C7" i="28"/>
  <c r="C53" i="28"/>
  <c r="C41" i="28"/>
  <c r="C51" i="28"/>
  <c r="C27" i="28"/>
  <c r="C13" i="28"/>
  <c r="C28" i="28"/>
  <c r="C14" i="28"/>
  <c r="C43" i="28"/>
  <c r="C18" i="28"/>
  <c r="C31" i="28"/>
  <c r="C46" i="28"/>
  <c r="C8" i="28"/>
  <c r="C11" i="28"/>
  <c r="C52" i="28"/>
  <c r="C47" i="28"/>
  <c r="C17" i="28"/>
  <c r="C39" i="28"/>
  <c r="C21" i="28"/>
  <c r="C38" i="28"/>
  <c r="C23" i="28"/>
  <c r="C33" i="28"/>
  <c r="C50" i="28"/>
  <c r="C35" i="28"/>
  <c r="C49" i="28"/>
  <c r="C10" i="28"/>
  <c r="C16" i="28"/>
  <c r="C29" i="28"/>
  <c r="C40" i="28"/>
  <c r="C30" i="28"/>
  <c r="C42" i="28"/>
  <c r="C36" i="28"/>
  <c r="C37" i="28"/>
  <c r="C12" i="28"/>
  <c r="C6" i="28"/>
  <c r="C9" i="28"/>
  <c r="C4" i="28"/>
  <c r="C45" i="28"/>
  <c r="C20" i="28"/>
  <c r="C26" i="28"/>
  <c r="C22" i="28"/>
  <c r="C25" i="28"/>
  <c r="C5" i="28"/>
  <c r="C19" i="28"/>
  <c r="M68" i="27"/>
  <c r="O68" i="27" s="1"/>
  <c r="M74" i="27"/>
  <c r="O74" i="27" s="1"/>
  <c r="L8" i="27"/>
  <c r="L9" i="27"/>
  <c r="L10" i="27"/>
  <c r="L11" i="27"/>
  <c r="L12" i="27"/>
  <c r="L13" i="27"/>
  <c r="L14" i="27"/>
  <c r="L15" i="27"/>
  <c r="L16" i="27"/>
  <c r="L17" i="27"/>
  <c r="L18" i="27"/>
  <c r="L19" i="27"/>
  <c r="L20" i="27"/>
  <c r="L21" i="27"/>
  <c r="L22" i="27"/>
  <c r="L23" i="27"/>
  <c r="L24" i="27"/>
  <c r="L25" i="27"/>
  <c r="L26" i="27"/>
  <c r="L27" i="27"/>
  <c r="L28" i="27"/>
  <c r="L29" i="27"/>
  <c r="L30" i="27"/>
  <c r="L31" i="27"/>
  <c r="L32" i="27"/>
  <c r="L33" i="27"/>
  <c r="L34" i="27"/>
  <c r="L35" i="27"/>
  <c r="L36" i="27"/>
  <c r="L37" i="27"/>
  <c r="L38" i="27"/>
  <c r="L39" i="27"/>
  <c r="L40" i="27"/>
  <c r="L41" i="27"/>
  <c r="L42" i="27"/>
  <c r="L43" i="27"/>
  <c r="L44" i="27"/>
  <c r="L45" i="27"/>
  <c r="L46" i="27"/>
  <c r="L47" i="27"/>
  <c r="L48" i="27"/>
  <c r="L49" i="27"/>
  <c r="L50" i="27"/>
  <c r="L51" i="27"/>
  <c r="L52" i="27"/>
  <c r="L53" i="27"/>
  <c r="L54" i="27"/>
  <c r="L55" i="27"/>
  <c r="L56" i="27"/>
  <c r="L57" i="27"/>
  <c r="L58" i="27"/>
  <c r="L59" i="27"/>
  <c r="L60" i="27"/>
  <c r="L61" i="27"/>
  <c r="L62" i="27"/>
  <c r="L63" i="27"/>
  <c r="L64" i="27"/>
  <c r="L65" i="27"/>
  <c r="L66" i="27"/>
  <c r="L67" i="27"/>
  <c r="L69" i="27"/>
  <c r="L70" i="27"/>
  <c r="L71" i="27"/>
  <c r="L72" i="27"/>
  <c r="L73" i="27"/>
  <c r="L7" i="27"/>
  <c r="K73" i="27"/>
  <c r="K72" i="27"/>
  <c r="K71" i="27"/>
  <c r="K70" i="27"/>
  <c r="K69" i="27"/>
  <c r="K67" i="27"/>
  <c r="K66" i="27"/>
  <c r="K65" i="27"/>
  <c r="K64" i="27"/>
  <c r="K63" i="27"/>
  <c r="K62" i="27"/>
  <c r="K61" i="27"/>
  <c r="K60" i="27"/>
  <c r="K59" i="27"/>
  <c r="K58" i="27"/>
  <c r="K57" i="27"/>
  <c r="K56" i="27"/>
  <c r="K55" i="27"/>
  <c r="K54" i="27"/>
  <c r="K53" i="27"/>
  <c r="K52" i="27"/>
  <c r="K51" i="27"/>
  <c r="K50" i="27"/>
  <c r="K49" i="27"/>
  <c r="K48" i="27"/>
  <c r="K47" i="27"/>
  <c r="K46" i="27"/>
  <c r="K45" i="27"/>
  <c r="K44" i="27"/>
  <c r="K43" i="27"/>
  <c r="K42" i="27"/>
  <c r="K41" i="27"/>
  <c r="K40" i="27"/>
  <c r="K39" i="27"/>
  <c r="K38" i="27"/>
  <c r="K37" i="27"/>
  <c r="K36" i="27"/>
  <c r="K35" i="27"/>
  <c r="K34" i="27"/>
  <c r="K33" i="27"/>
  <c r="K32" i="27"/>
  <c r="K31" i="27"/>
  <c r="K30" i="27"/>
  <c r="K29" i="27"/>
  <c r="K28" i="27"/>
  <c r="K27" i="27"/>
  <c r="K26" i="27"/>
  <c r="K25" i="27"/>
  <c r="K24" i="27"/>
  <c r="K23" i="27"/>
  <c r="K22" i="27"/>
  <c r="K21" i="27"/>
  <c r="K20" i="27"/>
  <c r="K19" i="27"/>
  <c r="K18" i="27"/>
  <c r="K17" i="27"/>
  <c r="K16" i="27"/>
  <c r="K15" i="27"/>
  <c r="K14" i="27"/>
  <c r="K13" i="27"/>
  <c r="K12" i="27"/>
  <c r="K11" i="27"/>
  <c r="K10" i="27"/>
  <c r="K9" i="27"/>
  <c r="K8" i="27"/>
  <c r="K7" i="27"/>
  <c r="B11" i="5"/>
  <c r="E24" i="28" l="1"/>
  <c r="E8" i="29"/>
  <c r="E5" i="29"/>
  <c r="E13" i="29"/>
  <c r="E16" i="29"/>
  <c r="E20" i="29"/>
  <c r="E14" i="29"/>
  <c r="E11" i="29"/>
  <c r="E17" i="29"/>
  <c r="E18" i="29"/>
  <c r="E6" i="29"/>
  <c r="E12" i="29"/>
  <c r="E15" i="29"/>
  <c r="E19" i="29"/>
  <c r="E9" i="29"/>
  <c r="E10" i="29"/>
  <c r="E4" i="29"/>
  <c r="E7" i="29"/>
  <c r="I13" i="38"/>
  <c r="I14" i="38"/>
  <c r="I10" i="38"/>
  <c r="I12" i="38"/>
  <c r="G56" i="38"/>
  <c r="G7" i="38"/>
  <c r="BD26" i="28"/>
  <c r="BE26" i="28"/>
  <c r="BD37" i="28"/>
  <c r="BE37" i="28"/>
  <c r="BD49" i="28"/>
  <c r="BE49" i="28"/>
  <c r="BE17" i="28"/>
  <c r="BD17" i="28"/>
  <c r="BE43" i="28"/>
  <c r="BD43" i="28"/>
  <c r="BE7" i="28"/>
  <c r="BD7" i="28"/>
  <c r="BD5" i="28"/>
  <c r="BE5" i="28"/>
  <c r="BD9" i="28"/>
  <c r="BE9" i="28"/>
  <c r="BD29" i="28"/>
  <c r="BE29" i="28"/>
  <c r="BD38" i="28"/>
  <c r="BE38" i="28"/>
  <c r="BD46" i="28"/>
  <c r="BE46" i="28"/>
  <c r="BE51" i="28"/>
  <c r="BD51" i="28"/>
  <c r="BE15" i="28"/>
  <c r="BD15" i="28"/>
  <c r="BE12" i="29"/>
  <c r="BD12" i="29"/>
  <c r="BD15" i="29"/>
  <c r="BE15" i="29"/>
  <c r="BD19" i="29"/>
  <c r="BE19" i="29"/>
  <c r="BE4" i="29"/>
  <c r="BD4" i="29"/>
  <c r="BD7" i="29"/>
  <c r="BE7" i="29"/>
  <c r="BD25" i="28"/>
  <c r="BE25" i="28"/>
  <c r="BD45" i="28"/>
  <c r="BE45" i="28"/>
  <c r="BD6" i="28"/>
  <c r="BE6" i="28"/>
  <c r="BD42" i="28"/>
  <c r="BE42" i="28"/>
  <c r="BD16" i="28"/>
  <c r="BE16" i="28"/>
  <c r="BD50" i="28"/>
  <c r="BE50" i="28"/>
  <c r="BD21" i="28"/>
  <c r="BE21" i="28"/>
  <c r="BE52" i="28"/>
  <c r="BD52" i="28"/>
  <c r="BE31" i="28"/>
  <c r="BD31" i="28"/>
  <c r="BE28" i="28"/>
  <c r="BD28" i="28"/>
  <c r="BD41" i="28"/>
  <c r="BE41" i="28"/>
  <c r="BE44" i="28"/>
  <c r="BD44" i="28"/>
  <c r="BE19" i="28"/>
  <c r="BD19" i="28"/>
  <c r="BE4" i="28"/>
  <c r="BD4" i="28"/>
  <c r="BE40" i="28"/>
  <c r="BD40" i="28"/>
  <c r="BE23" i="28"/>
  <c r="BD23" i="28"/>
  <c r="BE8" i="28"/>
  <c r="BD8" i="28"/>
  <c r="BE27" i="28"/>
  <c r="BD27" i="28"/>
  <c r="BE32" i="28"/>
  <c r="BD32" i="28"/>
  <c r="BD20" i="28"/>
  <c r="BE20" i="28"/>
  <c r="BE36" i="28"/>
  <c r="BD36" i="28"/>
  <c r="BE35" i="28"/>
  <c r="BD35" i="28"/>
  <c r="BE47" i="28"/>
  <c r="BD47" i="28"/>
  <c r="BE14" i="28"/>
  <c r="BD14" i="28"/>
  <c r="BE48" i="28"/>
  <c r="BD48" i="28"/>
  <c r="BE6" i="29"/>
  <c r="BD6" i="29"/>
  <c r="BE9" i="29"/>
  <c r="BD9" i="29"/>
  <c r="BD10" i="29"/>
  <c r="BE10" i="29"/>
  <c r="BD22" i="28"/>
  <c r="BE22" i="28"/>
  <c r="BE12" i="28"/>
  <c r="BD12" i="28"/>
  <c r="BD30" i="28"/>
  <c r="BE30" i="28"/>
  <c r="BD10" i="28"/>
  <c r="BE10" i="28"/>
  <c r="BD33" i="28"/>
  <c r="BE33" i="28"/>
  <c r="BE39" i="28"/>
  <c r="BD39" i="28"/>
  <c r="BE11" i="28"/>
  <c r="BD11" i="28"/>
  <c r="BD18" i="28"/>
  <c r="BE18" i="28"/>
  <c r="BD13" i="28"/>
  <c r="BE13" i="28"/>
  <c r="BD53" i="28"/>
  <c r="BE53" i="28"/>
  <c r="BD34" i="28"/>
  <c r="BE34" i="28"/>
  <c r="BE8" i="29"/>
  <c r="BD8" i="29"/>
  <c r="BE20" i="29"/>
  <c r="BD20" i="29"/>
  <c r="BE14" i="29"/>
  <c r="BD14" i="29"/>
  <c r="BD11" i="29"/>
  <c r="BE11" i="29"/>
  <c r="BD5" i="29"/>
  <c r="BE5" i="29"/>
  <c r="BD17" i="29"/>
  <c r="BE17" i="29"/>
  <c r="BE13" i="29"/>
  <c r="BD13" i="29"/>
  <c r="BE16" i="29"/>
  <c r="BD16" i="29"/>
  <c r="BD18" i="29"/>
  <c r="BE18" i="29"/>
  <c r="E25" i="28"/>
  <c r="E45" i="28"/>
  <c r="E6" i="28"/>
  <c r="E50" i="28"/>
  <c r="E52" i="28"/>
  <c r="E28" i="28"/>
  <c r="E44" i="28"/>
  <c r="E30" i="28"/>
  <c r="E33" i="28"/>
  <c r="E11" i="28"/>
  <c r="E13" i="28"/>
  <c r="E34" i="28"/>
  <c r="E19" i="28"/>
  <c r="E26" i="28"/>
  <c r="E4" i="28"/>
  <c r="E37" i="28"/>
  <c r="E40" i="28"/>
  <c r="E49" i="28"/>
  <c r="E23" i="28"/>
  <c r="E17" i="28"/>
  <c r="E8" i="28"/>
  <c r="E43" i="28"/>
  <c r="E27" i="28"/>
  <c r="E7" i="28"/>
  <c r="E32" i="28"/>
  <c r="E42" i="28"/>
  <c r="E16" i="28"/>
  <c r="E21" i="28"/>
  <c r="E31" i="28"/>
  <c r="E41" i="28"/>
  <c r="E22" i="28"/>
  <c r="E12" i="28"/>
  <c r="E10" i="28"/>
  <c r="E39" i="28"/>
  <c r="E18" i="28"/>
  <c r="E53" i="28"/>
  <c r="E5" i="28"/>
  <c r="E20" i="28"/>
  <c r="E9" i="28"/>
  <c r="E36" i="28"/>
  <c r="E29" i="28"/>
  <c r="E35" i="28"/>
  <c r="E38" i="28"/>
  <c r="E47" i="28"/>
  <c r="E46" i="28"/>
  <c r="E14" i="28"/>
  <c r="E51" i="28"/>
  <c r="E48" i="28"/>
  <c r="E15" i="28"/>
  <c r="N43" i="27"/>
  <c r="N71" i="27"/>
  <c r="N66" i="27"/>
  <c r="N62" i="27"/>
  <c r="N58" i="27"/>
  <c r="N54" i="27"/>
  <c r="N50" i="27"/>
  <c r="N46" i="27"/>
  <c r="N42" i="27"/>
  <c r="N38" i="27"/>
  <c r="N34" i="27"/>
  <c r="N30" i="27"/>
  <c r="N26" i="27"/>
  <c r="N22" i="27"/>
  <c r="N18" i="27"/>
  <c r="N14" i="27"/>
  <c r="N10" i="27"/>
  <c r="N72" i="27"/>
  <c r="N63" i="27"/>
  <c r="N55" i="27"/>
  <c r="N47" i="27"/>
  <c r="N35" i="27"/>
  <c r="N23" i="27"/>
  <c r="N15" i="27"/>
  <c r="N11" i="27"/>
  <c r="N7" i="27"/>
  <c r="N70" i="27"/>
  <c r="N65" i="27"/>
  <c r="N61" i="27"/>
  <c r="N57" i="27"/>
  <c r="N53" i="27"/>
  <c r="N49" i="27"/>
  <c r="N45" i="27"/>
  <c r="N41" i="27"/>
  <c r="N37" i="27"/>
  <c r="N33" i="27"/>
  <c r="N29" i="27"/>
  <c r="N25" i="27"/>
  <c r="N21" i="27"/>
  <c r="N17" i="27"/>
  <c r="N13" i="27"/>
  <c r="N9" i="27"/>
  <c r="N67" i="27"/>
  <c r="N59" i="27"/>
  <c r="N51" i="27"/>
  <c r="N39" i="27"/>
  <c r="N31" i="27"/>
  <c r="N27" i="27"/>
  <c r="N19" i="27"/>
  <c r="N73" i="27"/>
  <c r="N69" i="27"/>
  <c r="N64" i="27"/>
  <c r="N60" i="27"/>
  <c r="N56" i="27"/>
  <c r="N52" i="27"/>
  <c r="N48" i="27"/>
  <c r="N44" i="27"/>
  <c r="N40" i="27"/>
  <c r="N36" i="27"/>
  <c r="N32" i="27"/>
  <c r="N28" i="27"/>
  <c r="N24" i="27"/>
  <c r="N20" i="27"/>
  <c r="N16" i="27"/>
  <c r="N12" i="27"/>
  <c r="N8" i="27"/>
  <c r="G54" i="28"/>
  <c r="H21" i="29"/>
  <c r="H54" i="28"/>
  <c r="H22" i="29"/>
  <c r="C21" i="29"/>
  <c r="G21" i="29"/>
  <c r="C54" i="28"/>
  <c r="M9" i="27"/>
  <c r="O9" i="27" s="1"/>
  <c r="M13" i="27"/>
  <c r="O13" i="27" s="1"/>
  <c r="M17" i="27"/>
  <c r="O17" i="27" s="1"/>
  <c r="M21" i="27"/>
  <c r="O21" i="27" s="1"/>
  <c r="M25" i="27"/>
  <c r="O25" i="27" s="1"/>
  <c r="M29" i="27"/>
  <c r="O29" i="27" s="1"/>
  <c r="M33" i="27"/>
  <c r="O33" i="27" s="1"/>
  <c r="M37" i="27"/>
  <c r="O37" i="27" s="1"/>
  <c r="M41" i="27"/>
  <c r="O41" i="27" s="1"/>
  <c r="M45" i="27"/>
  <c r="O45" i="27" s="1"/>
  <c r="M49" i="27"/>
  <c r="O49" i="27" s="1"/>
  <c r="M53" i="27"/>
  <c r="O53" i="27" s="1"/>
  <c r="M57" i="27"/>
  <c r="O57" i="27" s="1"/>
  <c r="M61" i="27"/>
  <c r="O61" i="27" s="1"/>
  <c r="M65" i="27"/>
  <c r="O65" i="27" s="1"/>
  <c r="M70" i="27"/>
  <c r="O70" i="27" s="1"/>
  <c r="M11" i="27"/>
  <c r="O11" i="27" s="1"/>
  <c r="M15" i="27"/>
  <c r="O15" i="27" s="1"/>
  <c r="M19" i="27"/>
  <c r="O19" i="27" s="1"/>
  <c r="M23" i="27"/>
  <c r="O23" i="27" s="1"/>
  <c r="M27" i="27"/>
  <c r="O27" i="27" s="1"/>
  <c r="M31" i="27"/>
  <c r="O31" i="27" s="1"/>
  <c r="M35" i="27"/>
  <c r="O35" i="27" s="1"/>
  <c r="M39" i="27"/>
  <c r="O39" i="27" s="1"/>
  <c r="M43" i="27"/>
  <c r="O43" i="27" s="1"/>
  <c r="M47" i="27"/>
  <c r="O47" i="27" s="1"/>
  <c r="M51" i="27"/>
  <c r="O51" i="27" s="1"/>
  <c r="M55" i="27"/>
  <c r="O55" i="27" s="1"/>
  <c r="M59" i="27"/>
  <c r="O59" i="27" s="1"/>
  <c r="M63" i="27"/>
  <c r="O63" i="27" s="1"/>
  <c r="M67" i="27"/>
  <c r="O67" i="27" s="1"/>
  <c r="M72" i="27"/>
  <c r="O72" i="27" s="1"/>
  <c r="B73" i="12"/>
  <c r="C55" i="28"/>
  <c r="H55" i="28"/>
  <c r="C22" i="29"/>
  <c r="M7" i="27"/>
  <c r="O7" i="27" s="1"/>
  <c r="M8" i="27"/>
  <c r="O8" i="27" s="1"/>
  <c r="M12" i="27"/>
  <c r="O12" i="27" s="1"/>
  <c r="M16" i="27"/>
  <c r="O16" i="27" s="1"/>
  <c r="M20" i="27"/>
  <c r="O20" i="27" s="1"/>
  <c r="M24" i="27"/>
  <c r="O24" i="27" s="1"/>
  <c r="M28" i="27"/>
  <c r="O28" i="27" s="1"/>
  <c r="M32" i="27"/>
  <c r="O32" i="27" s="1"/>
  <c r="M36" i="27"/>
  <c r="O36" i="27" s="1"/>
  <c r="M40" i="27"/>
  <c r="O40" i="27" s="1"/>
  <c r="M44" i="27"/>
  <c r="O44" i="27" s="1"/>
  <c r="M48" i="27"/>
  <c r="O48" i="27" s="1"/>
  <c r="M52" i="27"/>
  <c r="O52" i="27" s="1"/>
  <c r="M56" i="27"/>
  <c r="O56" i="27" s="1"/>
  <c r="M60" i="27"/>
  <c r="O60" i="27" s="1"/>
  <c r="M64" i="27"/>
  <c r="O64" i="27" s="1"/>
  <c r="M69" i="27"/>
  <c r="O69" i="27" s="1"/>
  <c r="M73" i="27"/>
  <c r="O73" i="27" s="1"/>
  <c r="M66" i="27"/>
  <c r="O66" i="27" s="1"/>
  <c r="M62" i="27"/>
  <c r="O62" i="27" s="1"/>
  <c r="M58" i="27"/>
  <c r="O58" i="27" s="1"/>
  <c r="M54" i="27"/>
  <c r="O54" i="27" s="1"/>
  <c r="M50" i="27"/>
  <c r="O50" i="27" s="1"/>
  <c r="M46" i="27"/>
  <c r="O46" i="27" s="1"/>
  <c r="M42" i="27"/>
  <c r="O42" i="27" s="1"/>
  <c r="M38" i="27"/>
  <c r="O38" i="27" s="1"/>
  <c r="M34" i="27"/>
  <c r="O34" i="27" s="1"/>
  <c r="M30" i="27"/>
  <c r="O30" i="27" s="1"/>
  <c r="M26" i="27"/>
  <c r="O26" i="27" s="1"/>
  <c r="M22" i="27"/>
  <c r="O22" i="27" s="1"/>
  <c r="M18" i="27"/>
  <c r="O18" i="27" s="1"/>
  <c r="M14" i="27"/>
  <c r="O14" i="27" s="1"/>
  <c r="M10" i="27"/>
  <c r="O10" i="27" s="1"/>
  <c r="M71" i="27"/>
  <c r="O71" i="27" s="1"/>
  <c r="BG35" i="28" l="1"/>
  <c r="BG27" i="28"/>
  <c r="BG23" i="28"/>
  <c r="BG44" i="28"/>
  <c r="BG28" i="28"/>
  <c r="BG52" i="28"/>
  <c r="BG51" i="28"/>
  <c r="BG39" i="28"/>
  <c r="BG48" i="28"/>
  <c r="BG47" i="28"/>
  <c r="BG36" i="28"/>
  <c r="BG32" i="28"/>
  <c r="BG41" i="28"/>
  <c r="BG25" i="28"/>
  <c r="BG46" i="28"/>
  <c r="BG29" i="28"/>
  <c r="BG49" i="28"/>
  <c r="BG26" i="28"/>
  <c r="BG12" i="29"/>
  <c r="BG11" i="28"/>
  <c r="BG15" i="29"/>
  <c r="BG14" i="28"/>
  <c r="BG19" i="29"/>
  <c r="BG17" i="28"/>
  <c r="BG13" i="29"/>
  <c r="BG13" i="28"/>
  <c r="BG33" i="28"/>
  <c r="BG50" i="28"/>
  <c r="BG45" i="28"/>
  <c r="BG10" i="29"/>
  <c r="BG9" i="28"/>
  <c r="BG37" i="28"/>
  <c r="BG11" i="29"/>
  <c r="BG12" i="28"/>
  <c r="BG8" i="29"/>
  <c r="BG8" i="28"/>
  <c r="BG40" i="28"/>
  <c r="BG20" i="29"/>
  <c r="BG19" i="28"/>
  <c r="BG31" i="28"/>
  <c r="BG16" i="29"/>
  <c r="BG15" i="28"/>
  <c r="BG43" i="28"/>
  <c r="BG4" i="28"/>
  <c r="BG4" i="29"/>
  <c r="BG7" i="29"/>
  <c r="BG7" i="28"/>
  <c r="BG34" i="28"/>
  <c r="BG30" i="28"/>
  <c r="BG20" i="28"/>
  <c r="BG42" i="28"/>
  <c r="BG38" i="28"/>
  <c r="BG53" i="28"/>
  <c r="BG18" i="29"/>
  <c r="BG18" i="28"/>
  <c r="BG9" i="29"/>
  <c r="BG10" i="28"/>
  <c r="BG22" i="28"/>
  <c r="BG14" i="29"/>
  <c r="BG21" i="28"/>
  <c r="BG17" i="29"/>
  <c r="BG16" i="28"/>
  <c r="BG6" i="29"/>
  <c r="BG6" i="28"/>
  <c r="BG5" i="28"/>
  <c r="BG5" i="29"/>
  <c r="G22" i="29"/>
  <c r="G55" i="28"/>
  <c r="AN76" i="15"/>
  <c r="AM76" i="15"/>
  <c r="AL76" i="15"/>
  <c r="AK76" i="15"/>
  <c r="AJ76" i="15"/>
  <c r="AI76" i="15"/>
  <c r="AH76" i="15"/>
  <c r="AG76" i="15"/>
  <c r="AF76" i="15"/>
  <c r="AE76" i="15"/>
  <c r="AD76" i="15"/>
  <c r="AC76" i="15"/>
  <c r="AB76" i="15"/>
  <c r="AA76" i="15"/>
  <c r="Z76" i="15"/>
  <c r="Y76" i="15"/>
  <c r="X76" i="15"/>
  <c r="W76" i="15"/>
  <c r="V76" i="15"/>
  <c r="U76" i="15"/>
  <c r="T76" i="15"/>
  <c r="S76" i="15"/>
  <c r="R76" i="15"/>
  <c r="Q76" i="15"/>
  <c r="P76" i="15"/>
  <c r="O76" i="15"/>
  <c r="N76" i="15"/>
  <c r="M76" i="15"/>
  <c r="L76" i="15"/>
  <c r="K76" i="15"/>
  <c r="J76" i="15"/>
  <c r="I76" i="15"/>
  <c r="H76" i="15"/>
  <c r="G76" i="15"/>
  <c r="F76" i="15"/>
  <c r="E76" i="15"/>
  <c r="D76" i="15"/>
  <c r="C76" i="15"/>
  <c r="B76" i="15"/>
  <c r="AN79" i="15"/>
  <c r="AM79" i="15"/>
  <c r="AL79" i="15"/>
  <c r="AK79" i="15"/>
  <c r="AJ79" i="15"/>
  <c r="AI79" i="15"/>
  <c r="AH79" i="15"/>
  <c r="AG79" i="15"/>
  <c r="AF79" i="15"/>
  <c r="AE79" i="15"/>
  <c r="AD79" i="15"/>
  <c r="AC79" i="15"/>
  <c r="AB79" i="15"/>
  <c r="AA79" i="15"/>
  <c r="Z79" i="15"/>
  <c r="Y79" i="15"/>
  <c r="X79" i="15"/>
  <c r="W79" i="15"/>
  <c r="V79" i="15"/>
  <c r="U79" i="15"/>
  <c r="T79" i="15"/>
  <c r="S79" i="15"/>
  <c r="R79" i="15"/>
  <c r="Q79" i="15"/>
  <c r="P79" i="15"/>
  <c r="O79" i="15"/>
  <c r="N79" i="15"/>
  <c r="M79" i="15"/>
  <c r="L79" i="15"/>
  <c r="K79" i="15"/>
  <c r="J79" i="15"/>
  <c r="I79" i="15"/>
  <c r="H79" i="15"/>
  <c r="G79" i="15"/>
  <c r="F79" i="15"/>
  <c r="E79" i="15"/>
  <c r="D79" i="15"/>
  <c r="C79" i="15"/>
  <c r="B79" i="15"/>
  <c r="AN78" i="8"/>
  <c r="AM78" i="8"/>
  <c r="AL78" i="8"/>
  <c r="AK78" i="8"/>
  <c r="AJ78" i="8"/>
  <c r="AI78" i="8"/>
  <c r="AH78" i="8"/>
  <c r="AG78" i="8"/>
  <c r="AF78" i="8"/>
  <c r="AE78" i="8"/>
  <c r="AD78" i="8"/>
  <c r="AC78" i="8"/>
  <c r="AB78" i="8"/>
  <c r="AA78" i="8"/>
  <c r="Z78" i="8"/>
  <c r="Y78" i="8"/>
  <c r="X78" i="8"/>
  <c r="W78" i="8"/>
  <c r="V78" i="8"/>
  <c r="U78" i="8"/>
  <c r="T78" i="8"/>
  <c r="S78" i="8"/>
  <c r="R78" i="8"/>
  <c r="Q78" i="8"/>
  <c r="P78" i="8"/>
  <c r="O78" i="8"/>
  <c r="N78" i="8"/>
  <c r="M78" i="8"/>
  <c r="L78" i="8"/>
  <c r="K78" i="8"/>
  <c r="J78" i="8"/>
  <c r="I78" i="8"/>
  <c r="H78" i="8"/>
  <c r="G78" i="8"/>
  <c r="F78" i="8"/>
  <c r="E78" i="8"/>
  <c r="D78" i="8"/>
  <c r="C78" i="8"/>
  <c r="B78" i="8"/>
  <c r="AN75" i="8"/>
  <c r="AM75" i="8"/>
  <c r="AL75" i="8"/>
  <c r="AK75" i="8"/>
  <c r="AJ75" i="8"/>
  <c r="AI75" i="8"/>
  <c r="AH75" i="8"/>
  <c r="AG75" i="8"/>
  <c r="AF75" i="8"/>
  <c r="AE75" i="8"/>
  <c r="AD75" i="8"/>
  <c r="AC75" i="8"/>
  <c r="AB75" i="8"/>
  <c r="AA75" i="8"/>
  <c r="Z75" i="8"/>
  <c r="Y75" i="8"/>
  <c r="X75" i="8"/>
  <c r="W75" i="8"/>
  <c r="V75" i="8"/>
  <c r="U75" i="8"/>
  <c r="T75" i="8"/>
  <c r="S75" i="8"/>
  <c r="R75" i="8"/>
  <c r="Q75" i="8"/>
  <c r="P75" i="8"/>
  <c r="O75" i="8"/>
  <c r="N75" i="8"/>
  <c r="M75" i="8"/>
  <c r="L75" i="8"/>
  <c r="K75" i="8"/>
  <c r="J75" i="8"/>
  <c r="I75" i="8"/>
  <c r="H75" i="8"/>
  <c r="G75" i="8"/>
  <c r="F75" i="8"/>
  <c r="E75" i="8"/>
  <c r="D75" i="8"/>
  <c r="C75" i="8"/>
  <c r="B75" i="8"/>
  <c r="D5" i="4"/>
  <c r="M6" i="20" s="1"/>
  <c r="D6" i="4"/>
  <c r="M7" i="20" s="1"/>
  <c r="D7" i="4"/>
  <c r="M8" i="20" s="1"/>
  <c r="D8" i="4"/>
  <c r="M9" i="20" s="1"/>
  <c r="D9" i="4"/>
  <c r="M10" i="20" s="1"/>
  <c r="D10" i="4"/>
  <c r="M11" i="20" s="1"/>
  <c r="D11" i="4"/>
  <c r="M12" i="20" s="1"/>
  <c r="D12" i="4"/>
  <c r="M13" i="20" s="1"/>
  <c r="D13" i="4"/>
  <c r="M14" i="20" s="1"/>
  <c r="D14" i="4"/>
  <c r="M15" i="20" s="1"/>
  <c r="D15" i="4"/>
  <c r="M16" i="20" s="1"/>
  <c r="D16" i="4"/>
  <c r="M17" i="20" s="1"/>
  <c r="D17" i="4"/>
  <c r="M18" i="20" s="1"/>
  <c r="D18" i="4"/>
  <c r="M19" i="20" s="1"/>
  <c r="D19" i="4"/>
  <c r="M20" i="20" s="1"/>
  <c r="D20" i="4"/>
  <c r="M21" i="20" s="1"/>
  <c r="D21" i="4"/>
  <c r="M22" i="20" s="1"/>
  <c r="D22" i="4"/>
  <c r="M23" i="20" s="1"/>
  <c r="D23" i="4"/>
  <c r="M24" i="20" s="1"/>
  <c r="D24" i="4"/>
  <c r="M25" i="20" s="1"/>
  <c r="D25" i="4"/>
  <c r="M26" i="20" s="1"/>
  <c r="D26" i="4"/>
  <c r="M27" i="20" s="1"/>
  <c r="D27" i="4"/>
  <c r="M28" i="20" s="1"/>
  <c r="D28" i="4"/>
  <c r="M29" i="20" s="1"/>
  <c r="D29" i="4"/>
  <c r="M30" i="20" s="1"/>
  <c r="D30" i="4"/>
  <c r="M31" i="20" s="1"/>
  <c r="D31" i="4"/>
  <c r="M32" i="20" s="1"/>
  <c r="D32" i="4"/>
  <c r="M33" i="20" s="1"/>
  <c r="D33" i="4"/>
  <c r="M34" i="20" s="1"/>
  <c r="D34" i="4"/>
  <c r="M35" i="20" s="1"/>
  <c r="D35" i="4"/>
  <c r="M36" i="20" s="1"/>
  <c r="D36" i="4"/>
  <c r="M37" i="20" s="1"/>
  <c r="D37" i="4"/>
  <c r="D38" i="4"/>
  <c r="D39" i="4"/>
  <c r="M40" i="20" s="1"/>
  <c r="D40" i="4"/>
  <c r="M41" i="20" s="1"/>
  <c r="D41" i="4"/>
  <c r="M42" i="20" s="1"/>
  <c r="D42" i="4"/>
  <c r="M43" i="20" s="1"/>
  <c r="D43" i="4"/>
  <c r="M44" i="20" s="1"/>
  <c r="D44" i="4"/>
  <c r="M45" i="20" s="1"/>
  <c r="D45" i="4"/>
  <c r="M46" i="20" s="1"/>
  <c r="D46" i="4"/>
  <c r="M47" i="20" s="1"/>
  <c r="D47" i="4"/>
  <c r="M48" i="20" s="1"/>
  <c r="D48" i="4"/>
  <c r="M49" i="20" s="1"/>
  <c r="D49" i="4"/>
  <c r="M50" i="20" s="1"/>
  <c r="D50" i="4"/>
  <c r="M51" i="20" s="1"/>
  <c r="D51" i="4"/>
  <c r="M52" i="20" s="1"/>
  <c r="D52" i="4"/>
  <c r="M53" i="20" s="1"/>
  <c r="D53" i="4"/>
  <c r="M54" i="20" s="1"/>
  <c r="D54" i="4"/>
  <c r="M55" i="20" s="1"/>
  <c r="D55" i="4"/>
  <c r="M56" i="20" s="1"/>
  <c r="D56" i="4"/>
  <c r="M57" i="20" s="1"/>
  <c r="D57" i="4"/>
  <c r="M58" i="20" s="1"/>
  <c r="D58" i="4"/>
  <c r="M59" i="20" s="1"/>
  <c r="D59" i="4"/>
  <c r="M60" i="20" s="1"/>
  <c r="D60" i="4"/>
  <c r="M61" i="20" s="1"/>
  <c r="D61" i="4"/>
  <c r="M62" i="20" s="1"/>
  <c r="D62" i="4"/>
  <c r="M63" i="20" s="1"/>
  <c r="D63" i="4"/>
  <c r="M64" i="20" s="1"/>
  <c r="D64" i="4"/>
  <c r="M65" i="20" s="1"/>
  <c r="D65" i="4"/>
  <c r="M66" i="20" s="1"/>
  <c r="D66" i="4"/>
  <c r="M67" i="20" s="1"/>
  <c r="D67" i="4"/>
  <c r="M68" i="20" s="1"/>
  <c r="D68" i="4"/>
  <c r="M69" i="20" s="1"/>
  <c r="D69" i="4"/>
  <c r="M70" i="20" s="1"/>
  <c r="D70" i="4"/>
  <c r="M71" i="20" s="1"/>
  <c r="D71" i="4"/>
  <c r="M72" i="20" s="1"/>
  <c r="D4" i="4"/>
  <c r="M5" i="20" s="1"/>
  <c r="J75" i="22"/>
  <c r="J74" i="22"/>
  <c r="I74" i="22"/>
  <c r="H74" i="22"/>
  <c r="G74" i="22"/>
  <c r="F74" i="22"/>
  <c r="E74" i="22"/>
  <c r="D74" i="22"/>
  <c r="C74" i="22"/>
  <c r="B74" i="22"/>
  <c r="L74" i="20"/>
  <c r="K74" i="20"/>
  <c r="J74" i="20"/>
  <c r="L6" i="20"/>
  <c r="L7" i="20"/>
  <c r="L8" i="20"/>
  <c r="L9" i="20"/>
  <c r="L10" i="20"/>
  <c r="L11" i="20"/>
  <c r="L12" i="20"/>
  <c r="L13" i="20"/>
  <c r="L14" i="20"/>
  <c r="L15" i="20"/>
  <c r="L16" i="20"/>
  <c r="L17" i="20"/>
  <c r="L18" i="20"/>
  <c r="L19" i="20"/>
  <c r="L20" i="20"/>
  <c r="L21" i="20"/>
  <c r="L22" i="20"/>
  <c r="L23" i="20"/>
  <c r="L24" i="20"/>
  <c r="L25" i="20"/>
  <c r="L26" i="20"/>
  <c r="L27" i="20"/>
  <c r="L28" i="20"/>
  <c r="L29" i="20"/>
  <c r="L30" i="20"/>
  <c r="L31" i="20"/>
  <c r="L32" i="20"/>
  <c r="L33" i="20"/>
  <c r="L34" i="20"/>
  <c r="L35" i="20"/>
  <c r="L36" i="20"/>
  <c r="L37" i="20"/>
  <c r="L38" i="20"/>
  <c r="L39" i="20"/>
  <c r="L40" i="20"/>
  <c r="L41" i="20"/>
  <c r="L42" i="20"/>
  <c r="L43" i="20"/>
  <c r="L44" i="20"/>
  <c r="L45" i="20"/>
  <c r="L46" i="20"/>
  <c r="L47" i="20"/>
  <c r="L48" i="20"/>
  <c r="L49" i="20"/>
  <c r="L50" i="20"/>
  <c r="L51" i="20"/>
  <c r="L52" i="20"/>
  <c r="L53" i="20"/>
  <c r="L54" i="20"/>
  <c r="L55" i="20"/>
  <c r="L56" i="20"/>
  <c r="L57" i="20"/>
  <c r="L58" i="20"/>
  <c r="L59" i="20"/>
  <c r="L60" i="20"/>
  <c r="L61" i="20"/>
  <c r="L62" i="20"/>
  <c r="L63" i="20"/>
  <c r="L64" i="20"/>
  <c r="L65" i="20"/>
  <c r="L66" i="20"/>
  <c r="L67" i="20"/>
  <c r="L68" i="20"/>
  <c r="L69" i="20"/>
  <c r="L70" i="20"/>
  <c r="L71" i="20"/>
  <c r="L72" i="20"/>
  <c r="L5" i="20"/>
  <c r="K6" i="20"/>
  <c r="K7" i="20"/>
  <c r="K8" i="20"/>
  <c r="K9" i="20"/>
  <c r="K10" i="20"/>
  <c r="K11" i="20"/>
  <c r="K12" i="20"/>
  <c r="K13" i="20"/>
  <c r="K14" i="20"/>
  <c r="K15" i="20"/>
  <c r="K16" i="20"/>
  <c r="K17" i="20"/>
  <c r="K18" i="20"/>
  <c r="K19" i="20"/>
  <c r="K20" i="20"/>
  <c r="K21" i="20"/>
  <c r="K22" i="20"/>
  <c r="K23" i="20"/>
  <c r="K24" i="20"/>
  <c r="K25" i="20"/>
  <c r="K26" i="20"/>
  <c r="K27" i="20"/>
  <c r="K28" i="20"/>
  <c r="K29" i="20"/>
  <c r="K30" i="20"/>
  <c r="K31" i="20"/>
  <c r="K32" i="20"/>
  <c r="K33" i="20"/>
  <c r="K34" i="20"/>
  <c r="K35" i="20"/>
  <c r="K36" i="20"/>
  <c r="K37" i="20"/>
  <c r="K38" i="20"/>
  <c r="K39" i="20"/>
  <c r="K40" i="20"/>
  <c r="K41" i="20"/>
  <c r="K42" i="20"/>
  <c r="K43" i="20"/>
  <c r="K44" i="20"/>
  <c r="K45" i="20"/>
  <c r="K46" i="20"/>
  <c r="K47" i="20"/>
  <c r="K48" i="20"/>
  <c r="K49" i="20"/>
  <c r="K50" i="20"/>
  <c r="K51" i="20"/>
  <c r="K52" i="20"/>
  <c r="K53" i="20"/>
  <c r="K54" i="20"/>
  <c r="K55" i="20"/>
  <c r="K56" i="20"/>
  <c r="K57" i="20"/>
  <c r="K58" i="20"/>
  <c r="K59" i="20"/>
  <c r="K60" i="20"/>
  <c r="K61" i="20"/>
  <c r="K62" i="20"/>
  <c r="K63" i="20"/>
  <c r="K64" i="20"/>
  <c r="K65" i="20"/>
  <c r="K66" i="20"/>
  <c r="K67" i="20"/>
  <c r="K68" i="20"/>
  <c r="K69" i="20"/>
  <c r="K70" i="20"/>
  <c r="K71" i="20"/>
  <c r="K72" i="20"/>
  <c r="K5" i="20"/>
  <c r="J6" i="20"/>
  <c r="J7" i="20"/>
  <c r="J8" i="20"/>
  <c r="J9" i="20"/>
  <c r="J10" i="20"/>
  <c r="J11" i="20"/>
  <c r="J12" i="20"/>
  <c r="J13" i="20"/>
  <c r="J14" i="20"/>
  <c r="J15" i="20"/>
  <c r="J16" i="20"/>
  <c r="J17" i="20"/>
  <c r="J18" i="20"/>
  <c r="J19" i="20"/>
  <c r="J20" i="20"/>
  <c r="J21" i="20"/>
  <c r="J22" i="20"/>
  <c r="J23" i="20"/>
  <c r="J24" i="20"/>
  <c r="J25" i="20"/>
  <c r="J26" i="20"/>
  <c r="J27" i="20"/>
  <c r="J28" i="20"/>
  <c r="J29" i="20"/>
  <c r="J30" i="20"/>
  <c r="J31" i="20"/>
  <c r="J32" i="20"/>
  <c r="J33" i="20"/>
  <c r="J34" i="20"/>
  <c r="J35" i="20"/>
  <c r="J36" i="20"/>
  <c r="J37" i="20"/>
  <c r="J38" i="20"/>
  <c r="J39" i="20"/>
  <c r="J40" i="20"/>
  <c r="J41" i="20"/>
  <c r="J42" i="20"/>
  <c r="J43" i="20"/>
  <c r="J44" i="20"/>
  <c r="J45" i="20"/>
  <c r="J46" i="20"/>
  <c r="J47" i="20"/>
  <c r="J48" i="20"/>
  <c r="J49" i="20"/>
  <c r="J50" i="20"/>
  <c r="J51" i="20"/>
  <c r="J52" i="20"/>
  <c r="J53" i="20"/>
  <c r="J54" i="20"/>
  <c r="J55" i="20"/>
  <c r="J56" i="20"/>
  <c r="J57" i="20"/>
  <c r="J58" i="20"/>
  <c r="J59" i="20"/>
  <c r="J60" i="20"/>
  <c r="J61" i="20"/>
  <c r="J62" i="20"/>
  <c r="J63" i="20"/>
  <c r="J64" i="20"/>
  <c r="J65" i="20"/>
  <c r="J66" i="20"/>
  <c r="J67" i="20"/>
  <c r="J68" i="20"/>
  <c r="J69" i="20"/>
  <c r="J70" i="20"/>
  <c r="J71" i="20"/>
  <c r="J72" i="20"/>
  <c r="J5" i="20"/>
  <c r="G6" i="20"/>
  <c r="G7" i="20"/>
  <c r="G8" i="20"/>
  <c r="G9" i="20"/>
  <c r="G10" i="20"/>
  <c r="G11" i="20"/>
  <c r="G12" i="20"/>
  <c r="G13" i="20"/>
  <c r="G14" i="20"/>
  <c r="G15" i="20"/>
  <c r="G16" i="20"/>
  <c r="G17" i="20"/>
  <c r="G18" i="20"/>
  <c r="G19" i="20"/>
  <c r="G20" i="20"/>
  <c r="G21" i="20"/>
  <c r="G22" i="20"/>
  <c r="G23" i="20"/>
  <c r="G24" i="20"/>
  <c r="G25" i="20"/>
  <c r="G26" i="20"/>
  <c r="G27" i="20"/>
  <c r="G28" i="20"/>
  <c r="G29" i="20"/>
  <c r="G30" i="20"/>
  <c r="G31" i="20"/>
  <c r="G32" i="20"/>
  <c r="G33" i="20"/>
  <c r="G34" i="20"/>
  <c r="G35" i="20"/>
  <c r="G36" i="20"/>
  <c r="G37" i="20"/>
  <c r="G38" i="20"/>
  <c r="G39" i="20"/>
  <c r="G40" i="20"/>
  <c r="G41" i="20"/>
  <c r="G42" i="20"/>
  <c r="G43" i="20"/>
  <c r="G44" i="20"/>
  <c r="G45" i="20"/>
  <c r="G46" i="20"/>
  <c r="G47" i="20"/>
  <c r="G48" i="20"/>
  <c r="G49" i="20"/>
  <c r="G50" i="20"/>
  <c r="G51" i="20"/>
  <c r="G52" i="20"/>
  <c r="G53" i="20"/>
  <c r="G54" i="20"/>
  <c r="G55" i="20"/>
  <c r="G56" i="20"/>
  <c r="G57" i="20"/>
  <c r="G58" i="20"/>
  <c r="G59" i="20"/>
  <c r="G60" i="20"/>
  <c r="G61" i="20"/>
  <c r="G62" i="20"/>
  <c r="G63" i="20"/>
  <c r="G64" i="20"/>
  <c r="G65" i="20"/>
  <c r="G66" i="20"/>
  <c r="G67" i="20"/>
  <c r="G68" i="20"/>
  <c r="G69" i="20"/>
  <c r="G70" i="20"/>
  <c r="G71" i="20"/>
  <c r="G72" i="20"/>
  <c r="G5" i="20"/>
  <c r="E73" i="20"/>
  <c r="D73" i="20"/>
  <c r="L73" i="20" s="1"/>
  <c r="C73" i="20"/>
  <c r="K73" i="20" s="1"/>
  <c r="B73" i="20"/>
  <c r="J73" i="20" s="1"/>
  <c r="N69" i="19"/>
  <c r="N73" i="19"/>
  <c r="Q73" i="19" s="1"/>
  <c r="N74" i="19"/>
  <c r="Q74" i="19" s="1"/>
  <c r="M7" i="19"/>
  <c r="M8" i="19"/>
  <c r="M12" i="19"/>
  <c r="M10" i="19"/>
  <c r="M11" i="19"/>
  <c r="M13" i="19"/>
  <c r="M16" i="19"/>
  <c r="M14" i="19"/>
  <c r="M15" i="19"/>
  <c r="M17" i="19"/>
  <c r="M18" i="19"/>
  <c r="M19" i="19"/>
  <c r="M20" i="19"/>
  <c r="M22" i="19"/>
  <c r="M21" i="19"/>
  <c r="M24" i="19"/>
  <c r="M25" i="19"/>
  <c r="M23" i="19"/>
  <c r="M26" i="19"/>
  <c r="M28" i="19"/>
  <c r="M27" i="19"/>
  <c r="M30" i="19"/>
  <c r="M31" i="19"/>
  <c r="M32" i="19"/>
  <c r="M34" i="19"/>
  <c r="M33" i="19"/>
  <c r="M35" i="19"/>
  <c r="M37" i="19"/>
  <c r="M38" i="19"/>
  <c r="M29" i="19"/>
  <c r="M40" i="19"/>
  <c r="M41" i="19"/>
  <c r="M44" i="19"/>
  <c r="M42" i="19"/>
  <c r="M43" i="19"/>
  <c r="M45" i="19"/>
  <c r="M36" i="19"/>
  <c r="M46" i="19"/>
  <c r="M48" i="19"/>
  <c r="M49" i="19"/>
  <c r="M47" i="19"/>
  <c r="M50" i="19"/>
  <c r="M52" i="19"/>
  <c r="M51" i="19"/>
  <c r="M54" i="19"/>
  <c r="M55" i="19"/>
  <c r="M56" i="19"/>
  <c r="M53" i="19"/>
  <c r="M57" i="19"/>
  <c r="M58" i="19"/>
  <c r="M59" i="19"/>
  <c r="M39" i="19"/>
  <c r="M60" i="19"/>
  <c r="M61" i="19"/>
  <c r="M62" i="19"/>
  <c r="M65" i="19"/>
  <c r="M63" i="19"/>
  <c r="M66" i="19"/>
  <c r="M67" i="19"/>
  <c r="M64" i="19"/>
  <c r="M71" i="19"/>
  <c r="M72" i="19"/>
  <c r="M70" i="19"/>
  <c r="M9" i="19"/>
  <c r="L7" i="19"/>
  <c r="L8" i="19"/>
  <c r="L12" i="19"/>
  <c r="L10" i="19"/>
  <c r="L11" i="19"/>
  <c r="L13" i="19"/>
  <c r="L16" i="19"/>
  <c r="L14" i="19"/>
  <c r="L15" i="19"/>
  <c r="L17" i="19"/>
  <c r="L18" i="19"/>
  <c r="L19" i="19"/>
  <c r="L20" i="19"/>
  <c r="L22" i="19"/>
  <c r="L21" i="19"/>
  <c r="L24" i="19"/>
  <c r="L25" i="19"/>
  <c r="L23" i="19"/>
  <c r="L26" i="19"/>
  <c r="L28" i="19"/>
  <c r="L27" i="19"/>
  <c r="L30" i="19"/>
  <c r="L31" i="19"/>
  <c r="L32" i="19"/>
  <c r="L34" i="19"/>
  <c r="L33" i="19"/>
  <c r="L35" i="19"/>
  <c r="L37" i="19"/>
  <c r="L38" i="19"/>
  <c r="L29" i="19"/>
  <c r="L40" i="19"/>
  <c r="L41" i="19"/>
  <c r="L44" i="19"/>
  <c r="L42" i="19"/>
  <c r="L43" i="19"/>
  <c r="L45" i="19"/>
  <c r="L36" i="19"/>
  <c r="L46" i="19"/>
  <c r="L48" i="19"/>
  <c r="L49" i="19"/>
  <c r="L47" i="19"/>
  <c r="L50" i="19"/>
  <c r="L52" i="19"/>
  <c r="L51" i="19"/>
  <c r="L54" i="19"/>
  <c r="L55" i="19"/>
  <c r="L56" i="19"/>
  <c r="L53" i="19"/>
  <c r="L57" i="19"/>
  <c r="L58" i="19"/>
  <c r="L59" i="19"/>
  <c r="L39" i="19"/>
  <c r="L60" i="19"/>
  <c r="L61" i="19"/>
  <c r="L62" i="19"/>
  <c r="L65" i="19"/>
  <c r="L63" i="19"/>
  <c r="L66" i="19"/>
  <c r="L67" i="19"/>
  <c r="L64" i="19"/>
  <c r="L71" i="19"/>
  <c r="L72" i="19"/>
  <c r="L70" i="19"/>
  <c r="L9" i="19"/>
  <c r="K7" i="19"/>
  <c r="K8" i="19"/>
  <c r="K12" i="19"/>
  <c r="K10" i="19"/>
  <c r="K11" i="19"/>
  <c r="K13" i="19"/>
  <c r="K16" i="19"/>
  <c r="K14" i="19"/>
  <c r="K15" i="19"/>
  <c r="K17" i="19"/>
  <c r="K18" i="19"/>
  <c r="K19" i="19"/>
  <c r="K20" i="19"/>
  <c r="K22" i="19"/>
  <c r="K21" i="19"/>
  <c r="K24" i="19"/>
  <c r="K25" i="19"/>
  <c r="K23" i="19"/>
  <c r="K26" i="19"/>
  <c r="K28" i="19"/>
  <c r="K27" i="19"/>
  <c r="K30" i="19"/>
  <c r="K31" i="19"/>
  <c r="K32" i="19"/>
  <c r="K34" i="19"/>
  <c r="K33" i="19"/>
  <c r="K35" i="19"/>
  <c r="K37" i="19"/>
  <c r="K38" i="19"/>
  <c r="K29" i="19"/>
  <c r="K40" i="19"/>
  <c r="K41" i="19"/>
  <c r="K44" i="19"/>
  <c r="K42" i="19"/>
  <c r="K43" i="19"/>
  <c r="K45" i="19"/>
  <c r="K36" i="19"/>
  <c r="K46" i="19"/>
  <c r="K48" i="19"/>
  <c r="K49" i="19"/>
  <c r="K47" i="19"/>
  <c r="K50" i="19"/>
  <c r="K52" i="19"/>
  <c r="K51" i="19"/>
  <c r="K54" i="19"/>
  <c r="K55" i="19"/>
  <c r="K56" i="19"/>
  <c r="K53" i="19"/>
  <c r="K57" i="19"/>
  <c r="K58" i="19"/>
  <c r="K59" i="19"/>
  <c r="K39" i="19"/>
  <c r="K60" i="19"/>
  <c r="K61" i="19"/>
  <c r="K62" i="19"/>
  <c r="K65" i="19"/>
  <c r="K63" i="19"/>
  <c r="K66" i="19"/>
  <c r="K67" i="19"/>
  <c r="K64" i="19"/>
  <c r="K71" i="19"/>
  <c r="K72" i="19"/>
  <c r="K70" i="19"/>
  <c r="K9" i="19"/>
  <c r="J7" i="19"/>
  <c r="J8" i="19"/>
  <c r="J12" i="19"/>
  <c r="J10" i="19"/>
  <c r="J11" i="19"/>
  <c r="J13" i="19"/>
  <c r="J16" i="19"/>
  <c r="J14" i="19"/>
  <c r="J15" i="19"/>
  <c r="J17" i="19"/>
  <c r="J18" i="19"/>
  <c r="J19" i="19"/>
  <c r="J20" i="19"/>
  <c r="J22" i="19"/>
  <c r="J21" i="19"/>
  <c r="J24" i="19"/>
  <c r="J25" i="19"/>
  <c r="J23" i="19"/>
  <c r="J26" i="19"/>
  <c r="J28" i="19"/>
  <c r="J27" i="19"/>
  <c r="J30" i="19"/>
  <c r="J31" i="19"/>
  <c r="J32" i="19"/>
  <c r="J34" i="19"/>
  <c r="J33" i="19"/>
  <c r="J35" i="19"/>
  <c r="J37" i="19"/>
  <c r="J38" i="19"/>
  <c r="J29" i="19"/>
  <c r="J40" i="19"/>
  <c r="J41" i="19"/>
  <c r="J44" i="19"/>
  <c r="J42" i="19"/>
  <c r="J43" i="19"/>
  <c r="J45" i="19"/>
  <c r="J36" i="19"/>
  <c r="J46" i="19"/>
  <c r="J48" i="19"/>
  <c r="J49" i="19"/>
  <c r="J47" i="19"/>
  <c r="J50" i="19"/>
  <c r="J52" i="19"/>
  <c r="J51" i="19"/>
  <c r="J54" i="19"/>
  <c r="J55" i="19"/>
  <c r="J56" i="19"/>
  <c r="J53" i="19"/>
  <c r="J57" i="19"/>
  <c r="J58" i="19"/>
  <c r="J59" i="19"/>
  <c r="J39" i="19"/>
  <c r="J60" i="19"/>
  <c r="J61" i="19"/>
  <c r="J62" i="19"/>
  <c r="J65" i="19"/>
  <c r="J63" i="19"/>
  <c r="J66" i="19"/>
  <c r="J67" i="19"/>
  <c r="J64" i="19"/>
  <c r="J71" i="19"/>
  <c r="J72" i="19"/>
  <c r="J70" i="19"/>
  <c r="J9" i="19"/>
  <c r="O73" i="19"/>
  <c r="O74" i="19"/>
  <c r="O8" i="19"/>
  <c r="O22" i="19"/>
  <c r="O23" i="19"/>
  <c r="O29" i="19"/>
  <c r="O42" i="19"/>
  <c r="O55" i="19"/>
  <c r="O58" i="19"/>
  <c r="O69" i="19"/>
  <c r="O70" i="19"/>
  <c r="O7" i="19"/>
  <c r="O12" i="19"/>
  <c r="O10" i="19"/>
  <c r="O11" i="19"/>
  <c r="O13" i="19"/>
  <c r="O16" i="19"/>
  <c r="O14" i="19"/>
  <c r="O15" i="19"/>
  <c r="O17" i="19"/>
  <c r="O18" i="19"/>
  <c r="O19" i="19"/>
  <c r="O20" i="19"/>
  <c r="O21" i="19"/>
  <c r="O24" i="19"/>
  <c r="O25" i="19"/>
  <c r="O26" i="19"/>
  <c r="O28" i="19"/>
  <c r="O27" i="19"/>
  <c r="O30" i="19"/>
  <c r="O31" i="19"/>
  <c r="O32" i="19"/>
  <c r="O34" i="19"/>
  <c r="O33" i="19"/>
  <c r="O35" i="19"/>
  <c r="O37" i="19"/>
  <c r="O38" i="19"/>
  <c r="O40" i="19"/>
  <c r="O41" i="19"/>
  <c r="O44" i="19"/>
  <c r="O43" i="19"/>
  <c r="O45" i="19"/>
  <c r="O36" i="19"/>
  <c r="O46" i="19"/>
  <c r="O48" i="19"/>
  <c r="O49" i="19"/>
  <c r="O47" i="19"/>
  <c r="O50" i="19"/>
  <c r="O52" i="19"/>
  <c r="O51" i="19"/>
  <c r="O54" i="19"/>
  <c r="O56" i="19"/>
  <c r="O53" i="19"/>
  <c r="O57" i="19"/>
  <c r="O59" i="19"/>
  <c r="O39" i="19"/>
  <c r="O60" i="19"/>
  <c r="O61" i="19"/>
  <c r="O62" i="19"/>
  <c r="O65" i="19"/>
  <c r="O63" i="19"/>
  <c r="O66" i="19"/>
  <c r="O67" i="19"/>
  <c r="O68" i="19"/>
  <c r="O64" i="19"/>
  <c r="O71" i="19"/>
  <c r="O72" i="19"/>
  <c r="O9" i="19"/>
  <c r="AN78" i="15"/>
  <c r="AM78" i="15"/>
  <c r="AL78" i="15"/>
  <c r="AK78" i="15"/>
  <c r="AJ78" i="15"/>
  <c r="AI78" i="15"/>
  <c r="AH78" i="15"/>
  <c r="AG78" i="15"/>
  <c r="AF78" i="15"/>
  <c r="AE78" i="15"/>
  <c r="AD78" i="15"/>
  <c r="AC78" i="15"/>
  <c r="AB78" i="15"/>
  <c r="AA78" i="15"/>
  <c r="Z78" i="15"/>
  <c r="Y78" i="15"/>
  <c r="X78" i="15"/>
  <c r="W78" i="15"/>
  <c r="V78" i="15"/>
  <c r="U78" i="15"/>
  <c r="T78" i="15"/>
  <c r="S78" i="15"/>
  <c r="R78" i="15"/>
  <c r="Q78" i="15"/>
  <c r="P78" i="15"/>
  <c r="O78" i="15"/>
  <c r="N78" i="15"/>
  <c r="M78" i="15"/>
  <c r="L78" i="15"/>
  <c r="K78" i="15"/>
  <c r="J78" i="15"/>
  <c r="I78" i="15"/>
  <c r="H78" i="15"/>
  <c r="G78" i="15"/>
  <c r="F78" i="15"/>
  <c r="E78" i="15"/>
  <c r="D78" i="15"/>
  <c r="C78" i="15"/>
  <c r="B78" i="15"/>
  <c r="A5" i="13"/>
  <c r="A27" i="13"/>
  <c r="A37" i="13"/>
  <c r="A40" i="13"/>
  <c r="A39" i="13"/>
  <c r="A42" i="13"/>
  <c r="A32" i="13"/>
  <c r="A11" i="13"/>
  <c r="A35" i="13"/>
  <c r="A15" i="13"/>
  <c r="A31" i="13"/>
  <c r="A41" i="13"/>
  <c r="A33" i="13"/>
  <c r="A29" i="13"/>
  <c r="A38" i="13"/>
  <c r="A26" i="13"/>
  <c r="A36" i="13"/>
  <c r="A13" i="13"/>
  <c r="A20" i="13"/>
  <c r="A21" i="13"/>
  <c r="A22" i="13"/>
  <c r="A19" i="13"/>
  <c r="A14" i="13"/>
  <c r="A24" i="13"/>
  <c r="A34" i="13"/>
  <c r="A25" i="13"/>
  <c r="A10" i="13"/>
  <c r="A9" i="13"/>
  <c r="A16" i="13"/>
  <c r="A17" i="13"/>
  <c r="A18" i="13"/>
  <c r="A28" i="13"/>
  <c r="A12" i="13"/>
  <c r="A23" i="13"/>
  <c r="A6" i="13"/>
  <c r="A7" i="13"/>
  <c r="A8" i="13"/>
  <c r="A4" i="13"/>
  <c r="A30" i="13"/>
  <c r="AN77" i="8"/>
  <c r="AM77" i="8"/>
  <c r="AL77" i="8"/>
  <c r="AK77" i="8"/>
  <c r="AJ77" i="8"/>
  <c r="AI77" i="8"/>
  <c r="AH77" i="8"/>
  <c r="AG77" i="8"/>
  <c r="AF77" i="8"/>
  <c r="AE77" i="8"/>
  <c r="AD77" i="8"/>
  <c r="AC77" i="8"/>
  <c r="AB77" i="8"/>
  <c r="AA77" i="8"/>
  <c r="Z77" i="8"/>
  <c r="Y77" i="8"/>
  <c r="X77" i="8"/>
  <c r="W77" i="8"/>
  <c r="V77" i="8"/>
  <c r="U77" i="8"/>
  <c r="T77" i="8"/>
  <c r="S77" i="8"/>
  <c r="R77" i="8"/>
  <c r="Q77" i="8"/>
  <c r="P77" i="8"/>
  <c r="O77" i="8"/>
  <c r="N77" i="8"/>
  <c r="M77" i="8"/>
  <c r="L77" i="8"/>
  <c r="K77" i="8"/>
  <c r="J77" i="8"/>
  <c r="I77" i="8"/>
  <c r="H77" i="8"/>
  <c r="G77" i="8"/>
  <c r="F77" i="8"/>
  <c r="E77" i="8"/>
  <c r="D77" i="8"/>
  <c r="C77" i="8"/>
  <c r="B77" i="8"/>
  <c r="M39" i="20" l="1"/>
  <c r="M38" i="20"/>
  <c r="B30" i="13"/>
  <c r="B10" i="13"/>
  <c r="H14" i="16" s="1"/>
  <c r="I14" i="16" s="1"/>
  <c r="B20" i="13"/>
  <c r="H17" i="16" s="1"/>
  <c r="I17" i="16" s="1"/>
  <c r="B38" i="13"/>
  <c r="B32" i="13"/>
  <c r="H16" i="16" s="1"/>
  <c r="I16" i="16" s="1"/>
  <c r="B4" i="13"/>
  <c r="B17" i="13"/>
  <c r="H19" i="16" s="1"/>
  <c r="I19" i="16" s="1"/>
  <c r="B19" i="13"/>
  <c r="H10" i="16" s="1"/>
  <c r="I10" i="16" s="1"/>
  <c r="B29" i="13"/>
  <c r="B42" i="13"/>
  <c r="H9" i="16" s="1"/>
  <c r="I9" i="16" s="1"/>
  <c r="B8" i="13"/>
  <c r="B12" i="13"/>
  <c r="H26" i="16" s="1"/>
  <c r="I26" i="16" s="1"/>
  <c r="B16" i="13"/>
  <c r="H27" i="16" s="1"/>
  <c r="I27" i="16" s="1"/>
  <c r="B34" i="13"/>
  <c r="H6" i="16" s="1"/>
  <c r="I6" i="16" s="1"/>
  <c r="B22" i="13"/>
  <c r="H18" i="16" s="1"/>
  <c r="I18" i="16" s="1"/>
  <c r="B36" i="13"/>
  <c r="H23" i="16" s="1"/>
  <c r="I23" i="16" s="1"/>
  <c r="B33" i="13"/>
  <c r="B35" i="13"/>
  <c r="H8" i="16" s="1"/>
  <c r="I8" i="16" s="1"/>
  <c r="B39" i="13"/>
  <c r="H21" i="16" s="1"/>
  <c r="I21" i="16" s="1"/>
  <c r="B6" i="13"/>
  <c r="B18" i="13"/>
  <c r="B14" i="13"/>
  <c r="H12" i="16" s="1"/>
  <c r="I12" i="16" s="1"/>
  <c r="B31" i="13"/>
  <c r="B37" i="13"/>
  <c r="B23" i="13"/>
  <c r="B25" i="13"/>
  <c r="H20" i="16" s="1"/>
  <c r="I20" i="16" s="1"/>
  <c r="B13" i="13"/>
  <c r="H22" i="16" s="1"/>
  <c r="I22" i="16" s="1"/>
  <c r="B15" i="13"/>
  <c r="J28" i="24"/>
  <c r="F50" i="28"/>
  <c r="AO16" i="8"/>
  <c r="F41" i="28"/>
  <c r="J49" i="24"/>
  <c r="F29" i="28"/>
  <c r="K56" i="22"/>
  <c r="F12" i="28"/>
  <c r="F5" i="28"/>
  <c r="AO49" i="15"/>
  <c r="F49" i="28"/>
  <c r="J9" i="24"/>
  <c r="F44" i="28"/>
  <c r="AO55" i="8"/>
  <c r="F42" i="28"/>
  <c r="AO42" i="8"/>
  <c r="F39" i="28"/>
  <c r="AO56" i="8"/>
  <c r="F36" i="28"/>
  <c r="F33" i="28"/>
  <c r="K24" i="22"/>
  <c r="F28" i="28"/>
  <c r="AO70" i="8"/>
  <c r="F16" i="29"/>
  <c r="AO61" i="8"/>
  <c r="F26" i="28"/>
  <c r="F20" i="28"/>
  <c r="AO29" i="15"/>
  <c r="F18" i="28"/>
  <c r="AO34" i="15"/>
  <c r="F11" i="28"/>
  <c r="J57" i="24"/>
  <c r="F9" i="28"/>
  <c r="AO72" i="15"/>
  <c r="F13" i="29"/>
  <c r="AO39" i="8"/>
  <c r="F9" i="29"/>
  <c r="AO59" i="15"/>
  <c r="F6" i="28"/>
  <c r="AO71" i="15"/>
  <c r="F4" i="29"/>
  <c r="F53" i="28"/>
  <c r="AO35" i="8"/>
  <c r="F46" i="28"/>
  <c r="F35" i="28"/>
  <c r="J17" i="24"/>
  <c r="F20" i="29"/>
  <c r="K43" i="22"/>
  <c r="F23" i="28"/>
  <c r="F17" i="28"/>
  <c r="F14" i="29"/>
  <c r="AO24" i="8"/>
  <c r="F11" i="29"/>
  <c r="F5" i="29"/>
  <c r="AO17" i="8"/>
  <c r="F51" i="28"/>
  <c r="K36" i="22"/>
  <c r="F47" i="28"/>
  <c r="F43" i="28"/>
  <c r="AO64" i="8"/>
  <c r="F22" i="28"/>
  <c r="AO10" i="15"/>
  <c r="F32" i="28"/>
  <c r="AO25" i="15"/>
  <c r="F19" i="29"/>
  <c r="F30" i="28"/>
  <c r="AO74" i="15"/>
  <c r="F18" i="29"/>
  <c r="J65" i="24"/>
  <c r="J60" i="24"/>
  <c r="F19" i="28"/>
  <c r="AO9" i="15"/>
  <c r="F15" i="28"/>
  <c r="F13" i="28"/>
  <c r="F10" i="28"/>
  <c r="AO21" i="8"/>
  <c r="F12" i="29"/>
  <c r="K5" i="22"/>
  <c r="F8" i="29"/>
  <c r="F6" i="29"/>
  <c r="F38" i="28"/>
  <c r="AO40" i="8"/>
  <c r="F17" i="29"/>
  <c r="F14" i="28"/>
  <c r="AO36" i="8"/>
  <c r="F10" i="29"/>
  <c r="AO37" i="15"/>
  <c r="F52" i="28"/>
  <c r="F48" i="28"/>
  <c r="F45" i="28"/>
  <c r="K51" i="22"/>
  <c r="F40" i="28"/>
  <c r="F37" i="28"/>
  <c r="AO11" i="15"/>
  <c r="F34" i="28"/>
  <c r="J25" i="24"/>
  <c r="F31" i="28"/>
  <c r="F27" i="28"/>
  <c r="F25" i="28"/>
  <c r="AO43" i="15"/>
  <c r="F21" i="28"/>
  <c r="F16" i="28"/>
  <c r="K31" i="22"/>
  <c r="F8" i="28"/>
  <c r="AO22" i="15"/>
  <c r="F15" i="29"/>
  <c r="F7" i="28"/>
  <c r="AO73" i="15"/>
  <c r="F7" i="29"/>
  <c r="AO67" i="15"/>
  <c r="F4" i="28"/>
  <c r="E81" i="15"/>
  <c r="M81" i="15"/>
  <c r="U81" i="15"/>
  <c r="Y81" i="15"/>
  <c r="AC81" i="15"/>
  <c r="AK81" i="15"/>
  <c r="B81" i="15"/>
  <c r="B143" i="15" s="1"/>
  <c r="J81" i="15"/>
  <c r="N81" i="15"/>
  <c r="V81" i="15"/>
  <c r="AD81" i="15"/>
  <c r="AH81" i="15"/>
  <c r="I81" i="15"/>
  <c r="Q81" i="15"/>
  <c r="AG81" i="15"/>
  <c r="F81" i="15"/>
  <c r="R81" i="15"/>
  <c r="Z81" i="15"/>
  <c r="AL81" i="15"/>
  <c r="AO72" i="8"/>
  <c r="AO59" i="8"/>
  <c r="AO55" i="15"/>
  <c r="D81" i="15"/>
  <c r="H81" i="15"/>
  <c r="L81" i="15"/>
  <c r="P81" i="15"/>
  <c r="T81" i="15"/>
  <c r="X81" i="15"/>
  <c r="AB81" i="15"/>
  <c r="AF81" i="15"/>
  <c r="AJ81" i="15"/>
  <c r="AN81" i="15"/>
  <c r="K32" i="22"/>
  <c r="AO25" i="8"/>
  <c r="J36" i="24"/>
  <c r="K61" i="22"/>
  <c r="J61" i="24"/>
  <c r="F74" i="24"/>
  <c r="H72" i="24"/>
  <c r="I75" i="24"/>
  <c r="J4" i="24"/>
  <c r="N53" i="19"/>
  <c r="N37" i="19"/>
  <c r="K53" i="22"/>
  <c r="K37" i="22"/>
  <c r="J6" i="24"/>
  <c r="J46" i="24"/>
  <c r="J68" i="24"/>
  <c r="AO38" i="15"/>
  <c r="AO63" i="15"/>
  <c r="K41" i="22"/>
  <c r="AO31" i="15"/>
  <c r="N39" i="19"/>
  <c r="N45" i="19"/>
  <c r="K71" i="22"/>
  <c r="K47" i="22"/>
  <c r="K23" i="22"/>
  <c r="J22" i="24"/>
  <c r="J52" i="24"/>
  <c r="J69" i="24"/>
  <c r="AO67" i="8"/>
  <c r="AO7" i="15"/>
  <c r="E75" i="24"/>
  <c r="N65" i="19"/>
  <c r="N51" i="19"/>
  <c r="N49" i="19"/>
  <c r="N41" i="19"/>
  <c r="N32" i="19"/>
  <c r="K75" i="19"/>
  <c r="K69" i="22"/>
  <c r="K35" i="22"/>
  <c r="K9" i="22"/>
  <c r="J56" i="24"/>
  <c r="AO9" i="8"/>
  <c r="AO49" i="8"/>
  <c r="AO68" i="8"/>
  <c r="AO53" i="15"/>
  <c r="L75" i="19"/>
  <c r="C74" i="24"/>
  <c r="C75" i="24"/>
  <c r="G72" i="24"/>
  <c r="G75" i="24"/>
  <c r="AO15" i="15"/>
  <c r="J12" i="24"/>
  <c r="AO15" i="8"/>
  <c r="K45" i="22"/>
  <c r="AO47" i="8"/>
  <c r="J44" i="24"/>
  <c r="AO47" i="15"/>
  <c r="AO35" i="15"/>
  <c r="J32" i="24"/>
  <c r="K33" i="22"/>
  <c r="J8" i="24"/>
  <c r="AO65" i="8"/>
  <c r="AO41" i="8"/>
  <c r="J38" i="24"/>
  <c r="AO33" i="8"/>
  <c r="J24" i="24"/>
  <c r="K20" i="22"/>
  <c r="D75" i="24"/>
  <c r="F75" i="24"/>
  <c r="B74" i="24"/>
  <c r="B75" i="24"/>
  <c r="J34" i="24"/>
  <c r="AO37" i="8"/>
  <c r="J10" i="24"/>
  <c r="AO13" i="15"/>
  <c r="AO13" i="8"/>
  <c r="J66" i="24"/>
  <c r="K67" i="22"/>
  <c r="AO69" i="8"/>
  <c r="AO69" i="15"/>
  <c r="J50" i="24"/>
  <c r="AO53" i="8"/>
  <c r="AO18" i="15"/>
  <c r="K16" i="22"/>
  <c r="J58" i="24"/>
  <c r="J62" i="24"/>
  <c r="AO43" i="8"/>
  <c r="J40" i="24"/>
  <c r="AO51" i="15"/>
  <c r="K49" i="22"/>
  <c r="AO51" i="8"/>
  <c r="J48" i="24"/>
  <c r="J26" i="24"/>
  <c r="AO31" i="8"/>
  <c r="AO33" i="15"/>
  <c r="J30" i="24"/>
  <c r="AO7" i="8"/>
  <c r="J70" i="24"/>
  <c r="AO73" i="8"/>
  <c r="K63" i="22"/>
  <c r="K29" i="22"/>
  <c r="K11" i="22"/>
  <c r="H74" i="24"/>
  <c r="N66" i="19"/>
  <c r="N61" i="19"/>
  <c r="Q61" i="19" s="1"/>
  <c r="N58" i="19"/>
  <c r="N55" i="19"/>
  <c r="N50" i="19"/>
  <c r="N46" i="19"/>
  <c r="N42" i="19"/>
  <c r="N29" i="19"/>
  <c r="N33" i="19"/>
  <c r="N30" i="19"/>
  <c r="N23" i="19"/>
  <c r="N22" i="19"/>
  <c r="N17" i="19"/>
  <c r="N13" i="19"/>
  <c r="Q13" i="19" s="1"/>
  <c r="N8" i="19"/>
  <c r="M75" i="19"/>
  <c r="AO10" i="8"/>
  <c r="AO64" i="15"/>
  <c r="AO68" i="15"/>
  <c r="K68" i="22"/>
  <c r="K59" i="22"/>
  <c r="K40" i="22"/>
  <c r="K27" i="22"/>
  <c r="K19" i="22"/>
  <c r="K8" i="22"/>
  <c r="AO29" i="8"/>
  <c r="AO63" i="8"/>
  <c r="AO17" i="15"/>
  <c r="AO26" i="15"/>
  <c r="AO39" i="15"/>
  <c r="AO70" i="15"/>
  <c r="J75" i="19"/>
  <c r="AO27" i="8"/>
  <c r="K7" i="22"/>
  <c r="AO8" i="8"/>
  <c r="AO71" i="8"/>
  <c r="AO42" i="15"/>
  <c r="AO61" i="15"/>
  <c r="H75" i="24"/>
  <c r="B72" i="24"/>
  <c r="AO32" i="15"/>
  <c r="K30" i="22"/>
  <c r="AO32" i="8"/>
  <c r="AO12" i="15"/>
  <c r="K10" i="22"/>
  <c r="AO12" i="8"/>
  <c r="AO30" i="8"/>
  <c r="J27" i="24"/>
  <c r="AO30" i="15"/>
  <c r="K28" i="22"/>
  <c r="AO44" i="15"/>
  <c r="K42" i="22"/>
  <c r="AO44" i="8"/>
  <c r="AO48" i="15"/>
  <c r="K46" i="22"/>
  <c r="AO48" i="8"/>
  <c r="AO20" i="15"/>
  <c r="K18" i="22"/>
  <c r="AO54" i="8"/>
  <c r="J51" i="24"/>
  <c r="AO74" i="8"/>
  <c r="J71" i="24"/>
  <c r="J42" i="24"/>
  <c r="AO45" i="15"/>
  <c r="AO66" i="8"/>
  <c r="J63" i="24"/>
  <c r="AO66" i="15"/>
  <c r="AO19" i="15"/>
  <c r="J16" i="24"/>
  <c r="K17" i="22"/>
  <c r="AO50" i="8"/>
  <c r="J47" i="24"/>
  <c r="AO50" i="15"/>
  <c r="AO62" i="8"/>
  <c r="J59" i="24"/>
  <c r="AO62" i="15"/>
  <c r="K60" i="22"/>
  <c r="K48" i="22"/>
  <c r="D74" i="24"/>
  <c r="F72" i="24"/>
  <c r="C72" i="24"/>
  <c r="J18" i="24"/>
  <c r="J45" i="24"/>
  <c r="G74" i="24"/>
  <c r="AO54" i="15"/>
  <c r="AO38" i="8"/>
  <c r="J35" i="24"/>
  <c r="AO16" i="15"/>
  <c r="K14" i="22"/>
  <c r="AO57" i="15"/>
  <c r="K55" i="22"/>
  <c r="AO28" i="15"/>
  <c r="K26" i="22"/>
  <c r="AO28" i="8"/>
  <c r="AO52" i="15"/>
  <c r="K50" i="22"/>
  <c r="AO40" i="15"/>
  <c r="K38" i="22"/>
  <c r="J37" i="24"/>
  <c r="AO41" i="15"/>
  <c r="K39" i="22"/>
  <c r="AO58" i="8"/>
  <c r="J55" i="24"/>
  <c r="AO23" i="8"/>
  <c r="AO23" i="15"/>
  <c r="AO24" i="15"/>
  <c r="K22" i="22"/>
  <c r="J21" i="24"/>
  <c r="AO36" i="15"/>
  <c r="K34" i="22"/>
  <c r="AO8" i="15"/>
  <c r="K6" i="22"/>
  <c r="J5" i="24"/>
  <c r="K72" i="22"/>
  <c r="K52" i="22"/>
  <c r="K21" i="22"/>
  <c r="K15" i="22"/>
  <c r="E74" i="24"/>
  <c r="E72" i="24"/>
  <c r="I74" i="24"/>
  <c r="I72" i="24"/>
  <c r="D72" i="24"/>
  <c r="J13" i="24"/>
  <c r="J20" i="24"/>
  <c r="J33" i="24"/>
  <c r="AO11" i="8"/>
  <c r="AO19" i="8"/>
  <c r="AO21" i="15"/>
  <c r="AO27" i="15"/>
  <c r="N64" i="19"/>
  <c r="N63" i="19"/>
  <c r="N60" i="19"/>
  <c r="N57" i="19"/>
  <c r="N54" i="19"/>
  <c r="N47" i="19"/>
  <c r="N36" i="19"/>
  <c r="N44" i="19"/>
  <c r="N38" i="19"/>
  <c r="N34" i="19"/>
  <c r="N27" i="19"/>
  <c r="N25" i="19"/>
  <c r="N20" i="19"/>
  <c r="Q20" i="19" s="1"/>
  <c r="N15" i="19"/>
  <c r="N11" i="19"/>
  <c r="N7" i="19"/>
  <c r="K64" i="22"/>
  <c r="K57" i="22"/>
  <c r="K25" i="22"/>
  <c r="K13" i="22"/>
  <c r="J14" i="24"/>
  <c r="J29" i="24"/>
  <c r="J41" i="24"/>
  <c r="J54" i="24"/>
  <c r="AO20" i="8"/>
  <c r="AO45" i="8"/>
  <c r="AO52" i="8"/>
  <c r="AO57" i="8"/>
  <c r="AO58" i="15"/>
  <c r="AO65" i="15"/>
  <c r="C81" i="15"/>
  <c r="G81" i="15"/>
  <c r="K81" i="15"/>
  <c r="O81" i="15"/>
  <c r="S81" i="15"/>
  <c r="W81" i="15"/>
  <c r="AA81" i="15"/>
  <c r="AE81" i="15"/>
  <c r="AI81" i="15"/>
  <c r="AM81" i="15"/>
  <c r="N72" i="19"/>
  <c r="N67" i="19"/>
  <c r="N62" i="19"/>
  <c r="Q62" i="19" s="1"/>
  <c r="N59" i="19"/>
  <c r="N56" i="19"/>
  <c r="Q54" i="19" s="1"/>
  <c r="N52" i="19"/>
  <c r="N48" i="19"/>
  <c r="N43" i="19"/>
  <c r="N40" i="19"/>
  <c r="N35" i="19"/>
  <c r="N31" i="19"/>
  <c r="N26" i="19"/>
  <c r="N21" i="19"/>
  <c r="N18" i="19"/>
  <c r="N16" i="19"/>
  <c r="N12" i="19"/>
  <c r="N70" i="19"/>
  <c r="Q72" i="19" s="1"/>
  <c r="N71" i="19"/>
  <c r="AO56" i="15"/>
  <c r="K54" i="22"/>
  <c r="AO46" i="8"/>
  <c r="J43" i="24"/>
  <c r="AO26" i="8"/>
  <c r="J23" i="24"/>
  <c r="AO18" i="8"/>
  <c r="J15" i="24"/>
  <c r="AO34" i="8"/>
  <c r="J31" i="24"/>
  <c r="AO60" i="15"/>
  <c r="K58" i="22"/>
  <c r="AO22" i="8"/>
  <c r="J19" i="24"/>
  <c r="AO14" i="8"/>
  <c r="J11" i="24"/>
  <c r="K65" i="22"/>
  <c r="K44" i="22"/>
  <c r="K12" i="22"/>
  <c r="J53" i="24"/>
  <c r="J64" i="24"/>
  <c r="AO60" i="8"/>
  <c r="AO14" i="15"/>
  <c r="AO46" i="15"/>
  <c r="N28" i="19"/>
  <c r="Q27" i="19" s="1"/>
  <c r="N24" i="19"/>
  <c r="N19" i="19"/>
  <c r="N14" i="19"/>
  <c r="Q15" i="19" s="1"/>
  <c r="N10" i="19"/>
  <c r="K70" i="22"/>
  <c r="K66" i="22"/>
  <c r="K62" i="22"/>
  <c r="J7" i="24"/>
  <c r="J39" i="24"/>
  <c r="J67" i="24"/>
  <c r="F80" i="8"/>
  <c r="V80" i="8"/>
  <c r="AL80" i="8"/>
  <c r="B27" i="13"/>
  <c r="B7" i="13"/>
  <c r="B28" i="13"/>
  <c r="H15" i="16" s="1"/>
  <c r="I15" i="16" s="1"/>
  <c r="B9" i="13"/>
  <c r="H25" i="16" s="1"/>
  <c r="I25" i="16" s="1"/>
  <c r="O80" i="8"/>
  <c r="B24" i="13"/>
  <c r="H13" i="16" s="1"/>
  <c r="I13" i="16" s="1"/>
  <c r="B21" i="13"/>
  <c r="H7" i="16" s="1"/>
  <c r="I7" i="16" s="1"/>
  <c r="B26" i="13"/>
  <c r="H24" i="16" s="1"/>
  <c r="I24" i="16" s="1"/>
  <c r="B41" i="13"/>
  <c r="AE80" i="8"/>
  <c r="B11" i="13"/>
  <c r="H11" i="16" s="1"/>
  <c r="I11" i="16" s="1"/>
  <c r="B40" i="13"/>
  <c r="E80" i="8"/>
  <c r="I80" i="8"/>
  <c r="M80" i="8"/>
  <c r="Q80" i="8"/>
  <c r="U80" i="8"/>
  <c r="Y80" i="8"/>
  <c r="AC80" i="8"/>
  <c r="AG80" i="8"/>
  <c r="AK80" i="8"/>
  <c r="B80" i="8"/>
  <c r="B145" i="8" s="1"/>
  <c r="J80" i="8"/>
  <c r="N80" i="8"/>
  <c r="R80" i="8"/>
  <c r="Z80" i="8"/>
  <c r="AD80" i="8"/>
  <c r="AH80" i="8"/>
  <c r="Q69" i="19"/>
  <c r="N9" i="19"/>
  <c r="B5" i="13"/>
  <c r="H61" i="9"/>
  <c r="H31" i="9"/>
  <c r="H35" i="9"/>
  <c r="H44" i="9"/>
  <c r="H71" i="9"/>
  <c r="H70" i="9"/>
  <c r="H65" i="9"/>
  <c r="H66" i="9"/>
  <c r="H69" i="9"/>
  <c r="H57" i="9"/>
  <c r="H64" i="9"/>
  <c r="H55" i="9"/>
  <c r="H54" i="9"/>
  <c r="H63" i="9"/>
  <c r="H60" i="9"/>
  <c r="H33" i="9"/>
  <c r="H24" i="9"/>
  <c r="H26" i="9"/>
  <c r="H27" i="9"/>
  <c r="H52" i="9"/>
  <c r="H36" i="9"/>
  <c r="H48" i="9"/>
  <c r="H45" i="9"/>
  <c r="H40" i="9"/>
  <c r="H37" i="9"/>
  <c r="H32" i="9"/>
  <c r="H23" i="9"/>
  <c r="H34" i="9"/>
  <c r="H39" i="9"/>
  <c r="H29" i="9"/>
  <c r="H18" i="9"/>
  <c r="H25" i="9"/>
  <c r="J26" i="5"/>
  <c r="J25" i="5"/>
  <c r="J24" i="5"/>
  <c r="J23" i="5"/>
  <c r="J22" i="5"/>
  <c r="J21" i="5"/>
  <c r="J20" i="5"/>
  <c r="J19" i="5"/>
  <c r="J18" i="5"/>
  <c r="J17" i="5"/>
  <c r="F17" i="5"/>
  <c r="J16" i="5"/>
  <c r="F16" i="5"/>
  <c r="J15" i="5"/>
  <c r="F15" i="5"/>
  <c r="J14" i="5"/>
  <c r="F14" i="5"/>
  <c r="J13" i="5"/>
  <c r="F13" i="5"/>
  <c r="J12" i="5"/>
  <c r="F12" i="5"/>
  <c r="J11" i="5"/>
  <c r="F11" i="5"/>
  <c r="J10" i="5"/>
  <c r="F10" i="5"/>
  <c r="B10" i="5"/>
  <c r="J9" i="5"/>
  <c r="F9" i="5"/>
  <c r="B9" i="5"/>
  <c r="J8" i="5"/>
  <c r="F8" i="5"/>
  <c r="B8" i="5"/>
  <c r="J7" i="5"/>
  <c r="H7" i="5"/>
  <c r="F7" i="5"/>
  <c r="B7" i="5"/>
  <c r="J6" i="5"/>
  <c r="H6" i="5"/>
  <c r="F6" i="5"/>
  <c r="B6" i="5"/>
  <c r="J5" i="5"/>
  <c r="H5" i="5"/>
  <c r="H28" i="5" s="1"/>
  <c r="F5" i="5"/>
  <c r="B5" i="5"/>
  <c r="D71" i="9"/>
  <c r="D70" i="9"/>
  <c r="D67" i="9"/>
  <c r="D69" i="9"/>
  <c r="D68" i="9"/>
  <c r="D66" i="9"/>
  <c r="D64" i="9"/>
  <c r="D61" i="9"/>
  <c r="D65" i="9"/>
  <c r="D63" i="9"/>
  <c r="D60" i="9"/>
  <c r="D62" i="9"/>
  <c r="D59" i="9"/>
  <c r="H58" i="9"/>
  <c r="D58" i="9"/>
  <c r="D57" i="9"/>
  <c r="H56" i="9"/>
  <c r="D56" i="9"/>
  <c r="D55" i="9"/>
  <c r="D54" i="9"/>
  <c r="D50" i="9"/>
  <c r="H53" i="9"/>
  <c r="D53" i="9"/>
  <c r="D52" i="9"/>
  <c r="D51" i="9"/>
  <c r="D48" i="9"/>
  <c r="H49" i="9"/>
  <c r="D49" i="9"/>
  <c r="D47" i="9"/>
  <c r="D44" i="9"/>
  <c r="D35" i="9"/>
  <c r="D46" i="9"/>
  <c r="D45" i="9"/>
  <c r="H43" i="9"/>
  <c r="D43" i="9"/>
  <c r="D32" i="9"/>
  <c r="E32" i="9" s="1"/>
  <c r="H42" i="9"/>
  <c r="D42" i="9"/>
  <c r="D40" i="9"/>
  <c r="H41" i="9"/>
  <c r="D41" i="9"/>
  <c r="D37" i="9"/>
  <c r="D38" i="9"/>
  <c r="D39" i="9"/>
  <c r="D36" i="9"/>
  <c r="D33" i="9"/>
  <c r="D34" i="9"/>
  <c r="H30" i="9"/>
  <c r="D30" i="9"/>
  <c r="D23" i="9"/>
  <c r="D29" i="9"/>
  <c r="D27" i="9"/>
  <c r="H20" i="9"/>
  <c r="D20" i="9"/>
  <c r="E20" i="9" s="1"/>
  <c r="D31" i="9"/>
  <c r="H28" i="9"/>
  <c r="D28" i="9"/>
  <c r="D25" i="9"/>
  <c r="D24" i="9"/>
  <c r="H21" i="9"/>
  <c r="D21" i="9"/>
  <c r="D26" i="9"/>
  <c r="E26" i="9" s="1"/>
  <c r="H22" i="9"/>
  <c r="D22" i="9"/>
  <c r="D18" i="9"/>
  <c r="E18" i="9" s="1"/>
  <c r="H19" i="9"/>
  <c r="D19" i="9"/>
  <c r="E19" i="9" s="1"/>
  <c r="D17" i="9"/>
  <c r="H16" i="9"/>
  <c r="D16" i="9"/>
  <c r="E16" i="9" s="1"/>
  <c r="D15" i="9"/>
  <c r="H14" i="9"/>
  <c r="D14" i="9"/>
  <c r="H12" i="9"/>
  <c r="D12" i="9"/>
  <c r="D6" i="9"/>
  <c r="H13" i="9"/>
  <c r="D13" i="9"/>
  <c r="E13" i="9" s="1"/>
  <c r="H11" i="9"/>
  <c r="D11" i="9"/>
  <c r="D10" i="9"/>
  <c r="D9" i="9"/>
  <c r="E9" i="9" s="1"/>
  <c r="H8" i="9"/>
  <c r="D8" i="9"/>
  <c r="H5" i="9"/>
  <c r="D5" i="9"/>
  <c r="H4" i="9"/>
  <c r="D4" i="9"/>
  <c r="E4" i="9" s="1"/>
  <c r="H7" i="9"/>
  <c r="D7" i="9"/>
  <c r="C71" i="4"/>
  <c r="C70" i="4"/>
  <c r="C69" i="4"/>
  <c r="C68" i="4"/>
  <c r="C67" i="4"/>
  <c r="C66" i="4"/>
  <c r="C65" i="4"/>
  <c r="C64" i="4"/>
  <c r="C63" i="4"/>
  <c r="C62" i="4"/>
  <c r="C61" i="4"/>
  <c r="C60" i="4"/>
  <c r="C59" i="4"/>
  <c r="C58" i="4"/>
  <c r="C57" i="4"/>
  <c r="C56" i="4"/>
  <c r="C55" i="4"/>
  <c r="C54" i="4"/>
  <c r="C53" i="4"/>
  <c r="C52" i="4"/>
  <c r="C51" i="4"/>
  <c r="C50" i="4"/>
  <c r="C49" i="4"/>
  <c r="C48" i="4"/>
  <c r="C47" i="4"/>
  <c r="C46" i="4"/>
  <c r="C45" i="4"/>
  <c r="C44" i="4"/>
  <c r="C43" i="4"/>
  <c r="C42" i="4"/>
  <c r="C41" i="4"/>
  <c r="C40" i="4"/>
  <c r="C39" i="4"/>
  <c r="C38" i="4"/>
  <c r="C37" i="4"/>
  <c r="C36" i="4"/>
  <c r="C35" i="4"/>
  <c r="C34" i="4"/>
  <c r="C33" i="4"/>
  <c r="C32" i="4"/>
  <c r="C31" i="4"/>
  <c r="C30" i="4"/>
  <c r="C29" i="4"/>
  <c r="C28" i="4"/>
  <c r="C27" i="4"/>
  <c r="C26" i="4"/>
  <c r="C25" i="4"/>
  <c r="C24" i="4"/>
  <c r="C23" i="4"/>
  <c r="C22" i="4"/>
  <c r="C21" i="4"/>
  <c r="C20" i="4"/>
  <c r="C19" i="4"/>
  <c r="C18" i="4"/>
  <c r="C17" i="4"/>
  <c r="C16" i="4"/>
  <c r="C15" i="4"/>
  <c r="C14" i="4"/>
  <c r="C13" i="4"/>
  <c r="C12" i="4"/>
  <c r="C11" i="4"/>
  <c r="C10" i="4"/>
  <c r="C9" i="4"/>
  <c r="C8" i="4"/>
  <c r="C7" i="4"/>
  <c r="C6" i="4"/>
  <c r="C5" i="4"/>
  <c r="C4" i="4"/>
  <c r="X2" i="2"/>
  <c r="Z2" i="2" s="1"/>
  <c r="J28" i="5" l="1"/>
  <c r="F28" i="5"/>
  <c r="B28" i="5"/>
  <c r="I11" i="38"/>
  <c r="Q10" i="19"/>
  <c r="Q45" i="19"/>
  <c r="F76" i="24"/>
  <c r="Q31" i="19"/>
  <c r="Q66" i="19"/>
  <c r="Q16" i="19"/>
  <c r="Q48" i="19"/>
  <c r="Q9" i="19"/>
  <c r="Q25" i="19"/>
  <c r="Q41" i="19"/>
  <c r="Q57" i="19"/>
  <c r="Q52" i="19"/>
  <c r="Q42" i="19"/>
  <c r="Q58" i="19"/>
  <c r="Q8" i="19"/>
  <c r="Q24" i="19"/>
  <c r="Q40" i="19"/>
  <c r="Q56" i="19"/>
  <c r="Q14" i="19"/>
  <c r="Q46" i="19"/>
  <c r="Q28" i="19"/>
  <c r="Q44" i="19"/>
  <c r="Q21" i="19"/>
  <c r="Q53" i="19"/>
  <c r="Q67" i="19"/>
  <c r="Q47" i="19"/>
  <c r="D6" i="29"/>
  <c r="G25" i="9"/>
  <c r="I25" i="9" s="1"/>
  <c r="D13" i="28"/>
  <c r="D32" i="28"/>
  <c r="G69" i="9"/>
  <c r="I69" i="9" s="1"/>
  <c r="D51" i="28"/>
  <c r="D9" i="28"/>
  <c r="D26" i="28"/>
  <c r="D36" i="28"/>
  <c r="G60" i="9"/>
  <c r="I60" i="9" s="1"/>
  <c r="D42" i="28"/>
  <c r="G5" i="9"/>
  <c r="I5" i="9" s="1"/>
  <c r="D4" i="28"/>
  <c r="G19" i="9"/>
  <c r="I19" i="9" s="1"/>
  <c r="D15" i="29"/>
  <c r="D25" i="28"/>
  <c r="D34" i="28"/>
  <c r="G66" i="9"/>
  <c r="I66" i="9" s="1"/>
  <c r="D48" i="28"/>
  <c r="C62" i="28"/>
  <c r="D62" i="28" s="1"/>
  <c r="C63" i="28"/>
  <c r="D63" i="28" s="1"/>
  <c r="C61" i="28"/>
  <c r="D61" i="28" s="1"/>
  <c r="C59" i="28"/>
  <c r="D59" i="28" s="1"/>
  <c r="C60" i="28"/>
  <c r="D60" i="28" s="1"/>
  <c r="C26" i="29"/>
  <c r="D26" i="29" s="1"/>
  <c r="C28" i="29"/>
  <c r="D28" i="29" s="1"/>
  <c r="C25" i="29"/>
  <c r="D25" i="29" s="1"/>
  <c r="C27" i="29"/>
  <c r="D27" i="29" s="1"/>
  <c r="D8" i="29"/>
  <c r="G22" i="9"/>
  <c r="I22" i="9" s="1"/>
  <c r="D10" i="28"/>
  <c r="G28" i="9"/>
  <c r="I28" i="9" s="1"/>
  <c r="D15" i="28"/>
  <c r="G42" i="9"/>
  <c r="I42" i="9" s="1"/>
  <c r="D18" i="29"/>
  <c r="D19" i="29"/>
  <c r="D22" i="28"/>
  <c r="D47" i="28"/>
  <c r="D6" i="28"/>
  <c r="G12" i="9"/>
  <c r="I12" i="9" s="1"/>
  <c r="D9" i="29"/>
  <c r="D11" i="28"/>
  <c r="D18" i="28"/>
  <c r="G32" i="9"/>
  <c r="I32" i="9" s="1"/>
  <c r="D16" i="29"/>
  <c r="D28" i="28"/>
  <c r="G57" i="9"/>
  <c r="I57" i="9" s="1"/>
  <c r="D39" i="28"/>
  <c r="D44" i="28"/>
  <c r="D7" i="29"/>
  <c r="G14" i="9"/>
  <c r="I14" i="9" s="1"/>
  <c r="D7" i="28"/>
  <c r="D8" i="28"/>
  <c r="D16" i="28"/>
  <c r="G36" i="9"/>
  <c r="I36" i="9" s="1"/>
  <c r="D21" i="28"/>
  <c r="G43" i="9"/>
  <c r="I43" i="9" s="1"/>
  <c r="D27" i="28"/>
  <c r="D31" i="28"/>
  <c r="D37" i="28"/>
  <c r="G58" i="9"/>
  <c r="I58" i="9" s="1"/>
  <c r="D40" i="28"/>
  <c r="G63" i="9"/>
  <c r="D45" i="28"/>
  <c r="G70" i="9"/>
  <c r="I70" i="9" s="1"/>
  <c r="D52" i="28"/>
  <c r="D5" i="28"/>
  <c r="G13" i="9"/>
  <c r="I13" i="9" s="1"/>
  <c r="D10" i="29"/>
  <c r="G15" i="9"/>
  <c r="D11" i="29"/>
  <c r="G18" i="9"/>
  <c r="I18" i="9" s="1"/>
  <c r="D14" i="29"/>
  <c r="G24" i="9"/>
  <c r="I24" i="9" s="1"/>
  <c r="D12" i="28"/>
  <c r="D14" i="28"/>
  <c r="G30" i="9"/>
  <c r="I30" i="9" s="1"/>
  <c r="D17" i="28"/>
  <c r="D23" i="28"/>
  <c r="G40" i="9"/>
  <c r="I40" i="9" s="1"/>
  <c r="D17" i="29"/>
  <c r="G45" i="9"/>
  <c r="I45" i="9" s="1"/>
  <c r="D29" i="28"/>
  <c r="D20" i="29"/>
  <c r="D35" i="28"/>
  <c r="D38" i="28"/>
  <c r="G59" i="9"/>
  <c r="D41" i="28"/>
  <c r="D46" i="28"/>
  <c r="G68" i="9"/>
  <c r="D50" i="28"/>
  <c r="G71" i="9"/>
  <c r="I71" i="9" s="1"/>
  <c r="D53" i="28"/>
  <c r="G7" i="9"/>
  <c r="I7" i="9" s="1"/>
  <c r="D5" i="29"/>
  <c r="G16" i="9"/>
  <c r="I16" i="9" s="1"/>
  <c r="D12" i="29"/>
  <c r="D19" i="28"/>
  <c r="G46" i="9"/>
  <c r="D30" i="28"/>
  <c r="G62" i="9"/>
  <c r="D43" i="28"/>
  <c r="G4" i="9"/>
  <c r="I4" i="9" s="1"/>
  <c r="D4" i="29"/>
  <c r="G17" i="9"/>
  <c r="D13" i="29"/>
  <c r="D20" i="28"/>
  <c r="D33" i="28"/>
  <c r="G67" i="9"/>
  <c r="D49" i="28"/>
  <c r="C29" i="29"/>
  <c r="D29" i="29" s="1"/>
  <c r="G9" i="9"/>
  <c r="G34" i="9"/>
  <c r="I34" i="9" s="1"/>
  <c r="G61" i="9"/>
  <c r="I61" i="9" s="1"/>
  <c r="B76" i="24"/>
  <c r="H76" i="24"/>
  <c r="G11" i="9"/>
  <c r="I11" i="9" s="1"/>
  <c r="G21" i="9"/>
  <c r="I21" i="9" s="1"/>
  <c r="G31" i="9"/>
  <c r="I31" i="9" s="1"/>
  <c r="G23" i="9"/>
  <c r="I23" i="9" s="1"/>
  <c r="G41" i="9"/>
  <c r="I41" i="9" s="1"/>
  <c r="G44" i="9"/>
  <c r="I44" i="9" s="1"/>
  <c r="G51" i="9"/>
  <c r="G54" i="9"/>
  <c r="I54" i="9" s="1"/>
  <c r="G8" i="9"/>
  <c r="I8" i="9" s="1"/>
  <c r="G65" i="9"/>
  <c r="I65" i="9" s="1"/>
  <c r="D81" i="9"/>
  <c r="E81" i="9" s="1"/>
  <c r="E11" i="9"/>
  <c r="E48" i="9"/>
  <c r="E8" i="9"/>
  <c r="E15" i="9"/>
  <c r="G20" i="9"/>
  <c r="I20" i="9" s="1"/>
  <c r="G39" i="9"/>
  <c r="I39" i="9" s="1"/>
  <c r="G47" i="9"/>
  <c r="G52" i="9"/>
  <c r="I52" i="9" s="1"/>
  <c r="G55" i="9"/>
  <c r="I55" i="9" s="1"/>
  <c r="G6" i="9"/>
  <c r="G27" i="9"/>
  <c r="I27" i="9" s="1"/>
  <c r="G38" i="9"/>
  <c r="G49" i="9"/>
  <c r="I49" i="9" s="1"/>
  <c r="G53" i="9"/>
  <c r="I53" i="9" s="1"/>
  <c r="G56" i="9"/>
  <c r="I56" i="9" s="1"/>
  <c r="G35" i="9"/>
  <c r="I35" i="9" s="1"/>
  <c r="G48" i="9"/>
  <c r="I48" i="9" s="1"/>
  <c r="G50" i="9"/>
  <c r="G64" i="9"/>
  <c r="I64" i="9" s="1"/>
  <c r="G10" i="9"/>
  <c r="G26" i="9"/>
  <c r="I26" i="9" s="1"/>
  <c r="G37" i="9"/>
  <c r="I37" i="9" s="1"/>
  <c r="G29" i="9"/>
  <c r="I29" i="9" s="1"/>
  <c r="G33" i="9"/>
  <c r="I33" i="9" s="1"/>
  <c r="C76" i="24"/>
  <c r="E40" i="9"/>
  <c r="G76" i="24"/>
  <c r="E64" i="9"/>
  <c r="E68" i="9"/>
  <c r="E55" i="9"/>
  <c r="E65" i="9"/>
  <c r="E76" i="24"/>
  <c r="E5" i="9"/>
  <c r="E10" i="9"/>
  <c r="E6" i="9"/>
  <c r="E14" i="9"/>
  <c r="E17" i="9"/>
  <c r="E47" i="9"/>
  <c r="E35" i="9"/>
  <c r="N75" i="19"/>
  <c r="N76" i="19" s="1"/>
  <c r="I76" i="24"/>
  <c r="D76" i="24"/>
  <c r="AF80" i="8"/>
  <c r="P80" i="8"/>
  <c r="AA80" i="8"/>
  <c r="AB80" i="8"/>
  <c r="L80" i="8"/>
  <c r="AM80" i="8"/>
  <c r="W80" i="8"/>
  <c r="G80" i="8"/>
  <c r="AN80" i="8"/>
  <c r="X80" i="8"/>
  <c r="H80" i="8"/>
  <c r="AJ80" i="8"/>
  <c r="T80" i="8"/>
  <c r="D80" i="8"/>
  <c r="AI80" i="8"/>
  <c r="S80" i="8"/>
  <c r="K80" i="8"/>
  <c r="C80" i="8"/>
  <c r="Q11" i="19"/>
  <c r="Q55" i="19"/>
  <c r="Q12" i="19"/>
  <c r="Q71" i="19"/>
  <c r="Q32" i="19"/>
  <c r="Q64" i="19"/>
  <c r="Q17" i="19"/>
  <c r="Q33" i="19"/>
  <c r="Q49" i="19"/>
  <c r="Q65" i="19"/>
  <c r="Q18" i="19"/>
  <c r="Q34" i="19"/>
  <c r="Q50" i="19"/>
  <c r="Q19" i="19"/>
  <c r="Q35" i="19"/>
  <c r="Q43" i="19"/>
  <c r="Q51" i="19"/>
  <c r="Q26" i="19"/>
  <c r="Q60" i="19"/>
  <c r="Q29" i="19"/>
  <c r="Q30" i="19"/>
  <c r="Q63" i="19"/>
  <c r="Q36" i="19"/>
  <c r="Q68" i="19"/>
  <c r="Q37" i="19"/>
  <c r="Q22" i="19"/>
  <c r="Q38" i="19"/>
  <c r="Q70" i="19"/>
  <c r="Q23" i="19"/>
  <c r="Q39" i="19"/>
  <c r="Q59" i="19"/>
  <c r="Q7" i="19"/>
  <c r="E50" i="9"/>
  <c r="E31" i="9"/>
  <c r="E21" i="9"/>
  <c r="E28" i="9"/>
  <c r="E57" i="9"/>
  <c r="E42" i="9"/>
  <c r="E22" i="9"/>
  <c r="E53" i="9"/>
  <c r="E62" i="9"/>
  <c r="E36" i="9"/>
  <c r="E29" i="9"/>
  <c r="E49" i="9"/>
  <c r="E37" i="9"/>
  <c r="E56" i="9"/>
  <c r="E66" i="9"/>
  <c r="E12" i="9"/>
  <c r="E30" i="9"/>
  <c r="H38" i="9"/>
  <c r="H10" i="9"/>
  <c r="E61" i="9"/>
  <c r="I63" i="9"/>
  <c r="H17" i="9"/>
  <c r="E44" i="9"/>
  <c r="H62" i="9"/>
  <c r="E63" i="9"/>
  <c r="E7" i="9"/>
  <c r="H15" i="9"/>
  <c r="E43" i="9"/>
  <c r="E67" i="9"/>
  <c r="H46" i="9"/>
  <c r="E25" i="9"/>
  <c r="E23" i="9"/>
  <c r="E38" i="9"/>
  <c r="E54" i="9"/>
  <c r="E69" i="9"/>
  <c r="C2" i="10"/>
  <c r="H6" i="9"/>
  <c r="E71" i="9"/>
  <c r="H47" i="9"/>
  <c r="E45" i="9"/>
  <c r="H67" i="9"/>
  <c r="E33" i="9"/>
  <c r="H51" i="9"/>
  <c r="E60" i="9"/>
  <c r="H68" i="9"/>
  <c r="E39" i="9"/>
  <c r="E27" i="9"/>
  <c r="E34" i="9"/>
  <c r="E41" i="9"/>
  <c r="E46" i="9"/>
  <c r="E51" i="9"/>
  <c r="E58" i="9"/>
  <c r="E70" i="9"/>
  <c r="H9" i="9"/>
  <c r="E52" i="9"/>
  <c r="H50" i="9"/>
  <c r="E24" i="9"/>
  <c r="L76" i="19" l="1"/>
  <c r="J76" i="19"/>
  <c r="M76" i="19"/>
  <c r="K76" i="19"/>
  <c r="G4" i="38"/>
  <c r="J10" i="38"/>
  <c r="J14" i="38"/>
  <c r="J13" i="38"/>
  <c r="J12" i="38"/>
  <c r="J11" i="38"/>
  <c r="I67" i="9"/>
  <c r="I17" i="9"/>
  <c r="I15" i="9"/>
  <c r="I46" i="9"/>
  <c r="I15" i="38"/>
  <c r="I68" i="9"/>
  <c r="I62" i="9"/>
  <c r="I9" i="9"/>
  <c r="I51" i="9"/>
  <c r="I47" i="9"/>
  <c r="I50" i="9"/>
  <c r="I6" i="9"/>
  <c r="I10" i="9"/>
  <c r="I38" i="9"/>
  <c r="J15" i="38" l="1"/>
</calcChain>
</file>

<file path=xl/sharedStrings.xml><?xml version="1.0" encoding="utf-8"?>
<sst xmlns="http://schemas.openxmlformats.org/spreadsheetml/2006/main" count="32624" uniqueCount="3331">
  <si>
    <t>id</t>
  </si>
  <si>
    <t>organisation_name</t>
  </si>
  <si>
    <t>organisation_code</t>
  </si>
  <si>
    <t>indicator_total_weighted_points</t>
  </si>
  <si>
    <t>indicator_id</t>
  </si>
  <si>
    <t>indicator_name</t>
  </si>
  <si>
    <t>indicator_category_name</t>
  </si>
  <si>
    <t>indicator_subcategory_name</t>
  </si>
  <si>
    <t>indicator_category_subcategory</t>
  </si>
  <si>
    <t>indicator_order</t>
  </si>
  <si>
    <t>indicator_weight</t>
  </si>
  <si>
    <t>iati_manual</t>
  </si>
  <si>
    <t>publication_format</t>
  </si>
  <si>
    <t>publication_format_points</t>
  </si>
  <si>
    <t>total_points</t>
  </si>
  <si>
    <t>iati_data_quality_passed</t>
  </si>
  <si>
    <t>iati_data_quality_points</t>
  </si>
  <si>
    <t>iati_data_quality_frequency</t>
  </si>
  <si>
    <t>iati_data_quality_frequency_value</t>
  </si>
  <si>
    <t>iati_data_quality_frequency_multiplier</t>
  </si>
  <si>
    <t>iati_data_quality_total_points</t>
  </si>
  <si>
    <t>survey_publication_status</t>
  </si>
  <si>
    <t>survey_publication_status_value</t>
  </si>
  <si>
    <t>survey_ordinal_value</t>
  </si>
  <si>
    <t>survey_publication_format</t>
  </si>
  <si>
    <t>survey_publication_format_value</t>
  </si>
  <si>
    <t>survey_total_points</t>
  </si>
  <si>
    <t>AT-8-dates-actual</t>
  </si>
  <si>
    <t>Austria, ADA</t>
  </si>
  <si>
    <t>AT-8</t>
  </si>
  <si>
    <t>dates-actual</t>
  </si>
  <si>
    <t>Actual dates</t>
  </si>
  <si>
    <t>activity</t>
  </si>
  <si>
    <t>basic</t>
  </si>
  <si>
    <t>activity-basic</t>
  </si>
  <si>
    <t>manual</t>
  </si>
  <si>
    <t>not published</t>
  </si>
  <si>
    <t>AT-8-contact-details</t>
  </si>
  <si>
    <t>contact-details</t>
  </si>
  <si>
    <t>Contact details</t>
  </si>
  <si>
    <t>website</t>
  </si>
  <si>
    <t>always</t>
  </si>
  <si>
    <t>AT-8-current-status</t>
  </si>
  <si>
    <t>current-status</t>
  </si>
  <si>
    <t>Current Status</t>
  </si>
  <si>
    <t>AT-8-description</t>
  </si>
  <si>
    <t>description</t>
  </si>
  <si>
    <t>Description</t>
  </si>
  <si>
    <t>AT-8-implementer</t>
  </si>
  <si>
    <t>implementer</t>
  </si>
  <si>
    <t>Implementer</t>
  </si>
  <si>
    <t>AT-8-dates-planned</t>
  </si>
  <si>
    <t>dates-planned</t>
  </si>
  <si>
    <t>Planned dates</t>
  </si>
  <si>
    <t>AT-8-title</t>
  </si>
  <si>
    <t>title</t>
  </si>
  <si>
    <t>Title</t>
  </si>
  <si>
    <t>AT-8-unique-id</t>
  </si>
  <si>
    <t>unique-id</t>
  </si>
  <si>
    <t>Unique ID</t>
  </si>
  <si>
    <t>AT-8-aid-type</t>
  </si>
  <si>
    <t>aid-type</t>
  </si>
  <si>
    <t>Aid Type</t>
  </si>
  <si>
    <t>classifications</t>
  </si>
  <si>
    <t>activity-classifications</t>
  </si>
  <si>
    <t>AT-8-collaboration-type</t>
  </si>
  <si>
    <t>collaboration-type</t>
  </si>
  <si>
    <t>Collaboration Type</t>
  </si>
  <si>
    <t>AT-8-finance-type</t>
  </si>
  <si>
    <t>finance-type</t>
  </si>
  <si>
    <t>Finance Type</t>
  </si>
  <si>
    <t>AT-8-flow-type</t>
  </si>
  <si>
    <t>flow-type</t>
  </si>
  <si>
    <t>Flow Type</t>
  </si>
  <si>
    <t>AT-8-sector</t>
  </si>
  <si>
    <t>sector</t>
  </si>
  <si>
    <t>Sector</t>
  </si>
  <si>
    <t>AT-8-location</t>
  </si>
  <si>
    <t>location</t>
  </si>
  <si>
    <t>Sub-national location</t>
  </si>
  <si>
    <t>sometimes</t>
  </si>
  <si>
    <t>AT-8-tied-aid-status</t>
  </si>
  <si>
    <t>tied-aid-status</t>
  </si>
  <si>
    <t>Tied Aid Status</t>
  </si>
  <si>
    <t>AT-8-expenditure-actual</t>
  </si>
  <si>
    <t>expenditure-actual</t>
  </si>
  <si>
    <t>Disbursements and expenditure</t>
  </si>
  <si>
    <t>financial</t>
  </si>
  <si>
    <t>activity-financial</t>
  </si>
  <si>
    <t>AT-8-cost-overall</t>
  </si>
  <si>
    <t>cost-overall</t>
  </si>
  <si>
    <t>Budget</t>
  </si>
  <si>
    <t>AT-8-expenditure-planned</t>
  </si>
  <si>
    <t>expenditure-planned</t>
  </si>
  <si>
    <t>Commitments</t>
  </si>
  <si>
    <t>AT-8-budget-identifier</t>
  </si>
  <si>
    <t>budget-identifier</t>
  </si>
  <si>
    <t>Budget Identifier</t>
  </si>
  <si>
    <t>AT-8-conditions</t>
  </si>
  <si>
    <t>conditions</t>
  </si>
  <si>
    <t>Conditions</t>
  </si>
  <si>
    <t>performance</t>
  </si>
  <si>
    <t>activity-performance</t>
  </si>
  <si>
    <t>document</t>
  </si>
  <si>
    <t>AT-8-impact-appraisals</t>
  </si>
  <si>
    <t>impact-appraisals</t>
  </si>
  <si>
    <t>Impact Appraisals</t>
  </si>
  <si>
    <t>AT-8-results</t>
  </si>
  <si>
    <t>results</t>
  </si>
  <si>
    <t>Results</t>
  </si>
  <si>
    <t>pdf</t>
  </si>
  <si>
    <t>AT-8-budget</t>
  </si>
  <si>
    <t>budget</t>
  </si>
  <si>
    <t>Budget Docs</t>
  </si>
  <si>
    <t>related-documents</t>
  </si>
  <si>
    <t>activity-related-documents</t>
  </si>
  <si>
    <t>AT-8-contracts</t>
  </si>
  <si>
    <t>contracts</t>
  </si>
  <si>
    <t>Contracts</t>
  </si>
  <si>
    <t>AT-8-evaluations</t>
  </si>
  <si>
    <t>evaluations</t>
  </si>
  <si>
    <t>Evaluations</t>
  </si>
  <si>
    <t>AT-8-mou</t>
  </si>
  <si>
    <t>mou</t>
  </si>
  <si>
    <t>MoU</t>
  </si>
  <si>
    <t>AT-8-objectives</t>
  </si>
  <si>
    <t>objectives</t>
  </si>
  <si>
    <t>Objectives</t>
  </si>
  <si>
    <t>AT-8-tenders</t>
  </si>
  <si>
    <t>tenders</t>
  </si>
  <si>
    <t>Tenders</t>
  </si>
  <si>
    <t>AT-8-audit</t>
  </si>
  <si>
    <t>audit</t>
  </si>
  <si>
    <t>Audit</t>
  </si>
  <si>
    <t>organisation</t>
  </si>
  <si>
    <t>organisation-financial</t>
  </si>
  <si>
    <t>AT-8-total-budget</t>
  </si>
  <si>
    <t>total-budget</t>
  </si>
  <si>
    <t>Total budget</t>
  </si>
  <si>
    <t>AT-8-disaggregated-budgets</t>
  </si>
  <si>
    <t>disaggregated-budgets</t>
  </si>
  <si>
    <t>Disaggregated budgets</t>
  </si>
  <si>
    <t>machine-readable</t>
  </si>
  <si>
    <t>AT-8-strategy</t>
  </si>
  <si>
    <t>strategy</t>
  </si>
  <si>
    <t>Organisation strategy</t>
  </si>
  <si>
    <t>planning</t>
  </si>
  <si>
    <t>organisation-planning</t>
  </si>
  <si>
    <t>AT-8-annual-report</t>
  </si>
  <si>
    <t>annual-report</t>
  </si>
  <si>
    <t>Annual report</t>
  </si>
  <si>
    <t>AT-8-allocation</t>
  </si>
  <si>
    <t>allocation</t>
  </si>
  <si>
    <t>Allocation policy</t>
  </si>
  <si>
    <t>AT-8-procurement-policy</t>
  </si>
  <si>
    <t>procurement-policy</t>
  </si>
  <si>
    <t>Procurement policy</t>
  </si>
  <si>
    <t>AT-8-country-strategy</t>
  </si>
  <si>
    <t>country-strategy</t>
  </si>
  <si>
    <t>Country strategy</t>
  </si>
  <si>
    <t>AT-8-foia</t>
  </si>
  <si>
    <t>foia</t>
  </si>
  <si>
    <t>FOIA</t>
  </si>
  <si>
    <t>commitment</t>
  </si>
  <si>
    <t>commitment-</t>
  </si>
  <si>
    <t>not-applicable</t>
  </si>
  <si>
    <t>AT-8-accessibility</t>
  </si>
  <si>
    <t>accessibility</t>
  </si>
  <si>
    <t>Accessibility</t>
  </si>
  <si>
    <t>AT-8-implementation-schedules</t>
  </si>
  <si>
    <t>implementation-schedules</t>
  </si>
  <si>
    <t>Implementation schedules</t>
  </si>
  <si>
    <t>HR-1-dates-actual</t>
  </si>
  <si>
    <t>Croatia, MFA</t>
  </si>
  <si>
    <t>HR-1</t>
  </si>
  <si>
    <t>HR-1-contact-details</t>
  </si>
  <si>
    <t>HR-1-current-status</t>
  </si>
  <si>
    <t>HR-1-description</t>
  </si>
  <si>
    <t>HR-1-implementer</t>
  </si>
  <si>
    <t>HR-1-dates-planned</t>
  </si>
  <si>
    <t>HR-1-title</t>
  </si>
  <si>
    <t>HR-1-unique-id</t>
  </si>
  <si>
    <t>HR-1-aid-type</t>
  </si>
  <si>
    <t>HR-1-collaboration-type</t>
  </si>
  <si>
    <t>HR-1-finance-type</t>
  </si>
  <si>
    <t>HR-1-flow-type</t>
  </si>
  <si>
    <t>HR-1-sector</t>
  </si>
  <si>
    <t>HR-1-location</t>
  </si>
  <si>
    <t>HR-1-tied-aid-status</t>
  </si>
  <si>
    <t>HR-1-expenditure-actual</t>
  </si>
  <si>
    <t>HR-1-cost-overall</t>
  </si>
  <si>
    <t>HR-1-expenditure-planned</t>
  </si>
  <si>
    <t>HR-1-budget-identifier</t>
  </si>
  <si>
    <t>HR-1-conditions</t>
  </si>
  <si>
    <t>HR-1-impact-appraisals</t>
  </si>
  <si>
    <t>HR-1-results</t>
  </si>
  <si>
    <t>HR-1-budget</t>
  </si>
  <si>
    <t>HR-1-contracts</t>
  </si>
  <si>
    <t>HR-1-evaluations</t>
  </si>
  <si>
    <t>HR-1-mou</t>
  </si>
  <si>
    <t>HR-1-objectives</t>
  </si>
  <si>
    <t>HR-1-tenders</t>
  </si>
  <si>
    <t>HR-1-audit</t>
  </si>
  <si>
    <t>HR-1-total-budget</t>
  </si>
  <si>
    <t>HR-1-disaggregated-budgets</t>
  </si>
  <si>
    <t>HR-1-strategy</t>
  </si>
  <si>
    <t>HR-1-annual-report</t>
  </si>
  <si>
    <t>HR-1-allocation</t>
  </si>
  <si>
    <t>HR-1-procurement-policy</t>
  </si>
  <si>
    <t>HR-1-country-strategy</t>
  </si>
  <si>
    <t>HR-1-foia</t>
  </si>
  <si>
    <t>HR-1-accessibility</t>
  </si>
  <si>
    <t>HR-1-implementation-schedules</t>
  </si>
  <si>
    <t>CZ-1-dates-actual</t>
  </si>
  <si>
    <t>Czech Republic, CzDA</t>
  </si>
  <si>
    <t>CZ-1</t>
  </si>
  <si>
    <t>CZ-1-contact-details</t>
  </si>
  <si>
    <t>CZ-1-current-status</t>
  </si>
  <si>
    <t>CZ-1-description</t>
  </si>
  <si>
    <t>CZ-1-implementer</t>
  </si>
  <si>
    <t>CZ-1-dates-planned</t>
  </si>
  <si>
    <t>CZ-1-title</t>
  </si>
  <si>
    <t>CZ-1-unique-id</t>
  </si>
  <si>
    <t>CZ-1-aid-type</t>
  </si>
  <si>
    <t>CZ-1-collaboration-type</t>
  </si>
  <si>
    <t>CZ-1-finance-type</t>
  </si>
  <si>
    <t>CZ-1-flow-type</t>
  </si>
  <si>
    <t>CZ-1-sector</t>
  </si>
  <si>
    <t>CZ-1-location</t>
  </si>
  <si>
    <t>CZ-1-tied-aid-status</t>
  </si>
  <si>
    <t>CZ-1-expenditure-actual</t>
  </si>
  <si>
    <t>CZ-1-cost-overall</t>
  </si>
  <si>
    <t>CZ-1-expenditure-planned</t>
  </si>
  <si>
    <t>CZ-1-budget-identifier</t>
  </si>
  <si>
    <t>CZ-1-conditions</t>
  </si>
  <si>
    <t>CZ-1-impact-appraisals</t>
  </si>
  <si>
    <t>CZ-1-results</t>
  </si>
  <si>
    <t>CZ-1-budget</t>
  </si>
  <si>
    <t>CZ-1-contracts</t>
  </si>
  <si>
    <t>CZ-1-evaluations</t>
  </si>
  <si>
    <t>CZ-1-mou</t>
  </si>
  <si>
    <t>CZ-1-objectives</t>
  </si>
  <si>
    <t>CZ-1-tenders</t>
  </si>
  <si>
    <t>CZ-1-audit</t>
  </si>
  <si>
    <t>CZ-1-total-budget</t>
  </si>
  <si>
    <t>CZ-1-disaggregated-budgets</t>
  </si>
  <si>
    <t>CZ-1-strategy</t>
  </si>
  <si>
    <t>CZ-1-annual-report</t>
  </si>
  <si>
    <t>CZ-1-allocation</t>
  </si>
  <si>
    <t>CZ-1-procurement-policy</t>
  </si>
  <si>
    <t>CZ-1-country-strategy</t>
  </si>
  <si>
    <t>CZ-1-foia</t>
  </si>
  <si>
    <t>CZ-1-accessibility</t>
  </si>
  <si>
    <t>CZ-1-implementation-schedules</t>
  </si>
  <si>
    <t>46015-dates-actual</t>
  </si>
  <si>
    <t>EBRD</t>
  </si>
  <si>
    <t>46015-contact-details</t>
  </si>
  <si>
    <t>46015-current-status</t>
  </si>
  <si>
    <t>46015-description</t>
  </si>
  <si>
    <t>46015-implementer</t>
  </si>
  <si>
    <t>46015-dates-planned</t>
  </si>
  <si>
    <t>46015-title</t>
  </si>
  <si>
    <t>46015-unique-id</t>
  </si>
  <si>
    <t>46015-aid-type</t>
  </si>
  <si>
    <t>46015-collaboration-type</t>
  </si>
  <si>
    <t>46015-finance-type</t>
  </si>
  <si>
    <t>46015-flow-type</t>
  </si>
  <si>
    <t>46015-sector</t>
  </si>
  <si>
    <t>46015-location</t>
  </si>
  <si>
    <t>46015-tied-aid-status</t>
  </si>
  <si>
    <t>46015-expenditure-actual</t>
  </si>
  <si>
    <t>46015-cost-overall</t>
  </si>
  <si>
    <t>46015-expenditure-planned</t>
  </si>
  <si>
    <t>46015-budget-identifier</t>
  </si>
  <si>
    <t>46015-conditions</t>
  </si>
  <si>
    <t>46015-impact-appraisals</t>
  </si>
  <si>
    <t>46015-results</t>
  </si>
  <si>
    <t>46015-budget</t>
  </si>
  <si>
    <t>46015-contracts</t>
  </si>
  <si>
    <t>46015-evaluations</t>
  </si>
  <si>
    <t>46015-mou</t>
  </si>
  <si>
    <t>46015-objectives</t>
  </si>
  <si>
    <t>46015-tenders</t>
  </si>
  <si>
    <t>46015-audit</t>
  </si>
  <si>
    <t>46015-total-budget</t>
  </si>
  <si>
    <t>46015-disaggregated-budgets</t>
  </si>
  <si>
    <t>46015-strategy</t>
  </si>
  <si>
    <t>46015-annual-report</t>
  </si>
  <si>
    <t>46015-allocation</t>
  </si>
  <si>
    <t>46015-procurement-policy</t>
  </si>
  <si>
    <t>46015-country-strategy</t>
  </si>
  <si>
    <t>46015-foia</t>
  </si>
  <si>
    <t>46015-accessibility</t>
  </si>
  <si>
    <t>46015-implementation-schedules</t>
  </si>
  <si>
    <t>42004-dates-actual</t>
  </si>
  <si>
    <t>EIB</t>
  </si>
  <si>
    <t>42004-contact-details</t>
  </si>
  <si>
    <t>42004-current-status</t>
  </si>
  <si>
    <t>42004-description</t>
  </si>
  <si>
    <t>42004-implementer</t>
  </si>
  <si>
    <t>42004-dates-planned</t>
  </si>
  <si>
    <t>42004-title</t>
  </si>
  <si>
    <t>42004-unique-id</t>
  </si>
  <si>
    <t>42004-aid-type</t>
  </si>
  <si>
    <t>42004-collaboration-type</t>
  </si>
  <si>
    <t>42004-finance-type</t>
  </si>
  <si>
    <t>42004-flow-type</t>
  </si>
  <si>
    <t>42004-sector</t>
  </si>
  <si>
    <t>42004-location</t>
  </si>
  <si>
    <t>42004-tied-aid-status</t>
  </si>
  <si>
    <t>42004-expenditure-actual</t>
  </si>
  <si>
    <t>42004-cost-overall</t>
  </si>
  <si>
    <t>42004-expenditure-planned</t>
  </si>
  <si>
    <t>42004-budget-identifier</t>
  </si>
  <si>
    <t>42004-conditions</t>
  </si>
  <si>
    <t>42004-impact-appraisals</t>
  </si>
  <si>
    <t>42004-results</t>
  </si>
  <si>
    <t>42004-budget</t>
  </si>
  <si>
    <t>42004-contracts</t>
  </si>
  <si>
    <t>42004-evaluations</t>
  </si>
  <si>
    <t>42004-mou</t>
  </si>
  <si>
    <t>42004-objectives</t>
  </si>
  <si>
    <t>42004-tenders</t>
  </si>
  <si>
    <t>42004-audit</t>
  </si>
  <si>
    <t>42004-total-budget</t>
  </si>
  <si>
    <t>42004-disaggregated-budgets</t>
  </si>
  <si>
    <t>42004-strategy</t>
  </si>
  <si>
    <t>42004-annual-report</t>
  </si>
  <si>
    <t>42004-allocation</t>
  </si>
  <si>
    <t>42004-procurement-policy</t>
  </si>
  <si>
    <t>42004-country-strategy</t>
  </si>
  <si>
    <t>42004-foia</t>
  </si>
  <si>
    <t>42004-accessibility</t>
  </si>
  <si>
    <t>42004-implementation-schedules</t>
  </si>
  <si>
    <t>EE-1-dates-actual</t>
  </si>
  <si>
    <t>Estonia, MFA</t>
  </si>
  <si>
    <t>EE-1</t>
  </si>
  <si>
    <t>EE-1-contact-details</t>
  </si>
  <si>
    <t>EE-1-current-status</t>
  </si>
  <si>
    <t>EE-1-description</t>
  </si>
  <si>
    <t>EE-1-implementer</t>
  </si>
  <si>
    <t>EE-1-dates-planned</t>
  </si>
  <si>
    <t>EE-1-title</t>
  </si>
  <si>
    <t>EE-1-unique-id</t>
  </si>
  <si>
    <t>EE-1-aid-type</t>
  </si>
  <si>
    <t>EE-1-collaboration-type</t>
  </si>
  <si>
    <t>EE-1-finance-type</t>
  </si>
  <si>
    <t>EE-1-flow-type</t>
  </si>
  <si>
    <t>EE-1-sector</t>
  </si>
  <si>
    <t>EE-1-location</t>
  </si>
  <si>
    <t>EE-1-tied-aid-status</t>
  </si>
  <si>
    <t>EE-1-expenditure-actual</t>
  </si>
  <si>
    <t>EE-1-cost-overall</t>
  </si>
  <si>
    <t>EE-1-expenditure-planned</t>
  </si>
  <si>
    <t>EE-1-budget-identifier</t>
  </si>
  <si>
    <t>EE-1-conditions</t>
  </si>
  <si>
    <t>EE-1-impact-appraisals</t>
  </si>
  <si>
    <t>EE-1-results</t>
  </si>
  <si>
    <t>EE-1-budget</t>
  </si>
  <si>
    <t>EE-1-contracts</t>
  </si>
  <si>
    <t>EE-1-evaluations</t>
  </si>
  <si>
    <t>EE-1-mou</t>
  </si>
  <si>
    <t>EE-1-objectives</t>
  </si>
  <si>
    <t>EE-1-tenders</t>
  </si>
  <si>
    <t>EE-1-audit</t>
  </si>
  <si>
    <t>EE-1-total-budget</t>
  </si>
  <si>
    <t>EE-1-disaggregated-budgets</t>
  </si>
  <si>
    <t>EE-1-strategy</t>
  </si>
  <si>
    <t>EE-1-annual-report</t>
  </si>
  <si>
    <t>EE-1-allocation</t>
  </si>
  <si>
    <t>EE-1-procurement-policy</t>
  </si>
  <si>
    <t>EE-1-country-strategy</t>
  </si>
  <si>
    <t>EE-1-foia</t>
  </si>
  <si>
    <t>EE-1-accessibility</t>
  </si>
  <si>
    <t>EE-1-implementation-schedules</t>
  </si>
  <si>
    <t>FR-10-dates-actual</t>
  </si>
  <si>
    <t>France, MINEFI</t>
  </si>
  <si>
    <t>FR-10</t>
  </si>
  <si>
    <t>FR-10-contact-details</t>
  </si>
  <si>
    <t>FR-10-current-status</t>
  </si>
  <si>
    <t>FR-10-description</t>
  </si>
  <si>
    <t>FR-10-implementer</t>
  </si>
  <si>
    <t>FR-10-dates-planned</t>
  </si>
  <si>
    <t>FR-10-title</t>
  </si>
  <si>
    <t>FR-10-unique-id</t>
  </si>
  <si>
    <t>FR-10-aid-type</t>
  </si>
  <si>
    <t>FR-10-collaboration-type</t>
  </si>
  <si>
    <t>FR-10-finance-type</t>
  </si>
  <si>
    <t>FR-10-flow-type</t>
  </si>
  <si>
    <t>FR-10-sector</t>
  </si>
  <si>
    <t>FR-10-location</t>
  </si>
  <si>
    <t>FR-10-tied-aid-status</t>
  </si>
  <si>
    <t>FR-10-expenditure-actual</t>
  </si>
  <si>
    <t>FR-10-cost-overall</t>
  </si>
  <si>
    <t>FR-10-expenditure-planned</t>
  </si>
  <si>
    <t>FR-10-budget-identifier</t>
  </si>
  <si>
    <t>FR-10-conditions</t>
  </si>
  <si>
    <t>FR-10-impact-appraisals</t>
  </si>
  <si>
    <t>FR-10-results</t>
  </si>
  <si>
    <t>FR-10-budget</t>
  </si>
  <si>
    <t>FR-10-contracts</t>
  </si>
  <si>
    <t>FR-10-evaluations</t>
  </si>
  <si>
    <t>FR-10-mou</t>
  </si>
  <si>
    <t>FR-10-objectives</t>
  </si>
  <si>
    <t>FR-10-tenders</t>
  </si>
  <si>
    <t>FR-10-audit</t>
  </si>
  <si>
    <t>FR-10-total-budget</t>
  </si>
  <si>
    <t>FR-10-disaggregated-budgets</t>
  </si>
  <si>
    <t>FR-10-strategy</t>
  </si>
  <si>
    <t>FR-10-annual-report</t>
  </si>
  <si>
    <t>FR-10-allocation</t>
  </si>
  <si>
    <t>FR-10-procurement-policy</t>
  </si>
  <si>
    <t>FR-10-country-strategy</t>
  </si>
  <si>
    <t>FR-10-foia</t>
  </si>
  <si>
    <t>FR-10-accessibility</t>
  </si>
  <si>
    <t>FR-10-implementation-schedules</t>
  </si>
  <si>
    <t>GR-3-dates-actual</t>
  </si>
  <si>
    <t>Greece, HellenicAid</t>
  </si>
  <si>
    <t>GR-3</t>
  </si>
  <si>
    <t>GR-3-contact-details</t>
  </si>
  <si>
    <t>GR-3-current-status</t>
  </si>
  <si>
    <t>GR-3-description</t>
  </si>
  <si>
    <t>GR-3-implementer</t>
  </si>
  <si>
    <t>GR-3-dates-planned</t>
  </si>
  <si>
    <t>GR-3-title</t>
  </si>
  <si>
    <t>GR-3-unique-id</t>
  </si>
  <si>
    <t>GR-3-aid-type</t>
  </si>
  <si>
    <t>GR-3-collaboration-type</t>
  </si>
  <si>
    <t>GR-3-finance-type</t>
  </si>
  <si>
    <t>GR-3-flow-type</t>
  </si>
  <si>
    <t>GR-3-sector</t>
  </si>
  <si>
    <t>GR-3-location</t>
  </si>
  <si>
    <t>GR-3-tied-aid-status</t>
  </si>
  <si>
    <t>GR-3-expenditure-actual</t>
  </si>
  <si>
    <t>GR-3-cost-overall</t>
  </si>
  <si>
    <t>GR-3-expenditure-planned</t>
  </si>
  <si>
    <t>GR-3-budget-identifier</t>
  </si>
  <si>
    <t>GR-3-conditions</t>
  </si>
  <si>
    <t>GR-3-impact-appraisals</t>
  </si>
  <si>
    <t>GR-3-results</t>
  </si>
  <si>
    <t>GR-3-budget</t>
  </si>
  <si>
    <t>GR-3-contracts</t>
  </si>
  <si>
    <t>GR-3-evaluations</t>
  </si>
  <si>
    <t>GR-3-mou</t>
  </si>
  <si>
    <t>GR-3-objectives</t>
  </si>
  <si>
    <t>GR-3-tenders</t>
  </si>
  <si>
    <t>GR-3-audit</t>
  </si>
  <si>
    <t>GR-3-total-budget</t>
  </si>
  <si>
    <t>GR-3-disaggregated-budgets</t>
  </si>
  <si>
    <t>GR-3-strategy</t>
  </si>
  <si>
    <t>GR-3-annual-report</t>
  </si>
  <si>
    <t>GR-3-allocation</t>
  </si>
  <si>
    <t>GR-3-procurement-policy</t>
  </si>
  <si>
    <t>GR-3-country-strategy</t>
  </si>
  <si>
    <t>GR-3-foia</t>
  </si>
  <si>
    <t>GR-3-accessibility</t>
  </si>
  <si>
    <t>GR-3-implementation-schedules</t>
  </si>
  <si>
    <t>HU-1-dates-actual</t>
  </si>
  <si>
    <t>Hungary, MFA</t>
  </si>
  <si>
    <t>HU-1</t>
  </si>
  <si>
    <t>HU-1-contact-details</t>
  </si>
  <si>
    <t>HU-1-current-status</t>
  </si>
  <si>
    <t>HU-1-description</t>
  </si>
  <si>
    <t>HU-1-implementer</t>
  </si>
  <si>
    <t>HU-1-dates-planned</t>
  </si>
  <si>
    <t>HU-1-title</t>
  </si>
  <si>
    <t>HU-1-unique-id</t>
  </si>
  <si>
    <t>HU-1-aid-type</t>
  </si>
  <si>
    <t>HU-1-collaboration-type</t>
  </si>
  <si>
    <t>HU-1-finance-type</t>
  </si>
  <si>
    <t>HU-1-flow-type</t>
  </si>
  <si>
    <t>HU-1-sector</t>
  </si>
  <si>
    <t>HU-1-location</t>
  </si>
  <si>
    <t>HU-1-tied-aid-status</t>
  </si>
  <si>
    <t>HU-1-expenditure-actual</t>
  </si>
  <si>
    <t>HU-1-cost-overall</t>
  </si>
  <si>
    <t>HU-1-expenditure-planned</t>
  </si>
  <si>
    <t>HU-1-budget-identifier</t>
  </si>
  <si>
    <t>HU-1-conditions</t>
  </si>
  <si>
    <t>HU-1-impact-appraisals</t>
  </si>
  <si>
    <t>HU-1-results</t>
  </si>
  <si>
    <t>HU-1-budget</t>
  </si>
  <si>
    <t>HU-1-contracts</t>
  </si>
  <si>
    <t>HU-1-evaluations</t>
  </si>
  <si>
    <t>HU-1-mou</t>
  </si>
  <si>
    <t>HU-1-objectives</t>
  </si>
  <si>
    <t>HU-1-tenders</t>
  </si>
  <si>
    <t>HU-1-audit</t>
  </si>
  <si>
    <t>HU-1-total-budget</t>
  </si>
  <si>
    <t>HU-1-disaggregated-budgets</t>
  </si>
  <si>
    <t>HU-1-strategy</t>
  </si>
  <si>
    <t>HU-1-annual-report</t>
  </si>
  <si>
    <t>HU-1-allocation</t>
  </si>
  <si>
    <t>HU-1-procurement-policy</t>
  </si>
  <si>
    <t>HU-1-country-strategy</t>
  </si>
  <si>
    <t>HU-1-foia</t>
  </si>
  <si>
    <t>HU-1-accessibility</t>
  </si>
  <si>
    <t>HU-1-implementation-schedules</t>
  </si>
  <si>
    <t>43000-dates-actual</t>
  </si>
  <si>
    <t>IMF</t>
  </si>
  <si>
    <t>43000-contact-details</t>
  </si>
  <si>
    <t>43000-current-status</t>
  </si>
  <si>
    <t>43000-description</t>
  </si>
  <si>
    <t>43000-implementer</t>
  </si>
  <si>
    <t>43000-dates-planned</t>
  </si>
  <si>
    <t>43000-title</t>
  </si>
  <si>
    <t>43000-unique-id</t>
  </si>
  <si>
    <t>43000-aid-type</t>
  </si>
  <si>
    <t>43000-collaboration-type</t>
  </si>
  <si>
    <t>43000-finance-type</t>
  </si>
  <si>
    <t>43000-flow-type</t>
  </si>
  <si>
    <t>43000-sector</t>
  </si>
  <si>
    <t>43000-location</t>
  </si>
  <si>
    <t>43000-tied-aid-status</t>
  </si>
  <si>
    <t>43000-expenditure-actual</t>
  </si>
  <si>
    <t>43000-cost-overall</t>
  </si>
  <si>
    <t>43000-expenditure-planned</t>
  </si>
  <si>
    <t>43000-budget-identifier</t>
  </si>
  <si>
    <t>43000-conditions</t>
  </si>
  <si>
    <t>43000-impact-appraisals</t>
  </si>
  <si>
    <t>43000-results</t>
  </si>
  <si>
    <t>43000-budget</t>
  </si>
  <si>
    <t>43000-contracts</t>
  </si>
  <si>
    <t>43000-evaluations</t>
  </si>
  <si>
    <t>43000-mou</t>
  </si>
  <si>
    <t>43000-objectives</t>
  </si>
  <si>
    <t>43000-tenders</t>
  </si>
  <si>
    <t>43000-audit</t>
  </si>
  <si>
    <t>43000-total-budget</t>
  </si>
  <si>
    <t>43000-disaggregated-budgets</t>
  </si>
  <si>
    <t>43000-strategy</t>
  </si>
  <si>
    <t>43000-annual-report</t>
  </si>
  <si>
    <t>43000-allocation</t>
  </si>
  <si>
    <t>43000-procurement-policy</t>
  </si>
  <si>
    <t>43000-country-strategy</t>
  </si>
  <si>
    <t>43000-foia</t>
  </si>
  <si>
    <t>43000-accessibility</t>
  </si>
  <si>
    <t>43000-implementation-schedules</t>
  </si>
  <si>
    <t>JP-8-audit</t>
  </si>
  <si>
    <t>Japan, JICA</t>
  </si>
  <si>
    <t>JP-8</t>
  </si>
  <si>
    <t>iati</t>
  </si>
  <si>
    <t>JP-8-total-budget</t>
  </si>
  <si>
    <t>JP-8-strategy</t>
  </si>
  <si>
    <t>JP-8-annual-report</t>
  </si>
  <si>
    <t>JP-8-allocation</t>
  </si>
  <si>
    <t>JP-8-current-status</t>
  </si>
  <si>
    <t>JP-8-description</t>
  </si>
  <si>
    <t>JP-8-dates-planned</t>
  </si>
  <si>
    <t>JP-8-title</t>
  </si>
  <si>
    <t>JP-8-unique-id</t>
  </si>
  <si>
    <t>JP-8-sector</t>
  </si>
  <si>
    <t>JP-8-procurement-policy</t>
  </si>
  <si>
    <t>JP-8-dates-actual</t>
  </si>
  <si>
    <t>JP-8-contact-details</t>
  </si>
  <si>
    <t>JP-8-implementer</t>
  </si>
  <si>
    <t>JP-8-aid-type</t>
  </si>
  <si>
    <t>JP-8-collaboration-type</t>
  </si>
  <si>
    <t>JP-8-finance-type</t>
  </si>
  <si>
    <t>JP-8-flow-type</t>
  </si>
  <si>
    <t>JP-8-location</t>
  </si>
  <si>
    <t>JP-8-tied-aid-status</t>
  </si>
  <si>
    <t>JP-8-expenditure-actual</t>
  </si>
  <si>
    <t>JP-8-cost-overall</t>
  </si>
  <si>
    <t>JP-8-expenditure-planned</t>
  </si>
  <si>
    <t>JP-8-budget-identifier</t>
  </si>
  <si>
    <t>JP-8-conditions</t>
  </si>
  <si>
    <t>JP-8-impact-appraisals</t>
  </si>
  <si>
    <t>JP-8-results</t>
  </si>
  <si>
    <t>JP-8-budget</t>
  </si>
  <si>
    <t>JP-8-contracts</t>
  </si>
  <si>
    <t>JP-8-evaluations</t>
  </si>
  <si>
    <t>JP-8-mou</t>
  </si>
  <si>
    <t>JP-8-objectives</t>
  </si>
  <si>
    <t>JP-8-tenders</t>
  </si>
  <si>
    <t>JP-8-disaggregated-budgets</t>
  </si>
  <si>
    <t>JP-8-country-strategy</t>
  </si>
  <si>
    <t>JP-8-foia</t>
  </si>
  <si>
    <t>JP-8-accessibility</t>
  </si>
  <si>
    <t>JP-8-implementation-schedules</t>
  </si>
  <si>
    <t>JP-2-dates-actual</t>
  </si>
  <si>
    <t>Japan, MOFA</t>
  </si>
  <si>
    <t>JP-2</t>
  </si>
  <si>
    <t>JP-2-contact-details</t>
  </si>
  <si>
    <t>JP-2-current-status</t>
  </si>
  <si>
    <t>JP-2-description</t>
  </si>
  <si>
    <t>JP-2-implementer</t>
  </si>
  <si>
    <t>JP-2-dates-planned</t>
  </si>
  <si>
    <t>JP-2-title</t>
  </si>
  <si>
    <t>JP-2-unique-id</t>
  </si>
  <si>
    <t>JP-2-aid-type</t>
  </si>
  <si>
    <t>JP-2-collaboration-type</t>
  </si>
  <si>
    <t>JP-2-finance-type</t>
  </si>
  <si>
    <t>JP-2-flow-type</t>
  </si>
  <si>
    <t>JP-2-sector</t>
  </si>
  <si>
    <t>JP-2-location</t>
  </si>
  <si>
    <t>JP-2-tied-aid-status</t>
  </si>
  <si>
    <t>JP-2-expenditure-actual</t>
  </si>
  <si>
    <t>JP-2-cost-overall</t>
  </si>
  <si>
    <t>JP-2-expenditure-planned</t>
  </si>
  <si>
    <t>JP-2-budget-identifier</t>
  </si>
  <si>
    <t>JP-2-conditions</t>
  </si>
  <si>
    <t>JP-2-impact-appraisals</t>
  </si>
  <si>
    <t>JP-2-results</t>
  </si>
  <si>
    <t>JP-2-budget</t>
  </si>
  <si>
    <t>JP-2-contracts</t>
  </si>
  <si>
    <t>JP-2-evaluations</t>
  </si>
  <si>
    <t>JP-2-mou</t>
  </si>
  <si>
    <t>JP-2-objectives</t>
  </si>
  <si>
    <t>JP-2-tenders</t>
  </si>
  <si>
    <t>JP-2-audit</t>
  </si>
  <si>
    <t>JP-2-total-budget</t>
  </si>
  <si>
    <t>JP-2-disaggregated-budgets</t>
  </si>
  <si>
    <t>JP-2-strategy</t>
  </si>
  <si>
    <t>JP-2-annual-report</t>
  </si>
  <si>
    <t>JP-2-allocation</t>
  </si>
  <si>
    <t>JP-2-procurement-policy</t>
  </si>
  <si>
    <t>JP-2-country-strategy</t>
  </si>
  <si>
    <t>JP-2-foia</t>
  </si>
  <si>
    <t>JP-2-accessibility</t>
  </si>
  <si>
    <t>JP-2-implementation-schedules</t>
  </si>
  <si>
    <t>KR-4-dates-actual</t>
  </si>
  <si>
    <t>Korea, KOICA</t>
  </si>
  <si>
    <t>KR-4</t>
  </si>
  <si>
    <t>KR-4-contact-details</t>
  </si>
  <si>
    <t>KR-4-current-status</t>
  </si>
  <si>
    <t>KR-4-description</t>
  </si>
  <si>
    <t>KR-4-implementer</t>
  </si>
  <si>
    <t>KR-4-dates-planned</t>
  </si>
  <si>
    <t>KR-4-title</t>
  </si>
  <si>
    <t>KR-4-unique-id</t>
  </si>
  <si>
    <t>KR-4-aid-type</t>
  </si>
  <si>
    <t>KR-4-collaboration-type</t>
  </si>
  <si>
    <t>KR-4-finance-type</t>
  </si>
  <si>
    <t>KR-4-flow-type</t>
  </si>
  <si>
    <t>KR-4-sector</t>
  </si>
  <si>
    <t>KR-4-location</t>
  </si>
  <si>
    <t>KR-4-tied-aid-status</t>
  </si>
  <si>
    <t>KR-4-expenditure-actual</t>
  </si>
  <si>
    <t>KR-4-cost-overall</t>
  </si>
  <si>
    <t>KR-4-expenditure-planned</t>
  </si>
  <si>
    <t>KR-4-budget-identifier</t>
  </si>
  <si>
    <t>KR-4-conditions</t>
  </si>
  <si>
    <t>KR-4-impact-appraisals</t>
  </si>
  <si>
    <t>KR-4-results</t>
  </si>
  <si>
    <t>KR-4-budget</t>
  </si>
  <si>
    <t>KR-4-contracts</t>
  </si>
  <si>
    <t>KR-4-evaluations</t>
  </si>
  <si>
    <t>KR-4-mou</t>
  </si>
  <si>
    <t>KR-4-objectives</t>
  </si>
  <si>
    <t>KR-4-tenders</t>
  </si>
  <si>
    <t>KR-4-audit</t>
  </si>
  <si>
    <t>KR-4-total-budget</t>
  </si>
  <si>
    <t>KR-4-disaggregated-budgets</t>
  </si>
  <si>
    <t>KR-4-strategy</t>
  </si>
  <si>
    <t>KR-4-annual-report</t>
  </si>
  <si>
    <t>KR-4-allocation</t>
  </si>
  <si>
    <t>KR-4-procurement-policy</t>
  </si>
  <si>
    <t>KR-4-country-strategy</t>
  </si>
  <si>
    <t>KR-4-foia</t>
  </si>
  <si>
    <t>KR-4-accessibility</t>
  </si>
  <si>
    <t>KR-4-implementation-schedules</t>
  </si>
  <si>
    <t>LV-1-dates-actual</t>
  </si>
  <si>
    <t>Latvia, MFA</t>
  </si>
  <si>
    <t>LV-1</t>
  </si>
  <si>
    <t>LV-1-contact-details</t>
  </si>
  <si>
    <t>LV-1-current-status</t>
  </si>
  <si>
    <t>LV-1-description</t>
  </si>
  <si>
    <t>LV-1-implementer</t>
  </si>
  <si>
    <t>LV-1-dates-planned</t>
  </si>
  <si>
    <t>LV-1-title</t>
  </si>
  <si>
    <t>LV-1-unique-id</t>
  </si>
  <si>
    <t>LV-1-aid-type</t>
  </si>
  <si>
    <t>LV-1-collaboration-type</t>
  </si>
  <si>
    <t>LV-1-finance-type</t>
  </si>
  <si>
    <t>LV-1-flow-type</t>
  </si>
  <si>
    <t>LV-1-sector</t>
  </si>
  <si>
    <t>LV-1-location</t>
  </si>
  <si>
    <t>LV-1-tied-aid-status</t>
  </si>
  <si>
    <t>LV-1-expenditure-actual</t>
  </si>
  <si>
    <t>LV-1-cost-overall</t>
  </si>
  <si>
    <t>LV-1-expenditure-planned</t>
  </si>
  <si>
    <t>LV-1-budget-identifier</t>
  </si>
  <si>
    <t>LV-1-conditions</t>
  </si>
  <si>
    <t>LV-1-impact-appraisals</t>
  </si>
  <si>
    <t>LV-1-results</t>
  </si>
  <si>
    <t>LV-1-budget</t>
  </si>
  <si>
    <t>LV-1-contracts</t>
  </si>
  <si>
    <t>LV-1-evaluations</t>
  </si>
  <si>
    <t>LV-1-mou</t>
  </si>
  <si>
    <t>LV-1-objectives</t>
  </si>
  <si>
    <t>LV-1-tenders</t>
  </si>
  <si>
    <t>LV-1-audit</t>
  </si>
  <si>
    <t>LV-1-total-budget</t>
  </si>
  <si>
    <t>LV-1-disaggregated-budgets</t>
  </si>
  <si>
    <t>LV-1-strategy</t>
  </si>
  <si>
    <t>LV-1-annual-report</t>
  </si>
  <si>
    <t>LV-1-allocation</t>
  </si>
  <si>
    <t>LV-1-procurement-policy</t>
  </si>
  <si>
    <t>LV-1-country-strategy</t>
  </si>
  <si>
    <t>LV-1-foia</t>
  </si>
  <si>
    <t>LV-1-accessibility</t>
  </si>
  <si>
    <t>LV-1-implementation-schedules</t>
  </si>
  <si>
    <t>PT-2-dates-actual</t>
  </si>
  <si>
    <t>Portugal, CICL</t>
  </si>
  <si>
    <t>PT-2</t>
  </si>
  <si>
    <t>PT-2-contact-details</t>
  </si>
  <si>
    <t>PT-2-current-status</t>
  </si>
  <si>
    <t>PT-2-description</t>
  </si>
  <si>
    <t>PT-2-implementer</t>
  </si>
  <si>
    <t>PT-2-dates-planned</t>
  </si>
  <si>
    <t>PT-2-title</t>
  </si>
  <si>
    <t>PT-2-unique-id</t>
  </si>
  <si>
    <t>PT-2-aid-type</t>
  </si>
  <si>
    <t>PT-2-collaboration-type</t>
  </si>
  <si>
    <t>PT-2-finance-type</t>
  </si>
  <si>
    <t>PT-2-flow-type</t>
  </si>
  <si>
    <t>PT-2-sector</t>
  </si>
  <si>
    <t>PT-2-location</t>
  </si>
  <si>
    <t>PT-2-tied-aid-status</t>
  </si>
  <si>
    <t>PT-2-expenditure-actual</t>
  </si>
  <si>
    <t>PT-2-cost-overall</t>
  </si>
  <si>
    <t>PT-2-expenditure-planned</t>
  </si>
  <si>
    <t>PT-2-budget-identifier</t>
  </si>
  <si>
    <t>PT-2-conditions</t>
  </si>
  <si>
    <t>PT-2-impact-appraisals</t>
  </si>
  <si>
    <t>PT-2-results</t>
  </si>
  <si>
    <t>PT-2-budget</t>
  </si>
  <si>
    <t>PT-2-contracts</t>
  </si>
  <si>
    <t>PT-2-evaluations</t>
  </si>
  <si>
    <t>PT-2-mou</t>
  </si>
  <si>
    <t>PT-2-objectives</t>
  </si>
  <si>
    <t>PT-2-tenders</t>
  </si>
  <si>
    <t>PT-2-audit</t>
  </si>
  <si>
    <t>PT-2-total-budget</t>
  </si>
  <si>
    <t>PT-2-disaggregated-budgets</t>
  </si>
  <si>
    <t>PT-2-strategy</t>
  </si>
  <si>
    <t>PT-2-annual-report</t>
  </si>
  <si>
    <t>PT-2-allocation</t>
  </si>
  <si>
    <t>PT-2-procurement-policy</t>
  </si>
  <si>
    <t>PT-2-country-strategy</t>
  </si>
  <si>
    <t>PT-2-foia</t>
  </si>
  <si>
    <t>PT-2-accessibility</t>
  </si>
  <si>
    <t>PT-2-implementation-schedules</t>
  </si>
  <si>
    <t>RO-1-dates-actual</t>
  </si>
  <si>
    <t>Romania, MFA</t>
  </si>
  <si>
    <t>RO-1</t>
  </si>
  <si>
    <t>RO-1-contact-details</t>
  </si>
  <si>
    <t>RO-1-current-status</t>
  </si>
  <si>
    <t>RO-1-description</t>
  </si>
  <si>
    <t>RO-1-implementer</t>
  </si>
  <si>
    <t>RO-1-dates-planned</t>
  </si>
  <si>
    <t>RO-1-title</t>
  </si>
  <si>
    <t>RO-1-unique-id</t>
  </si>
  <si>
    <t>RO-1-aid-type</t>
  </si>
  <si>
    <t>RO-1-collaboration-type</t>
  </si>
  <si>
    <t>RO-1-finance-type</t>
  </si>
  <si>
    <t>RO-1-flow-type</t>
  </si>
  <si>
    <t>RO-1-sector</t>
  </si>
  <si>
    <t>RO-1-location</t>
  </si>
  <si>
    <t>RO-1-tied-aid-status</t>
  </si>
  <si>
    <t>RO-1-expenditure-actual</t>
  </si>
  <si>
    <t>RO-1-cost-overall</t>
  </si>
  <si>
    <t>RO-1-expenditure-planned</t>
  </si>
  <si>
    <t>RO-1-budget-identifier</t>
  </si>
  <si>
    <t>RO-1-conditions</t>
  </si>
  <si>
    <t>RO-1-impact-appraisals</t>
  </si>
  <si>
    <t>RO-1-results</t>
  </si>
  <si>
    <t>RO-1-budget</t>
  </si>
  <si>
    <t>RO-1-contracts</t>
  </si>
  <si>
    <t>RO-1-evaluations</t>
  </si>
  <si>
    <t>RO-1-mou</t>
  </si>
  <si>
    <t>RO-1-objectives</t>
  </si>
  <si>
    <t>RO-1-tenders</t>
  </si>
  <si>
    <t>RO-1-audit</t>
  </si>
  <si>
    <t>RO-1-total-budget</t>
  </si>
  <si>
    <t>RO-1-disaggregated-budgets</t>
  </si>
  <si>
    <t>RO-1-strategy</t>
  </si>
  <si>
    <t>RO-1-annual-report</t>
  </si>
  <si>
    <t>RO-1-allocation</t>
  </si>
  <si>
    <t>RO-1-procurement-policy</t>
  </si>
  <si>
    <t>RO-1-country-strategy</t>
  </si>
  <si>
    <t>RO-1-foia</t>
  </si>
  <si>
    <t>RO-1-accessibility</t>
  </si>
  <si>
    <t>RO-1-implementation-schedules</t>
  </si>
  <si>
    <t>SK-1-dates-actual</t>
  </si>
  <si>
    <t>Slovakia, SAIDC</t>
  </si>
  <si>
    <t>SK-1</t>
  </si>
  <si>
    <t>SK-1-contact-details</t>
  </si>
  <si>
    <t>SK-1-current-status</t>
  </si>
  <si>
    <t>SK-1-description</t>
  </si>
  <si>
    <t>SK-1-implementer</t>
  </si>
  <si>
    <t>SK-1-dates-planned</t>
  </si>
  <si>
    <t>SK-1-title</t>
  </si>
  <si>
    <t>SK-1-unique-id</t>
  </si>
  <si>
    <t>SK-1-aid-type</t>
  </si>
  <si>
    <t>SK-1-collaboration-type</t>
  </si>
  <si>
    <t>SK-1-finance-type</t>
  </si>
  <si>
    <t>SK-1-flow-type</t>
  </si>
  <si>
    <t>SK-1-sector</t>
  </si>
  <si>
    <t>SK-1-location</t>
  </si>
  <si>
    <t>SK-1-tied-aid-status</t>
  </si>
  <si>
    <t>SK-1-expenditure-actual</t>
  </si>
  <si>
    <t>SK-1-cost-overall</t>
  </si>
  <si>
    <t>SK-1-expenditure-planned</t>
  </si>
  <si>
    <t>SK-1-budget-identifier</t>
  </si>
  <si>
    <t>SK-1-conditions</t>
  </si>
  <si>
    <t>SK-1-impact-appraisals</t>
  </si>
  <si>
    <t>SK-1-results</t>
  </si>
  <si>
    <t>SK-1-budget</t>
  </si>
  <si>
    <t>SK-1-contracts</t>
  </si>
  <si>
    <t>SK-1-evaluations</t>
  </si>
  <si>
    <t>SK-1-mou</t>
  </si>
  <si>
    <t>SK-1-objectives</t>
  </si>
  <si>
    <t>SK-1-tenders</t>
  </si>
  <si>
    <t>SK-1-audit</t>
  </si>
  <si>
    <t>SK-1-total-budget</t>
  </si>
  <si>
    <t>SK-1-disaggregated-budgets</t>
  </si>
  <si>
    <t>SK-1-strategy</t>
  </si>
  <si>
    <t>SK-1-annual-report</t>
  </si>
  <si>
    <t>SK-1-allocation</t>
  </si>
  <si>
    <t>SK-1-procurement-policy</t>
  </si>
  <si>
    <t>SK-1-country-strategy</t>
  </si>
  <si>
    <t>SK-1-foia</t>
  </si>
  <si>
    <t>SK-1-accessibility</t>
  </si>
  <si>
    <t>SK-1-implementation-schedules</t>
  </si>
  <si>
    <t>SI-1-dates-actual</t>
  </si>
  <si>
    <t>Slovenia, MFA</t>
  </si>
  <si>
    <t>SI-1</t>
  </si>
  <si>
    <t>SI-1-contact-details</t>
  </si>
  <si>
    <t>SI-1-current-status</t>
  </si>
  <si>
    <t>SI-1-description</t>
  </si>
  <si>
    <t>SI-1-implementer</t>
  </si>
  <si>
    <t>SI-1-dates-planned</t>
  </si>
  <si>
    <t>SI-1-title</t>
  </si>
  <si>
    <t>SI-1-unique-id</t>
  </si>
  <si>
    <t>SI-1-aid-type</t>
  </si>
  <si>
    <t>SI-1-collaboration-type</t>
  </si>
  <si>
    <t>SI-1-finance-type</t>
  </si>
  <si>
    <t>SI-1-flow-type</t>
  </si>
  <si>
    <t>SI-1-sector</t>
  </si>
  <si>
    <t>SI-1-location</t>
  </si>
  <si>
    <t>SI-1-tied-aid-status</t>
  </si>
  <si>
    <t>SI-1-expenditure-actual</t>
  </si>
  <si>
    <t>SI-1-cost-overall</t>
  </si>
  <si>
    <t>SI-1-expenditure-planned</t>
  </si>
  <si>
    <t>SI-1-budget-identifier</t>
  </si>
  <si>
    <t>SI-1-conditions</t>
  </si>
  <si>
    <t>SI-1-impact-appraisals</t>
  </si>
  <si>
    <t>SI-1-results</t>
  </si>
  <si>
    <t>SI-1-budget</t>
  </si>
  <si>
    <t>SI-1-contracts</t>
  </si>
  <si>
    <t>SI-1-evaluations</t>
  </si>
  <si>
    <t>SI-1-mou</t>
  </si>
  <si>
    <t>SI-1-objectives</t>
  </si>
  <si>
    <t>SI-1-tenders</t>
  </si>
  <si>
    <t>SI-1-audit</t>
  </si>
  <si>
    <t>SI-1-total-budget</t>
  </si>
  <si>
    <t>SI-1-disaggregated-budgets</t>
  </si>
  <si>
    <t>SI-1-strategy</t>
  </si>
  <si>
    <t>SI-1-annual-report</t>
  </si>
  <si>
    <t>SI-1-allocation</t>
  </si>
  <si>
    <t>SI-1-procurement-policy</t>
  </si>
  <si>
    <t>SI-1-country-strategy</t>
  </si>
  <si>
    <t>SI-1-foia</t>
  </si>
  <si>
    <t>SI-1-accessibility</t>
  </si>
  <si>
    <t>SI-1-implementation-schedules</t>
  </si>
  <si>
    <t>EU-1-dates-actual</t>
  </si>
  <si>
    <t>EC, DEVCO</t>
  </si>
  <si>
    <t>EU-1</t>
  </si>
  <si>
    <t>quarterly</t>
  </si>
  <si>
    <t>EU-1-contact-details</t>
  </si>
  <si>
    <t>EU-1-current-status</t>
  </si>
  <si>
    <t>EU-1-description</t>
  </si>
  <si>
    <t>EU-1-implementer</t>
  </si>
  <si>
    <t>EU-1-dates-planned</t>
  </si>
  <si>
    <t>EU-1-title</t>
  </si>
  <si>
    <t>EU-1-unique-id</t>
  </si>
  <si>
    <t>EU-1-aid-type</t>
  </si>
  <si>
    <t>EU-1-collaboration-type</t>
  </si>
  <si>
    <t>EU-1-finance-type</t>
  </si>
  <si>
    <t>EU-1-flow-type</t>
  </si>
  <si>
    <t>EU-1-sector</t>
  </si>
  <si>
    <t>EU-1-location</t>
  </si>
  <si>
    <t>EU-1-tied-aid-status</t>
  </si>
  <si>
    <t>EU-1-expenditure-actual</t>
  </si>
  <si>
    <t>EU-1-cost-overall</t>
  </si>
  <si>
    <t>EU-1-expenditure-planned</t>
  </si>
  <si>
    <t>EU-1-audit</t>
  </si>
  <si>
    <t>EU-1-total-budget</t>
  </si>
  <si>
    <t>EU-1-disaggregated-budgets</t>
  </si>
  <si>
    <t>EU-1-strategy</t>
  </si>
  <si>
    <t>EU-1-annual-report</t>
  </si>
  <si>
    <t>EU-1-allocation</t>
  </si>
  <si>
    <t>EU-1-procurement-policy</t>
  </si>
  <si>
    <t>EU-1-country-strategy</t>
  </si>
  <si>
    <t>EU-1-budget-identifier</t>
  </si>
  <si>
    <t>EU-1-conditions</t>
  </si>
  <si>
    <t>EU-1-impact-appraisals</t>
  </si>
  <si>
    <t>EU-1-results</t>
  </si>
  <si>
    <t>EU-1-budget</t>
  </si>
  <si>
    <t>EU-1-contracts</t>
  </si>
  <si>
    <t>EU-1-evaluations</t>
  </si>
  <si>
    <t>EU-1-mou</t>
  </si>
  <si>
    <t>EU-1-objectives</t>
  </si>
  <si>
    <t>EU-1-tenders</t>
  </si>
  <si>
    <t>EU-1-foia</t>
  </si>
  <si>
    <t>EU-1-accessibility</t>
  </si>
  <si>
    <t>EU-1-implementation-schedules</t>
  </si>
  <si>
    <t>CA-1-dates-actual</t>
  </si>
  <si>
    <t>Canada, DFATD</t>
  </si>
  <si>
    <t>CA-1</t>
  </si>
  <si>
    <t>CA-1-contact-details</t>
  </si>
  <si>
    <t>CA-1-current-status</t>
  </si>
  <si>
    <t>CA-1-description</t>
  </si>
  <si>
    <t>CA-1-implementer</t>
  </si>
  <si>
    <t>CA-1-dates-planned</t>
  </si>
  <si>
    <t>CA-1-title</t>
  </si>
  <si>
    <t>CA-1-unique-id</t>
  </si>
  <si>
    <t>CA-1-aid-type</t>
  </si>
  <si>
    <t>CA-1-collaboration-type</t>
  </si>
  <si>
    <t>CA-1-finance-type</t>
  </si>
  <si>
    <t>CA-1-flow-type</t>
  </si>
  <si>
    <t>CA-1-sector</t>
  </si>
  <si>
    <t>CA-1-cost-overall</t>
  </si>
  <si>
    <t>CA-1-expenditure-planned</t>
  </si>
  <si>
    <t>CA-1-conditions</t>
  </si>
  <si>
    <t>CA-1-results</t>
  </si>
  <si>
    <t>CA-1-objectives</t>
  </si>
  <si>
    <t>CA-1-audit</t>
  </si>
  <si>
    <t>CA-1-total-budget</t>
  </si>
  <si>
    <t>CA-1-disaggregated-budgets</t>
  </si>
  <si>
    <t>CA-1-strategy</t>
  </si>
  <si>
    <t>CA-1-annual-report</t>
  </si>
  <si>
    <t>CA-1-allocation</t>
  </si>
  <si>
    <t>CA-1-procurement-policy</t>
  </si>
  <si>
    <t>CA-1-country-strategy</t>
  </si>
  <si>
    <t>CA-1-location</t>
  </si>
  <si>
    <t>CA-1-tied-aid-status</t>
  </si>
  <si>
    <t>CA-1-expenditure-actual</t>
  </si>
  <si>
    <t>CA-1-budget-identifier</t>
  </si>
  <si>
    <t>CA-1-impact-appraisals</t>
  </si>
  <si>
    <t>CA-1-budget</t>
  </si>
  <si>
    <t>CA-1-contracts</t>
  </si>
  <si>
    <t>CA-1-evaluations</t>
  </si>
  <si>
    <t>CA-1-mou</t>
  </si>
  <si>
    <t>CA-1-tenders</t>
  </si>
  <si>
    <t>CA-1-foia</t>
  </si>
  <si>
    <t>CA-1-accessibility</t>
  </si>
  <si>
    <t>CA-1-implementation-schedules</t>
  </si>
  <si>
    <t>46012-dates-actual</t>
  </si>
  <si>
    <t>IADB</t>
  </si>
  <si>
    <t>46012-contact-details</t>
  </si>
  <si>
    <t>46012-current-status</t>
  </si>
  <si>
    <t>46012-description</t>
  </si>
  <si>
    <t>46012-implementer</t>
  </si>
  <si>
    <t>46012-dates-planned</t>
  </si>
  <si>
    <t>46012-title</t>
  </si>
  <si>
    <t>46012-unique-id</t>
  </si>
  <si>
    <t>46012-aid-type</t>
  </si>
  <si>
    <t>46012-collaboration-type</t>
  </si>
  <si>
    <t>46012-finance-type</t>
  </si>
  <si>
    <t>46012-flow-type</t>
  </si>
  <si>
    <t>46012-sector</t>
  </si>
  <si>
    <t>46012-tied-aid-status</t>
  </si>
  <si>
    <t>46012-expenditure-actual</t>
  </si>
  <si>
    <t>46012-expenditure-planned</t>
  </si>
  <si>
    <t>46012-conditions</t>
  </si>
  <si>
    <t>46012-impact-appraisals</t>
  </si>
  <si>
    <t>46012-results</t>
  </si>
  <si>
    <t>46012-budget</t>
  </si>
  <si>
    <t>46012-contracts</t>
  </si>
  <si>
    <t>46012-evaluations</t>
  </si>
  <si>
    <t>46012-mou</t>
  </si>
  <si>
    <t>46012-objectives</t>
  </si>
  <si>
    <t>46012-tenders</t>
  </si>
  <si>
    <t>46012-audit</t>
  </si>
  <si>
    <t>46012-strategy</t>
  </si>
  <si>
    <t>46012-annual-report</t>
  </si>
  <si>
    <t>46012-allocation</t>
  </si>
  <si>
    <t>46012-procurement-policy</t>
  </si>
  <si>
    <t>46012-country-strategy</t>
  </si>
  <si>
    <t>46012-location</t>
  </si>
  <si>
    <t>46012-disaggregated-budgets</t>
  </si>
  <si>
    <t>46012-cost-overall</t>
  </si>
  <si>
    <t>46012-budget-identifier</t>
  </si>
  <si>
    <t>46012-total-budget</t>
  </si>
  <si>
    <t>46012-foia</t>
  </si>
  <si>
    <t>46012-accessibility</t>
  </si>
  <si>
    <t>46012-implementation-schedules</t>
  </si>
  <si>
    <t>FI-3-total-budget</t>
  </si>
  <si>
    <t>Finland, MFA</t>
  </si>
  <si>
    <t>FI-3</t>
  </si>
  <si>
    <t>FI-3-description</t>
  </si>
  <si>
    <t>FI-3-implementer</t>
  </si>
  <si>
    <t>FI-3-dates-planned</t>
  </si>
  <si>
    <t>FI-3-title</t>
  </si>
  <si>
    <t>FI-3-unique-id</t>
  </si>
  <si>
    <t>FI-3-aid-type</t>
  </si>
  <si>
    <t>FI-3-collaboration-type</t>
  </si>
  <si>
    <t>FI-3-finance-type</t>
  </si>
  <si>
    <t>FI-3-flow-type</t>
  </si>
  <si>
    <t>FI-3-sector</t>
  </si>
  <si>
    <t>FI-3-tied-aid-status</t>
  </si>
  <si>
    <t>FI-3-expenditure-actual</t>
  </si>
  <si>
    <t>FI-3-expenditure-planned</t>
  </si>
  <si>
    <t>FI-3-dates-actual</t>
  </si>
  <si>
    <t>FI-3-contact-details</t>
  </si>
  <si>
    <t>FI-3-current-status</t>
  </si>
  <si>
    <t>FI-3-location</t>
  </si>
  <si>
    <t>FI-3-cost-overall</t>
  </si>
  <si>
    <t>FI-3-budget-identifier</t>
  </si>
  <si>
    <t>FI-3-conditions</t>
  </si>
  <si>
    <t>FI-3-impact-appraisals</t>
  </si>
  <si>
    <t>FI-3-results</t>
  </si>
  <si>
    <t>FI-3-budget</t>
  </si>
  <si>
    <t>FI-3-contracts</t>
  </si>
  <si>
    <t>FI-3-evaluations</t>
  </si>
  <si>
    <t>FI-3-mou</t>
  </si>
  <si>
    <t>FI-3-objectives</t>
  </si>
  <si>
    <t>FI-3-tenders</t>
  </si>
  <si>
    <t>FI-3-audit</t>
  </si>
  <si>
    <t>FI-3-disaggregated-budgets</t>
  </si>
  <si>
    <t>FI-3-strategy</t>
  </si>
  <si>
    <t>FI-3-annual-report</t>
  </si>
  <si>
    <t>FI-3-allocation</t>
  </si>
  <si>
    <t>FI-3-procurement-policy</t>
  </si>
  <si>
    <t>FI-3-country-strategy</t>
  </si>
  <si>
    <t>FI-3-foia</t>
  </si>
  <si>
    <t>FI-3-accessibility</t>
  </si>
  <si>
    <t>FI-3-implementation-schedules</t>
  </si>
  <si>
    <t>41127-dates-actual</t>
  </si>
  <si>
    <t>UN OCHA</t>
  </si>
  <si>
    <t>less than quarterly</t>
  </si>
  <si>
    <t>41127-contact-details</t>
  </si>
  <si>
    <t>41127-current-status</t>
  </si>
  <si>
    <t>41127-description</t>
  </si>
  <si>
    <t>41127-implementer</t>
  </si>
  <si>
    <t>41127-dates-planned</t>
  </si>
  <si>
    <t>41127-title</t>
  </si>
  <si>
    <t>41127-unique-id</t>
  </si>
  <si>
    <t>41127-aid-type</t>
  </si>
  <si>
    <t>41127-collaboration-type</t>
  </si>
  <si>
    <t>41127-finance-type</t>
  </si>
  <si>
    <t>41127-flow-type</t>
  </si>
  <si>
    <t>41127-sector</t>
  </si>
  <si>
    <t>41127-location</t>
  </si>
  <si>
    <t>41127-tied-aid-status</t>
  </si>
  <si>
    <t>41127-expenditure-actual</t>
  </si>
  <si>
    <t>41127-cost-overall</t>
  </si>
  <si>
    <t>41127-expenditure-planned</t>
  </si>
  <si>
    <t>41127-budget-identifier</t>
  </si>
  <si>
    <t>41127-conditions</t>
  </si>
  <si>
    <t>41127-impact-appraisals</t>
  </si>
  <si>
    <t>41127-results</t>
  </si>
  <si>
    <t>41127-budget</t>
  </si>
  <si>
    <t>41127-contracts</t>
  </si>
  <si>
    <t>41127-evaluations</t>
  </si>
  <si>
    <t>41127-mou</t>
  </si>
  <si>
    <t>41127-objectives</t>
  </si>
  <si>
    <t>41127-tenders</t>
  </si>
  <si>
    <t>41127-audit</t>
  </si>
  <si>
    <t>41127-total-budget</t>
  </si>
  <si>
    <t>41127-disaggregated-budgets</t>
  </si>
  <si>
    <t>41127-strategy</t>
  </si>
  <si>
    <t>41127-annual-report</t>
  </si>
  <si>
    <t>41127-allocation</t>
  </si>
  <si>
    <t>41127-procurement-policy</t>
  </si>
  <si>
    <t>41127-country-strategy</t>
  </si>
  <si>
    <t>41127-foia</t>
  </si>
  <si>
    <t>41127-accessibility</t>
  </si>
  <si>
    <t>41127-implementation-schedules</t>
  </si>
  <si>
    <t>US-EIN-562618866-contact-details</t>
  </si>
  <si>
    <t>Gates Foundation</t>
  </si>
  <si>
    <t>US-EIN-562618866</t>
  </si>
  <si>
    <t>monthly</t>
  </si>
  <si>
    <t>US-EIN-562618866-current-status</t>
  </si>
  <si>
    <t>US-EIN-562618866-description</t>
  </si>
  <si>
    <t>US-EIN-562618866-implementer</t>
  </si>
  <si>
    <t>US-EIN-562618866-dates-planned</t>
  </si>
  <si>
    <t>US-EIN-562618866-title</t>
  </si>
  <si>
    <t>US-EIN-562618866-unique-id</t>
  </si>
  <si>
    <t>US-EIN-562618866-aid-type</t>
  </si>
  <si>
    <t>US-EIN-562618866-collaboration-type</t>
  </si>
  <si>
    <t>US-EIN-562618866-finance-type</t>
  </si>
  <si>
    <t>US-EIN-562618866-flow-type</t>
  </si>
  <si>
    <t>US-EIN-562618866-sector</t>
  </si>
  <si>
    <t>US-EIN-562618866-tied-aid-status</t>
  </si>
  <si>
    <t>US-EIN-562618866-expenditure-actual</t>
  </si>
  <si>
    <t>US-EIN-562618866-cost-overall</t>
  </si>
  <si>
    <t>US-EIN-562618866-expenditure-planned</t>
  </si>
  <si>
    <t>US-EIN-562618866-budget-identifier</t>
  </si>
  <si>
    <t>US-EIN-562618866-audit</t>
  </si>
  <si>
    <t>US-EIN-562618866-strategy</t>
  </si>
  <si>
    <t>US-EIN-562618866-annual-report</t>
  </si>
  <si>
    <t>US-EIN-562618866-allocation</t>
  </si>
  <si>
    <t>US-EIN-562618866-procurement-policy</t>
  </si>
  <si>
    <t>US-EIN-562618866-total-budget</t>
  </si>
  <si>
    <t>US-EIN-562618866-disaggregated-budgets</t>
  </si>
  <si>
    <t>US-EIN-562618866-dates-actual</t>
  </si>
  <si>
    <t>US-EIN-562618866-country-strategy</t>
  </si>
  <si>
    <t>US-EIN-562618866-location</t>
  </si>
  <si>
    <t>US-EIN-562618866-conditions</t>
  </si>
  <si>
    <t>US-EIN-562618866-impact-appraisals</t>
  </si>
  <si>
    <t>US-EIN-562618866-results</t>
  </si>
  <si>
    <t>US-EIN-562618866-budget</t>
  </si>
  <si>
    <t>US-EIN-562618866-contracts</t>
  </si>
  <si>
    <t>US-EIN-562618866-evaluations</t>
  </si>
  <si>
    <t>US-EIN-562618866-mou</t>
  </si>
  <si>
    <t>US-EIN-562618866-objectives</t>
  </si>
  <si>
    <t>US-EIN-562618866-tenders</t>
  </si>
  <si>
    <t>US-EIN-562618866-foia</t>
  </si>
  <si>
    <t>US-EIN-562618866-accessibility</t>
  </si>
  <si>
    <t>US-EIN-562618866-implementation-schedules</t>
  </si>
  <si>
    <t>SE-6-dates-actual</t>
  </si>
  <si>
    <t>Sweden, MFA-Sida</t>
  </si>
  <si>
    <t>SE-6</t>
  </si>
  <si>
    <t>SE-6-contact-details</t>
  </si>
  <si>
    <t>SE-6-current-status</t>
  </si>
  <si>
    <t>SE-6-description</t>
  </si>
  <si>
    <t>SE-6-implementer</t>
  </si>
  <si>
    <t>SE-6-dates-planned</t>
  </si>
  <si>
    <t>SE-6-title</t>
  </si>
  <si>
    <t>SE-6-unique-id</t>
  </si>
  <si>
    <t>SE-6-aid-type</t>
  </si>
  <si>
    <t>SE-6-collaboration-type</t>
  </si>
  <si>
    <t>SE-6-finance-type</t>
  </si>
  <si>
    <t>SE-6-flow-type</t>
  </si>
  <si>
    <t>SE-6-sector</t>
  </si>
  <si>
    <t>SE-6-location</t>
  </si>
  <si>
    <t>SE-6-tied-aid-status</t>
  </si>
  <si>
    <t>SE-6-expenditure-actual</t>
  </si>
  <si>
    <t>SE-6-cost-overall</t>
  </si>
  <si>
    <t>SE-6-expenditure-planned</t>
  </si>
  <si>
    <t>SE-6-budget-identifier</t>
  </si>
  <si>
    <t>SE-6-conditions</t>
  </si>
  <si>
    <t>SE-6-impact-appraisals</t>
  </si>
  <si>
    <t>SE-6-results</t>
  </si>
  <si>
    <t>SE-6-budget</t>
  </si>
  <si>
    <t>SE-6-contracts</t>
  </si>
  <si>
    <t>SE-6-evaluations</t>
  </si>
  <si>
    <t>SE-6-mou</t>
  </si>
  <si>
    <t>SE-6-objectives</t>
  </si>
  <si>
    <t>SE-6-tenders</t>
  </si>
  <si>
    <t>SE-6-audit</t>
  </si>
  <si>
    <t>SE-6-total-budget</t>
  </si>
  <si>
    <t>SE-6-disaggregated-budgets</t>
  </si>
  <si>
    <t>SE-6-strategy</t>
  </si>
  <si>
    <t>SE-6-annual-report</t>
  </si>
  <si>
    <t>SE-6-allocation</t>
  </si>
  <si>
    <t>SE-6-procurement-policy</t>
  </si>
  <si>
    <t>SE-6-country-strategy</t>
  </si>
  <si>
    <t>SE-6-foia</t>
  </si>
  <si>
    <t>SE-6-accessibility</t>
  </si>
  <si>
    <t>SE-6-implementation-schedules</t>
  </si>
  <si>
    <t>BR-1-dates-actual</t>
  </si>
  <si>
    <t>Brazil, ABC</t>
  </si>
  <si>
    <t>BR-1</t>
  </si>
  <si>
    <t>BR-1-contact-details</t>
  </si>
  <si>
    <t>BR-1-current-status</t>
  </si>
  <si>
    <t>BR-1-description</t>
  </si>
  <si>
    <t>BR-1-implementer</t>
  </si>
  <si>
    <t>BR-1-dates-planned</t>
  </si>
  <si>
    <t>BR-1-title</t>
  </si>
  <si>
    <t>BR-1-unique-id</t>
  </si>
  <si>
    <t>BR-1-aid-type</t>
  </si>
  <si>
    <t>BR-1-collaboration-type</t>
  </si>
  <si>
    <t>BR-1-finance-type</t>
  </si>
  <si>
    <t>BR-1-flow-type</t>
  </si>
  <si>
    <t>BR-1-sector</t>
  </si>
  <si>
    <t>BR-1-location</t>
  </si>
  <si>
    <t>BR-1-tied-aid-status</t>
  </si>
  <si>
    <t>BR-1-expenditure-actual</t>
  </si>
  <si>
    <t>BR-1-cost-overall</t>
  </si>
  <si>
    <t>BR-1-expenditure-planned</t>
  </si>
  <si>
    <t>BR-1-budget-identifier</t>
  </si>
  <si>
    <t>BR-1-conditions</t>
  </si>
  <si>
    <t>BR-1-impact-appraisals</t>
  </si>
  <si>
    <t>BR-1-results</t>
  </si>
  <si>
    <t>BR-1-budget</t>
  </si>
  <si>
    <t>BR-1-contracts</t>
  </si>
  <si>
    <t>BR-1-evaluations</t>
  </si>
  <si>
    <t>BR-1-mou</t>
  </si>
  <si>
    <t>BR-1-objectives</t>
  </si>
  <si>
    <t>BR-1-tenders</t>
  </si>
  <si>
    <t>BR-1-audit</t>
  </si>
  <si>
    <t>BR-1-total-budget</t>
  </si>
  <si>
    <t>BR-1-disaggregated-budgets</t>
  </si>
  <si>
    <t>BR-1-strategy</t>
  </si>
  <si>
    <t>BR-1-annual-report</t>
  </si>
  <si>
    <t>BR-1-allocation</t>
  </si>
  <si>
    <t>BR-1-procurement-policy</t>
  </si>
  <si>
    <t>BR-1-country-strategy</t>
  </si>
  <si>
    <t>BR-1-foia</t>
  </si>
  <si>
    <t>BR-1-accessibility</t>
  </si>
  <si>
    <t>BR-1-implementation-schedules</t>
  </si>
  <si>
    <t>CH-4-total-budget</t>
  </si>
  <si>
    <t>Switzerland, SDC</t>
  </si>
  <si>
    <t>CH-4</t>
  </si>
  <si>
    <t>CH-4-strategy</t>
  </si>
  <si>
    <t>CH-4-dates-actual</t>
  </si>
  <si>
    <t>CH-4-contact-details</t>
  </si>
  <si>
    <t>CH-4-current-status</t>
  </si>
  <si>
    <t>CH-4-description</t>
  </si>
  <si>
    <t>CH-4-implementer</t>
  </si>
  <si>
    <t>CH-4-dates-planned</t>
  </si>
  <si>
    <t>CH-4-title</t>
  </si>
  <si>
    <t>CH-4-unique-id</t>
  </si>
  <si>
    <t>CH-4-aid-type</t>
  </si>
  <si>
    <t>CH-4-collaboration-type</t>
  </si>
  <si>
    <t>CH-4-finance-type</t>
  </si>
  <si>
    <t>CH-4-flow-type</t>
  </si>
  <si>
    <t>CH-4-sector</t>
  </si>
  <si>
    <t>CH-4-tied-aid-status</t>
  </si>
  <si>
    <t>CH-4-expenditure-actual</t>
  </si>
  <si>
    <t>CH-4-expenditure-planned</t>
  </si>
  <si>
    <t>CH-4-conditions</t>
  </si>
  <si>
    <t>CH-4-annual-report</t>
  </si>
  <si>
    <t>CH-4-audit</t>
  </si>
  <si>
    <t>CH-4-disaggregated-budgets</t>
  </si>
  <si>
    <t>CH-4-allocation</t>
  </si>
  <si>
    <t>CH-4-procurement-policy</t>
  </si>
  <si>
    <t>CH-4-country-strategy</t>
  </si>
  <si>
    <t>CH-4-location</t>
  </si>
  <si>
    <t>CH-4-cost-overall</t>
  </si>
  <si>
    <t>CH-4-budget-identifier</t>
  </si>
  <si>
    <t>CH-4-impact-appraisals</t>
  </si>
  <si>
    <t>CH-4-results</t>
  </si>
  <si>
    <t>CH-4-budget</t>
  </si>
  <si>
    <t>CH-4-contracts</t>
  </si>
  <si>
    <t>CH-4-evaluations</t>
  </si>
  <si>
    <t>CH-4-mou</t>
  </si>
  <si>
    <t>CH-4-objectives</t>
  </si>
  <si>
    <t>CH-4-tenders</t>
  </si>
  <si>
    <t>CH-4-foia</t>
  </si>
  <si>
    <t>CH-4-accessibility</t>
  </si>
  <si>
    <t>CH-4-implementation-schedules</t>
  </si>
  <si>
    <t>47045-dates-actual</t>
  </si>
  <si>
    <t>Global Fund</t>
  </si>
  <si>
    <t>47045-contact-details</t>
  </si>
  <si>
    <t>47045-current-status</t>
  </si>
  <si>
    <t>47045-description</t>
  </si>
  <si>
    <t>47045-implementer</t>
  </si>
  <si>
    <t>47045-dates-planned</t>
  </si>
  <si>
    <t>47045-title</t>
  </si>
  <si>
    <t>47045-unique-id</t>
  </si>
  <si>
    <t>47045-aid-type</t>
  </si>
  <si>
    <t>47045-collaboration-type</t>
  </si>
  <si>
    <t>47045-finance-type</t>
  </si>
  <si>
    <t>47045-flow-type</t>
  </si>
  <si>
    <t>47045-sector</t>
  </si>
  <si>
    <t>47045-location</t>
  </si>
  <si>
    <t>47045-tied-aid-status</t>
  </si>
  <si>
    <t>47045-expenditure-actual</t>
  </si>
  <si>
    <t>47045-expenditure-planned</t>
  </si>
  <si>
    <t>47045-conditions</t>
  </si>
  <si>
    <t>47045-results</t>
  </si>
  <si>
    <t>47045-budget</t>
  </si>
  <si>
    <t>47045-contracts</t>
  </si>
  <si>
    <t>47045-evaluations</t>
  </si>
  <si>
    <t>47045-mou</t>
  </si>
  <si>
    <t>47045-objectives</t>
  </si>
  <si>
    <t>47045-audit</t>
  </si>
  <si>
    <t>47045-strategy</t>
  </si>
  <si>
    <t>47045-annual-report</t>
  </si>
  <si>
    <t>47045-allocation</t>
  </si>
  <si>
    <t>47045-procurement-policy</t>
  </si>
  <si>
    <t>47045-total-budget</t>
  </si>
  <si>
    <t>47045-disaggregated-budgets</t>
  </si>
  <si>
    <t>47045-country-strategy</t>
  </si>
  <si>
    <t>47045-cost-overall</t>
  </si>
  <si>
    <t>47045-budget-identifier</t>
  </si>
  <si>
    <t>47045-impact-appraisals</t>
  </si>
  <si>
    <t>47045-tenders</t>
  </si>
  <si>
    <t>47045-foia</t>
  </si>
  <si>
    <t>47045-accessibility</t>
  </si>
  <si>
    <t>47045-implementation-schedules</t>
  </si>
  <si>
    <t>US-1-dates-actual</t>
  </si>
  <si>
    <t>U.S., USAID</t>
  </si>
  <si>
    <t>US-1</t>
  </si>
  <si>
    <t>US-1-contact-details</t>
  </si>
  <si>
    <t>US-1-description</t>
  </si>
  <si>
    <t>US-1-implementer</t>
  </si>
  <si>
    <t>US-1-title</t>
  </si>
  <si>
    <t>US-1-unique-id</t>
  </si>
  <si>
    <t>US-1-flow-type</t>
  </si>
  <si>
    <t>US-1-sector</t>
  </si>
  <si>
    <t>US-1-location</t>
  </si>
  <si>
    <t>US-1-tied-aid-status</t>
  </si>
  <si>
    <t>US-1-expenditure-actual</t>
  </si>
  <si>
    <t>US-1-expenditure-planned</t>
  </si>
  <si>
    <t>US-1-current-status</t>
  </si>
  <si>
    <t>US-1-dates-planned</t>
  </si>
  <si>
    <t>US-1-aid-type</t>
  </si>
  <si>
    <t>US-1-collaboration-type</t>
  </si>
  <si>
    <t>US-1-finance-type</t>
  </si>
  <si>
    <t>US-1-cost-overall</t>
  </si>
  <si>
    <t>US-1-budget-identifier</t>
  </si>
  <si>
    <t>US-1-conditions</t>
  </si>
  <si>
    <t>US-1-impact-appraisals</t>
  </si>
  <si>
    <t>US-1-results</t>
  </si>
  <si>
    <t>US-1-budget</t>
  </si>
  <si>
    <t>US-1-contracts</t>
  </si>
  <si>
    <t>US-1-evaluations</t>
  </si>
  <si>
    <t>US-1-mou</t>
  </si>
  <si>
    <t>US-1-objectives</t>
  </si>
  <si>
    <t>US-1-tenders</t>
  </si>
  <si>
    <t>US-1-audit</t>
  </si>
  <si>
    <t>US-1-total-budget</t>
  </si>
  <si>
    <t>US-1-disaggregated-budgets</t>
  </si>
  <si>
    <t>US-1-strategy</t>
  </si>
  <si>
    <t>US-1-annual-report</t>
  </si>
  <si>
    <t>US-1-allocation</t>
  </si>
  <si>
    <t>US-1-procurement-policy</t>
  </si>
  <si>
    <t>US-1-country-strategy</t>
  </si>
  <si>
    <t>US-1-foia</t>
  </si>
  <si>
    <t>US-1-accessibility</t>
  </si>
  <si>
    <t>US-1-implementation-schedules</t>
  </si>
  <si>
    <t>47122-dates-actual</t>
  </si>
  <si>
    <t>GAVI</t>
  </si>
  <si>
    <t>47122-contact-details</t>
  </si>
  <si>
    <t>47122-current-status</t>
  </si>
  <si>
    <t>47122-description</t>
  </si>
  <si>
    <t>47122-implementer</t>
  </si>
  <si>
    <t>47122-dates-planned</t>
  </si>
  <si>
    <t>47122-title</t>
  </si>
  <si>
    <t>47122-unique-id</t>
  </si>
  <si>
    <t>47122-aid-type</t>
  </si>
  <si>
    <t>47122-collaboration-type</t>
  </si>
  <si>
    <t>47122-finance-type</t>
  </si>
  <si>
    <t>47122-flow-type</t>
  </si>
  <si>
    <t>47122-sector</t>
  </si>
  <si>
    <t>47122-location</t>
  </si>
  <si>
    <t>47122-tied-aid-status</t>
  </si>
  <si>
    <t>47122-expenditure-actual</t>
  </si>
  <si>
    <t>47122-cost-overall</t>
  </si>
  <si>
    <t>47122-expenditure-planned</t>
  </si>
  <si>
    <t>47122-budget-identifier</t>
  </si>
  <si>
    <t>47122-conditions</t>
  </si>
  <si>
    <t>47122-impact-appraisals</t>
  </si>
  <si>
    <t>47122-results</t>
  </si>
  <si>
    <t>47122-budget</t>
  </si>
  <si>
    <t>47122-contracts</t>
  </si>
  <si>
    <t>47122-evaluations</t>
  </si>
  <si>
    <t>47122-mou</t>
  </si>
  <si>
    <t>47122-objectives</t>
  </si>
  <si>
    <t>47122-tenders</t>
  </si>
  <si>
    <t>47122-audit</t>
  </si>
  <si>
    <t>47122-total-budget</t>
  </si>
  <si>
    <t>47122-disaggregated-budgets</t>
  </si>
  <si>
    <t>47122-strategy</t>
  </si>
  <si>
    <t>47122-annual-report</t>
  </si>
  <si>
    <t>47122-allocation</t>
  </si>
  <si>
    <t>47122-procurement-policy</t>
  </si>
  <si>
    <t>47122-country-strategy</t>
  </si>
  <si>
    <t>47122-foia</t>
  </si>
  <si>
    <t>47122-accessibility</t>
  </si>
  <si>
    <t>47122-implementation-schedules</t>
  </si>
  <si>
    <t>GB-3-dates-actual</t>
  </si>
  <si>
    <t>UK, FCO</t>
  </si>
  <si>
    <t>GB-3</t>
  </si>
  <si>
    <t>GB-3-current-status</t>
  </si>
  <si>
    <t>GB-3-description</t>
  </si>
  <si>
    <t>GB-3-dates-planned</t>
  </si>
  <si>
    <t>GB-3-title</t>
  </si>
  <si>
    <t>GB-3-unique-id</t>
  </si>
  <si>
    <t>GB-3-aid-type</t>
  </si>
  <si>
    <t>GB-3-finance-type</t>
  </si>
  <si>
    <t>GB-3-flow-type</t>
  </si>
  <si>
    <t>GB-3-sector</t>
  </si>
  <si>
    <t>GB-3-expenditure-actual</t>
  </si>
  <si>
    <t>GB-3-contact-details</t>
  </si>
  <si>
    <t>GB-3-implementer</t>
  </si>
  <si>
    <t>GB-3-collaboration-type</t>
  </si>
  <si>
    <t>GB-3-location</t>
  </si>
  <si>
    <t>GB-3-tied-aid-status</t>
  </si>
  <si>
    <t>GB-3-cost-overall</t>
  </si>
  <si>
    <t>GB-3-expenditure-planned</t>
  </si>
  <si>
    <t>GB-3-budget-identifier</t>
  </si>
  <si>
    <t>GB-3-conditions</t>
  </si>
  <si>
    <t>GB-3-impact-appraisals</t>
  </si>
  <si>
    <t>GB-3-results</t>
  </si>
  <si>
    <t>GB-3-budget</t>
  </si>
  <si>
    <t>GB-3-contracts</t>
  </si>
  <si>
    <t>GB-3-evaluations</t>
  </si>
  <si>
    <t>GB-3-mou</t>
  </si>
  <si>
    <t>GB-3-objectives</t>
  </si>
  <si>
    <t>GB-3-tenders</t>
  </si>
  <si>
    <t>GB-3-audit</t>
  </si>
  <si>
    <t>GB-3-total-budget</t>
  </si>
  <si>
    <t>GB-3-disaggregated-budgets</t>
  </si>
  <si>
    <t>GB-3-strategy</t>
  </si>
  <si>
    <t>GB-3-annual-report</t>
  </si>
  <si>
    <t>GB-3-allocation</t>
  </si>
  <si>
    <t>GB-3-procurement-policy</t>
  </si>
  <si>
    <t>GB-3-country-strategy</t>
  </si>
  <si>
    <t>GB-3-foia</t>
  </si>
  <si>
    <t>GB-3-accessibility</t>
  </si>
  <si>
    <t>GB-3-implementation-schedules</t>
  </si>
  <si>
    <t>US-11-dates-actual</t>
  </si>
  <si>
    <t>U.S., State</t>
  </si>
  <si>
    <t>US-11</t>
  </si>
  <si>
    <t>US-11-contact-details</t>
  </si>
  <si>
    <t>US-11-current-status</t>
  </si>
  <si>
    <t>US-11-description</t>
  </si>
  <si>
    <t>US-11-implementer</t>
  </si>
  <si>
    <t>US-11-dates-planned</t>
  </si>
  <si>
    <t>US-11-title</t>
  </si>
  <si>
    <t>US-11-unique-id</t>
  </si>
  <si>
    <t>US-11-aid-type</t>
  </si>
  <si>
    <t>US-11-collaboration-type</t>
  </si>
  <si>
    <t>US-11-finance-type</t>
  </si>
  <si>
    <t>US-11-flow-type</t>
  </si>
  <si>
    <t>US-11-sector</t>
  </si>
  <si>
    <t>US-11-location</t>
  </si>
  <si>
    <t>US-11-tied-aid-status</t>
  </si>
  <si>
    <t>US-11-expenditure-actual</t>
  </si>
  <si>
    <t>US-11-cost-overall</t>
  </si>
  <si>
    <t>US-11-expenditure-planned</t>
  </si>
  <si>
    <t>US-11-budget-identifier</t>
  </si>
  <si>
    <t>US-11-conditions</t>
  </si>
  <si>
    <t>US-11-impact-appraisals</t>
  </si>
  <si>
    <t>US-11-results</t>
  </si>
  <si>
    <t>US-11-budget</t>
  </si>
  <si>
    <t>US-11-contracts</t>
  </si>
  <si>
    <t>US-11-evaluations</t>
  </si>
  <si>
    <t>US-11-mou</t>
  </si>
  <si>
    <t>US-11-objectives</t>
  </si>
  <si>
    <t>US-11-tenders</t>
  </si>
  <si>
    <t>US-11-audit</t>
  </si>
  <si>
    <t>US-11-total-budget</t>
  </si>
  <si>
    <t>US-11-disaggregated-budgets</t>
  </si>
  <si>
    <t>US-11-strategy</t>
  </si>
  <si>
    <t>US-11-annual-report</t>
  </si>
  <si>
    <t>US-11-allocation</t>
  </si>
  <si>
    <t>US-11-procurement-policy</t>
  </si>
  <si>
    <t>US-11-country-strategy</t>
  </si>
  <si>
    <t>US-11-foia</t>
  </si>
  <si>
    <t>US-11-accessibility</t>
  </si>
  <si>
    <t>US-11-implementation-schedules</t>
  </si>
  <si>
    <t>IE-1-total-budget</t>
  </si>
  <si>
    <t>Ireland, IrishAid</t>
  </si>
  <si>
    <t>IE-1</t>
  </si>
  <si>
    <t>IE-1-disaggregated-budgets</t>
  </si>
  <si>
    <t>IE-1-dates-actual</t>
  </si>
  <si>
    <t>IE-1-current-status</t>
  </si>
  <si>
    <t>IE-1-implementer</t>
  </si>
  <si>
    <t>IE-1-dates-planned</t>
  </si>
  <si>
    <t>IE-1-title</t>
  </si>
  <si>
    <t>IE-1-unique-id</t>
  </si>
  <si>
    <t>IE-1-aid-type</t>
  </si>
  <si>
    <t>IE-1-collaboration-type</t>
  </si>
  <si>
    <t>IE-1-finance-type</t>
  </si>
  <si>
    <t>IE-1-flow-type</t>
  </si>
  <si>
    <t>IE-1-sector</t>
  </si>
  <si>
    <t>IE-1-tied-aid-status</t>
  </si>
  <si>
    <t>IE-1-expenditure-actual</t>
  </si>
  <si>
    <t>IE-1-cost-overall</t>
  </si>
  <si>
    <t>IE-1-annual-report</t>
  </si>
  <si>
    <t>IE-1-audit</t>
  </si>
  <si>
    <t>IE-1-strategy</t>
  </si>
  <si>
    <t>IE-1-contact-details</t>
  </si>
  <si>
    <t>IE-1-procurement-policy</t>
  </si>
  <si>
    <t>IE-1-description</t>
  </si>
  <si>
    <t>IE-1-country-strategy</t>
  </si>
  <si>
    <t>IE-1-location</t>
  </si>
  <si>
    <t>IE-1-allocation</t>
  </si>
  <si>
    <t>IE-1-expenditure-planned</t>
  </si>
  <si>
    <t>IE-1-budget-identifier</t>
  </si>
  <si>
    <t>IE-1-conditions</t>
  </si>
  <si>
    <t>IE-1-impact-appraisals</t>
  </si>
  <si>
    <t>IE-1-results</t>
  </si>
  <si>
    <t>IE-1-budget</t>
  </si>
  <si>
    <t>IE-1-contracts</t>
  </si>
  <si>
    <t>IE-1-evaluations</t>
  </si>
  <si>
    <t>IE-1-mou</t>
  </si>
  <si>
    <t>IE-1-objectives</t>
  </si>
  <si>
    <t>IE-1-tenders</t>
  </si>
  <si>
    <t>IE-1-foia</t>
  </si>
  <si>
    <t>IE-1-accessibility</t>
  </si>
  <si>
    <t>IE-1-implementation-schedules</t>
  </si>
  <si>
    <t>EU-5-dates-actual</t>
  </si>
  <si>
    <t>EC, ELARG</t>
  </si>
  <si>
    <t>EU-5</t>
  </si>
  <si>
    <t>EU-5-contact-details</t>
  </si>
  <si>
    <t>EU-5-current-status</t>
  </si>
  <si>
    <t>EU-5-description</t>
  </si>
  <si>
    <t>EU-5-implementer</t>
  </si>
  <si>
    <t>EU-5-dates-planned</t>
  </si>
  <si>
    <t>EU-5-title</t>
  </si>
  <si>
    <t>EU-5-unique-id</t>
  </si>
  <si>
    <t>EU-5-aid-type</t>
  </si>
  <si>
    <t>EU-5-collaboration-type</t>
  </si>
  <si>
    <t>EU-5-finance-type</t>
  </si>
  <si>
    <t>EU-5-flow-type</t>
  </si>
  <si>
    <t>EU-5-sector</t>
  </si>
  <si>
    <t>EU-5-tied-aid-status</t>
  </si>
  <si>
    <t>EU-5-expenditure-actual</t>
  </si>
  <si>
    <t>EU-5-expenditure-planned</t>
  </si>
  <si>
    <t>EU-5-audit</t>
  </si>
  <si>
    <t>EU-5-total-budget</t>
  </si>
  <si>
    <t>EU-5-strategy</t>
  </si>
  <si>
    <t>EU-5-annual-report</t>
  </si>
  <si>
    <t>EU-5-allocation</t>
  </si>
  <si>
    <t>EU-5-procurement-policy</t>
  </si>
  <si>
    <t>EU-5-disaggregated-budgets</t>
  </si>
  <si>
    <t>EU-5-country-strategy</t>
  </si>
  <si>
    <t>EU-5-location</t>
  </si>
  <si>
    <t>EU-5-cost-overall</t>
  </si>
  <si>
    <t>EU-5-budget-identifier</t>
  </si>
  <si>
    <t>EU-5-conditions</t>
  </si>
  <si>
    <t>EU-5-impact-appraisals</t>
  </si>
  <si>
    <t>EU-5-results</t>
  </si>
  <si>
    <t>EU-5-budget</t>
  </si>
  <si>
    <t>EU-5-contracts</t>
  </si>
  <si>
    <t>EU-5-evaluations</t>
  </si>
  <si>
    <t>EU-5-mou</t>
  </si>
  <si>
    <t>EU-5-objectives</t>
  </si>
  <si>
    <t>EU-5-tenders</t>
  </si>
  <si>
    <t>EU-5-foia</t>
  </si>
  <si>
    <t>EU-5-accessibility</t>
  </si>
  <si>
    <t>EU-5-implementation-schedules</t>
  </si>
  <si>
    <t>NZ-2-dates-actual</t>
  </si>
  <si>
    <t>New Zealand, MFAT</t>
  </si>
  <si>
    <t>NZ-2</t>
  </si>
  <si>
    <t>NZ-2-contact-details</t>
  </si>
  <si>
    <t>NZ-2-current-status</t>
  </si>
  <si>
    <t>NZ-2-description</t>
  </si>
  <si>
    <t>NZ-2-dates-planned</t>
  </si>
  <si>
    <t>NZ-2-title</t>
  </si>
  <si>
    <t>NZ-2-unique-id</t>
  </si>
  <si>
    <t>NZ-2-aid-type</t>
  </si>
  <si>
    <t>NZ-2-finance-type</t>
  </si>
  <si>
    <t>NZ-2-flow-type</t>
  </si>
  <si>
    <t>NZ-2-sector</t>
  </si>
  <si>
    <t>NZ-2-tied-aid-status</t>
  </si>
  <si>
    <t>NZ-2-expenditure-actual</t>
  </si>
  <si>
    <t>NZ-2-implementer</t>
  </si>
  <si>
    <t>NZ-2-collaboration-type</t>
  </si>
  <si>
    <t>NZ-2-location</t>
  </si>
  <si>
    <t>NZ-2-cost-overall</t>
  </si>
  <si>
    <t>NZ-2-expenditure-planned</t>
  </si>
  <si>
    <t>NZ-2-budget-identifier</t>
  </si>
  <si>
    <t>NZ-2-conditions</t>
  </si>
  <si>
    <t>NZ-2-impact-appraisals</t>
  </si>
  <si>
    <t>NZ-2-results</t>
  </si>
  <si>
    <t>NZ-2-budget</t>
  </si>
  <si>
    <t>NZ-2-contracts</t>
  </si>
  <si>
    <t>NZ-2-evaluations</t>
  </si>
  <si>
    <t>NZ-2-mou</t>
  </si>
  <si>
    <t>NZ-2-objectives</t>
  </si>
  <si>
    <t>NZ-2-tenders</t>
  </si>
  <si>
    <t>NZ-2-audit</t>
  </si>
  <si>
    <t>NZ-2-total-budget</t>
  </si>
  <si>
    <t>NZ-2-disaggregated-budgets</t>
  </si>
  <si>
    <t>NZ-2-strategy</t>
  </si>
  <si>
    <t>NZ-2-annual-report</t>
  </si>
  <si>
    <t>NZ-2-allocation</t>
  </si>
  <si>
    <t>NZ-2-procurement-policy</t>
  </si>
  <si>
    <t>NZ-2-country-strategy</t>
  </si>
  <si>
    <t>NZ-2-foia</t>
  </si>
  <si>
    <t>NZ-2-accessibility</t>
  </si>
  <si>
    <t>NZ-2-implementation-schedules</t>
  </si>
  <si>
    <t>PL-1-dates-actual</t>
  </si>
  <si>
    <t>Poland, MFA</t>
  </si>
  <si>
    <t>PL-1</t>
  </si>
  <si>
    <t>PL-1-contact-details</t>
  </si>
  <si>
    <t>PL-1-current-status</t>
  </si>
  <si>
    <t>PL-1-description</t>
  </si>
  <si>
    <t>PL-1-implementer</t>
  </si>
  <si>
    <t>PL-1-dates-planned</t>
  </si>
  <si>
    <t>PL-1-title</t>
  </si>
  <si>
    <t>PL-1-unique-id</t>
  </si>
  <si>
    <t>PL-1-aid-type</t>
  </si>
  <si>
    <t>PL-1-collaboration-type</t>
  </si>
  <si>
    <t>PL-1-finance-type</t>
  </si>
  <si>
    <t>PL-1-flow-type</t>
  </si>
  <si>
    <t>PL-1-sector</t>
  </si>
  <si>
    <t>PL-1-location</t>
  </si>
  <si>
    <t>PL-1-tied-aid-status</t>
  </si>
  <si>
    <t>PL-1-expenditure-actual</t>
  </si>
  <si>
    <t>PL-1-cost-overall</t>
  </si>
  <si>
    <t>PL-1-expenditure-planned</t>
  </si>
  <si>
    <t>PL-1-budget-identifier</t>
  </si>
  <si>
    <t>PL-1-conditions</t>
  </si>
  <si>
    <t>PL-1-impact-appraisals</t>
  </si>
  <si>
    <t>PL-1-results</t>
  </si>
  <si>
    <t>PL-1-budget</t>
  </si>
  <si>
    <t>PL-1-contracts</t>
  </si>
  <si>
    <t>PL-1-evaluations</t>
  </si>
  <si>
    <t>PL-1-mou</t>
  </si>
  <si>
    <t>PL-1-objectives</t>
  </si>
  <si>
    <t>PL-1-tenders</t>
  </si>
  <si>
    <t>PL-1-audit</t>
  </si>
  <si>
    <t>PL-1-total-budget</t>
  </si>
  <si>
    <t>PL-1-disaggregated-budgets</t>
  </si>
  <si>
    <t>PL-1-strategy</t>
  </si>
  <si>
    <t>PL-1-annual-report</t>
  </si>
  <si>
    <t>PL-1-allocation</t>
  </si>
  <si>
    <t>PL-1-procurement-policy</t>
  </si>
  <si>
    <t>PL-1-country-strategy</t>
  </si>
  <si>
    <t>PL-1-foia</t>
  </si>
  <si>
    <t>PL-1-accessibility</t>
  </si>
  <si>
    <t>PL-1-implementation-schedules</t>
  </si>
  <si>
    <t>41114-dates-actual</t>
  </si>
  <si>
    <t>UNDP</t>
  </si>
  <si>
    <t>41114-contact-details</t>
  </si>
  <si>
    <t>41114-current-status</t>
  </si>
  <si>
    <t>41114-description</t>
  </si>
  <si>
    <t>41114-implementer</t>
  </si>
  <si>
    <t>41114-dates-planned</t>
  </si>
  <si>
    <t>41114-title</t>
  </si>
  <si>
    <t>41114-unique-id</t>
  </si>
  <si>
    <t>41114-aid-type</t>
  </si>
  <si>
    <t>41114-collaboration-type</t>
  </si>
  <si>
    <t>41114-finance-type</t>
  </si>
  <si>
    <t>41114-flow-type</t>
  </si>
  <si>
    <t>41114-sector</t>
  </si>
  <si>
    <t>41114-location</t>
  </si>
  <si>
    <t>41114-tied-aid-status</t>
  </si>
  <si>
    <t>41114-expenditure-actual</t>
  </si>
  <si>
    <t>41114-cost-overall</t>
  </si>
  <si>
    <t>41114-expenditure-planned</t>
  </si>
  <si>
    <t>41114-budget-identifier</t>
  </si>
  <si>
    <t>41114-conditions</t>
  </si>
  <si>
    <t>41114-impact-appraisals</t>
  </si>
  <si>
    <t>41114-results</t>
  </si>
  <si>
    <t>41114-budget</t>
  </si>
  <si>
    <t>41114-contracts</t>
  </si>
  <si>
    <t>41114-evaluations</t>
  </si>
  <si>
    <t>41114-mou</t>
  </si>
  <si>
    <t>41114-objectives</t>
  </si>
  <si>
    <t>41114-tenders</t>
  </si>
  <si>
    <t>41114-audit</t>
  </si>
  <si>
    <t>41114-total-budget</t>
  </si>
  <si>
    <t>41114-disaggregated-budgets</t>
  </si>
  <si>
    <t>41114-strategy</t>
  </si>
  <si>
    <t>41114-annual-report</t>
  </si>
  <si>
    <t>41114-allocation</t>
  </si>
  <si>
    <t>41114-procurement-policy</t>
  </si>
  <si>
    <t>41114-country-strategy</t>
  </si>
  <si>
    <t>41114-foia</t>
  </si>
  <si>
    <t>41114-accessibility</t>
  </si>
  <si>
    <t>41114-implementation-schedules</t>
  </si>
  <si>
    <t>DE-11-dates-actual</t>
  </si>
  <si>
    <t>DE-11</t>
  </si>
  <si>
    <t>DE-11-contact-details</t>
  </si>
  <si>
    <t>DE-11-current-status</t>
  </si>
  <si>
    <t>DE-11-description</t>
  </si>
  <si>
    <t>DE-11-implementer</t>
  </si>
  <si>
    <t>DE-11-dates-planned</t>
  </si>
  <si>
    <t>DE-11-title</t>
  </si>
  <si>
    <t>DE-11-unique-id</t>
  </si>
  <si>
    <t>DE-11-aid-type</t>
  </si>
  <si>
    <t>DE-11-collaboration-type</t>
  </si>
  <si>
    <t>DE-11-finance-type</t>
  </si>
  <si>
    <t>DE-11-flow-type</t>
  </si>
  <si>
    <t>DE-11-sector</t>
  </si>
  <si>
    <t>DE-11-location</t>
  </si>
  <si>
    <t>DE-11-tied-aid-status</t>
  </si>
  <si>
    <t>DE-11-expenditure-actual</t>
  </si>
  <si>
    <t>DE-11-cost-overall</t>
  </si>
  <si>
    <t>DE-11-expenditure-planned</t>
  </si>
  <si>
    <t>DE-11-budget-identifier</t>
  </si>
  <si>
    <t>DE-11-conditions</t>
  </si>
  <si>
    <t>DE-11-impact-appraisals</t>
  </si>
  <si>
    <t>DE-11-results</t>
  </si>
  <si>
    <t>DE-11-budget</t>
  </si>
  <si>
    <t>DE-11-contracts</t>
  </si>
  <si>
    <t>DE-11-evaluations</t>
  </si>
  <si>
    <t>DE-11-mou</t>
  </si>
  <si>
    <t>DE-11-objectives</t>
  </si>
  <si>
    <t>DE-11-tenders</t>
  </si>
  <si>
    <t>DE-11-audit</t>
  </si>
  <si>
    <t>DE-11-total-budget</t>
  </si>
  <si>
    <t>DE-11-disaggregated-budgets</t>
  </si>
  <si>
    <t>DE-11-strategy</t>
  </si>
  <si>
    <t>DE-11-annual-report</t>
  </si>
  <si>
    <t>DE-11-allocation</t>
  </si>
  <si>
    <t>DE-11-procurement-policy</t>
  </si>
  <si>
    <t>DE-11-country-strategy</t>
  </si>
  <si>
    <t>DE-11-foia</t>
  </si>
  <si>
    <t>DE-11-accessibility</t>
  </si>
  <si>
    <t>DE-11-implementation-schedules</t>
  </si>
  <si>
    <t>EU-4-dates-actual</t>
  </si>
  <si>
    <t>EC, ECHO</t>
  </si>
  <si>
    <t>EU-4</t>
  </si>
  <si>
    <t>EU-4-description</t>
  </si>
  <si>
    <t>EU-4-implementer</t>
  </si>
  <si>
    <t>EU-4-dates-planned</t>
  </si>
  <si>
    <t>EU-4-title</t>
  </si>
  <si>
    <t>EU-4-unique-id</t>
  </si>
  <si>
    <t>EU-4-aid-type</t>
  </si>
  <si>
    <t>EU-4-collaboration-type</t>
  </si>
  <si>
    <t>EU-4-finance-type</t>
  </si>
  <si>
    <t>EU-4-flow-type</t>
  </si>
  <si>
    <t>EU-4-sector</t>
  </si>
  <si>
    <t>EU-4-tied-aid-status</t>
  </si>
  <si>
    <t>EU-4-expenditure-actual</t>
  </si>
  <si>
    <t>EU-4-expenditure-planned</t>
  </si>
  <si>
    <t>EU-4-objectives</t>
  </si>
  <si>
    <t>EU-4-audit</t>
  </si>
  <si>
    <t>EU-4-total-budget</t>
  </si>
  <si>
    <t>EU-4-disaggregated-budgets</t>
  </si>
  <si>
    <t>EU-4-strategy</t>
  </si>
  <si>
    <t>EU-4-annual-report</t>
  </si>
  <si>
    <t>EU-4-allocation</t>
  </si>
  <si>
    <t>EU-4-procurement-policy</t>
  </si>
  <si>
    <t>EU-4-contact-details</t>
  </si>
  <si>
    <t>EU-4-current-status</t>
  </si>
  <si>
    <t>EU-4-country-strategy</t>
  </si>
  <si>
    <t>EU-4-location</t>
  </si>
  <si>
    <t>EU-4-cost-overall</t>
  </si>
  <si>
    <t>EU-4-budget-identifier</t>
  </si>
  <si>
    <t>EU-4-conditions</t>
  </si>
  <si>
    <t>EU-4-impact-appraisals</t>
  </si>
  <si>
    <t>EU-4-results</t>
  </si>
  <si>
    <t>EU-4-budget</t>
  </si>
  <si>
    <t>EU-4-contracts</t>
  </si>
  <si>
    <t>EU-4-evaluations</t>
  </si>
  <si>
    <t>EU-4-mou</t>
  </si>
  <si>
    <t>EU-4-tenders</t>
  </si>
  <si>
    <t>EU-4-foia</t>
  </si>
  <si>
    <t>EU-4-accessibility</t>
  </si>
  <si>
    <t>EU-4-implementation-schedules</t>
  </si>
  <si>
    <t>NO-4-dates-actual</t>
  </si>
  <si>
    <t>Norway, MFA</t>
  </si>
  <si>
    <t>NO-4</t>
  </si>
  <si>
    <t>NO-4-contact-details</t>
  </si>
  <si>
    <t>NO-4-current-status</t>
  </si>
  <si>
    <t>NO-4-description</t>
  </si>
  <si>
    <t>NO-4-implementer</t>
  </si>
  <si>
    <t>NO-4-dates-planned</t>
  </si>
  <si>
    <t>NO-4-title</t>
  </si>
  <si>
    <t>NO-4-unique-id</t>
  </si>
  <si>
    <t>NO-4-aid-type</t>
  </si>
  <si>
    <t>NO-4-collaboration-type</t>
  </si>
  <si>
    <t>NO-4-finance-type</t>
  </si>
  <si>
    <t>NO-4-flow-type</t>
  </si>
  <si>
    <t>NO-4-sector</t>
  </si>
  <si>
    <t>NO-4-location</t>
  </si>
  <si>
    <t>NO-4-tied-aid-status</t>
  </si>
  <si>
    <t>NO-4-expenditure-actual</t>
  </si>
  <si>
    <t>NO-4-cost-overall</t>
  </si>
  <si>
    <t>NO-4-expenditure-planned</t>
  </si>
  <si>
    <t>NO-4-budget-identifier</t>
  </si>
  <si>
    <t>NO-4-conditions</t>
  </si>
  <si>
    <t>NO-4-impact-appraisals</t>
  </si>
  <si>
    <t>NO-4-results</t>
  </si>
  <si>
    <t>NO-4-budget</t>
  </si>
  <si>
    <t>NO-4-contracts</t>
  </si>
  <si>
    <t>NO-4-evaluations</t>
  </si>
  <si>
    <t>NO-4-mou</t>
  </si>
  <si>
    <t>NO-4-objectives</t>
  </si>
  <si>
    <t>NO-4-tenders</t>
  </si>
  <si>
    <t>NO-4-audit</t>
  </si>
  <si>
    <t>NO-4-total-budget</t>
  </si>
  <si>
    <t>NO-4-disaggregated-budgets</t>
  </si>
  <si>
    <t>NO-4-strategy</t>
  </si>
  <si>
    <t>NO-4-annual-report</t>
  </si>
  <si>
    <t>NO-4-allocation</t>
  </si>
  <si>
    <t>NO-4-procurement-policy</t>
  </si>
  <si>
    <t>NO-4-country-strategy</t>
  </si>
  <si>
    <t>NO-4-foia</t>
  </si>
  <si>
    <t>NO-4-accessibility</t>
  </si>
  <si>
    <t>NO-4-implementation-schedules</t>
  </si>
  <si>
    <t>NL-1-dates-actual</t>
  </si>
  <si>
    <t>Netherlands, MFA</t>
  </si>
  <si>
    <t>NL-1</t>
  </si>
  <si>
    <t>NL-1-current-status</t>
  </si>
  <si>
    <t>NL-1-description</t>
  </si>
  <si>
    <t>NL-1-implementer</t>
  </si>
  <si>
    <t>NL-1-dates-planned</t>
  </si>
  <si>
    <t>NL-1-title</t>
  </si>
  <si>
    <t>NL-1-unique-id</t>
  </si>
  <si>
    <t>NL-1-aid-type</t>
  </si>
  <si>
    <t>NL-1-collaboration-type</t>
  </si>
  <si>
    <t>NL-1-finance-type</t>
  </si>
  <si>
    <t>NL-1-flow-type</t>
  </si>
  <si>
    <t>NL-1-sector</t>
  </si>
  <si>
    <t>NL-1-location</t>
  </si>
  <si>
    <t>NL-1-tied-aid-status</t>
  </si>
  <si>
    <t>NL-1-expenditure-actual</t>
  </si>
  <si>
    <t>NL-1-cost-overall</t>
  </si>
  <si>
    <t>NL-1-expenditure-planned</t>
  </si>
  <si>
    <t>NL-1-results</t>
  </si>
  <si>
    <t>NL-1-budget</t>
  </si>
  <si>
    <t>NL-1-objectives</t>
  </si>
  <si>
    <t>NL-1-total-budget</t>
  </si>
  <si>
    <t>NL-1-disaggregated-budgets</t>
  </si>
  <si>
    <t>NL-1-strategy</t>
  </si>
  <si>
    <t>NL-1-audit</t>
  </si>
  <si>
    <t>NL-1-annual-report</t>
  </si>
  <si>
    <t>NL-1-contact-details</t>
  </si>
  <si>
    <t>NL-1-procurement-policy</t>
  </si>
  <si>
    <t>NL-1-country-strategy</t>
  </si>
  <si>
    <t>NL-1-allocation</t>
  </si>
  <si>
    <t>NL-1-budget-identifier</t>
  </si>
  <si>
    <t>NL-1-conditions</t>
  </si>
  <si>
    <t>NL-1-impact-appraisals</t>
  </si>
  <si>
    <t>NL-1-contracts</t>
  </si>
  <si>
    <t>NL-1-evaluations</t>
  </si>
  <si>
    <t>NL-1-mou</t>
  </si>
  <si>
    <t>NL-1-tenders</t>
  </si>
  <si>
    <t>NL-1-foia</t>
  </si>
  <si>
    <t>NL-1-accessibility</t>
  </si>
  <si>
    <t>NL-1-implementation-schedules</t>
  </si>
  <si>
    <t>LU-1-dates-actual</t>
  </si>
  <si>
    <t>Luxembourg, MFA</t>
  </si>
  <si>
    <t>LU-1</t>
  </si>
  <si>
    <t>LU-1-contact-details</t>
  </si>
  <si>
    <t>LU-1-current-status</t>
  </si>
  <si>
    <t>LU-1-description</t>
  </si>
  <si>
    <t>LU-1-implementer</t>
  </si>
  <si>
    <t>LU-1-dates-planned</t>
  </si>
  <si>
    <t>LU-1-title</t>
  </si>
  <si>
    <t>LU-1-unique-id</t>
  </si>
  <si>
    <t>LU-1-aid-type</t>
  </si>
  <si>
    <t>LU-1-collaboration-type</t>
  </si>
  <si>
    <t>LU-1-finance-type</t>
  </si>
  <si>
    <t>LU-1-flow-type</t>
  </si>
  <si>
    <t>LU-1-sector</t>
  </si>
  <si>
    <t>LU-1-location</t>
  </si>
  <si>
    <t>LU-1-tied-aid-status</t>
  </si>
  <si>
    <t>LU-1-expenditure-actual</t>
  </si>
  <si>
    <t>LU-1-cost-overall</t>
  </si>
  <si>
    <t>LU-1-expenditure-planned</t>
  </si>
  <si>
    <t>LU-1-budget-identifier</t>
  </si>
  <si>
    <t>LU-1-conditions</t>
  </si>
  <si>
    <t>LU-1-impact-appraisals</t>
  </si>
  <si>
    <t>LU-1-results</t>
  </si>
  <si>
    <t>LU-1-budget</t>
  </si>
  <si>
    <t>LU-1-contracts</t>
  </si>
  <si>
    <t>LU-1-evaluations</t>
  </si>
  <si>
    <t>LU-1-mou</t>
  </si>
  <si>
    <t>LU-1-objectives</t>
  </si>
  <si>
    <t>LU-1-tenders</t>
  </si>
  <si>
    <t>LU-1-audit</t>
  </si>
  <si>
    <t>LU-1-total-budget</t>
  </si>
  <si>
    <t>LU-1-disaggregated-budgets</t>
  </si>
  <si>
    <t>LU-1-strategy</t>
  </si>
  <si>
    <t>LU-1-annual-report</t>
  </si>
  <si>
    <t>LU-1-allocation</t>
  </si>
  <si>
    <t>LU-1-procurement-policy</t>
  </si>
  <si>
    <t>LU-1-country-strategy</t>
  </si>
  <si>
    <t>LU-1-foia</t>
  </si>
  <si>
    <t>LU-1-accessibility</t>
  </si>
  <si>
    <t>LU-1-implementation-schedules</t>
  </si>
  <si>
    <t>BG-1-dates-actual</t>
  </si>
  <si>
    <t>Bulgaria, MFA</t>
  </si>
  <si>
    <t>BG-1</t>
  </si>
  <si>
    <t>BG-1-contact-details</t>
  </si>
  <si>
    <t>BG-1-current-status</t>
  </si>
  <si>
    <t>BG-1-description</t>
  </si>
  <si>
    <t>BG-1-implementer</t>
  </si>
  <si>
    <t>BG-1-dates-planned</t>
  </si>
  <si>
    <t>BG-1-title</t>
  </si>
  <si>
    <t>BG-1-unique-id</t>
  </si>
  <si>
    <t>BG-1-aid-type</t>
  </si>
  <si>
    <t>BG-1-collaboration-type</t>
  </si>
  <si>
    <t>BG-1-finance-type</t>
  </si>
  <si>
    <t>BG-1-flow-type</t>
  </si>
  <si>
    <t>BG-1-sector</t>
  </si>
  <si>
    <t>BG-1-location</t>
  </si>
  <si>
    <t>BG-1-tied-aid-status</t>
  </si>
  <si>
    <t>BG-1-expenditure-actual</t>
  </si>
  <si>
    <t>BG-1-cost-overall</t>
  </si>
  <si>
    <t>BG-1-expenditure-planned</t>
  </si>
  <si>
    <t>BG-1-budget-identifier</t>
  </si>
  <si>
    <t>BG-1-conditions</t>
  </si>
  <si>
    <t>BG-1-impact-appraisals</t>
  </si>
  <si>
    <t>BG-1-results</t>
  </si>
  <si>
    <t>BG-1-budget</t>
  </si>
  <si>
    <t>BG-1-contracts</t>
  </si>
  <si>
    <t>BG-1-evaluations</t>
  </si>
  <si>
    <t>BG-1-mou</t>
  </si>
  <si>
    <t>BG-1-objectives</t>
  </si>
  <si>
    <t>BG-1-tenders</t>
  </si>
  <si>
    <t>BG-1-audit</t>
  </si>
  <si>
    <t>BG-1-total-budget</t>
  </si>
  <si>
    <t>BG-1-disaggregated-budgets</t>
  </si>
  <si>
    <t>BG-1-strategy</t>
  </si>
  <si>
    <t>BG-1-annual-report</t>
  </si>
  <si>
    <t>BG-1-allocation</t>
  </si>
  <si>
    <t>BG-1-procurement-policy</t>
  </si>
  <si>
    <t>BG-1-country-strategy</t>
  </si>
  <si>
    <t>BG-1-foia</t>
  </si>
  <si>
    <t>BG-1-accessibility</t>
  </si>
  <si>
    <t>BG-1-implementation-schedules</t>
  </si>
  <si>
    <t>ES-5-contact-details</t>
  </si>
  <si>
    <t>Spain, MAEC</t>
  </si>
  <si>
    <t>ES-5</t>
  </si>
  <si>
    <t>ES-5-description</t>
  </si>
  <si>
    <t>ES-5-implementer</t>
  </si>
  <si>
    <t>ES-5-dates-planned</t>
  </si>
  <si>
    <t>ES-5-title</t>
  </si>
  <si>
    <t>ES-5-unique-id</t>
  </si>
  <si>
    <t>ES-5-aid-type</t>
  </si>
  <si>
    <t>ES-5-collaboration-type</t>
  </si>
  <si>
    <t>ES-5-flow-type</t>
  </si>
  <si>
    <t>ES-5-sector</t>
  </si>
  <si>
    <t>ES-5-location</t>
  </si>
  <si>
    <t>ES-5-tied-aid-status</t>
  </si>
  <si>
    <t>ES-5-expenditure-actual</t>
  </si>
  <si>
    <t>ES-5-cost-overall</t>
  </si>
  <si>
    <t>ES-5-expenditure-planned</t>
  </si>
  <si>
    <t>ES-5-total-budget</t>
  </si>
  <si>
    <t>ES-5-disaggregated-budgets</t>
  </si>
  <si>
    <t>ES-5-strategy</t>
  </si>
  <si>
    <t>ES-5-annual-report</t>
  </si>
  <si>
    <t>ES-5-allocation</t>
  </si>
  <si>
    <t>ES-5-procurement-policy</t>
  </si>
  <si>
    <t>ES-5-country-strategy</t>
  </si>
  <si>
    <t>ES-5-audit</t>
  </si>
  <si>
    <t>ES-5-dates-actual</t>
  </si>
  <si>
    <t>ES-5-current-status</t>
  </si>
  <si>
    <t>ES-5-finance-type</t>
  </si>
  <si>
    <t>ES-5-budget-identifier</t>
  </si>
  <si>
    <t>ES-5-conditions</t>
  </si>
  <si>
    <t>ES-5-impact-appraisals</t>
  </si>
  <si>
    <t>ES-5-results</t>
  </si>
  <si>
    <t>ES-5-budget</t>
  </si>
  <si>
    <t>ES-5-contracts</t>
  </si>
  <si>
    <t>ES-5-evaluations</t>
  </si>
  <si>
    <t>ES-5-mou</t>
  </si>
  <si>
    <t>ES-5-objectives</t>
  </si>
  <si>
    <t>ES-5-tenders</t>
  </si>
  <si>
    <t>ES-5-foia</t>
  </si>
  <si>
    <t>ES-5-accessibility</t>
  </si>
  <si>
    <t>ES-5-implementation-schedules</t>
  </si>
  <si>
    <t>BE-10-dates-actual</t>
  </si>
  <si>
    <t>Belgium, DGCD</t>
  </si>
  <si>
    <t>BE-10</t>
  </si>
  <si>
    <t>BE-10-contact-details</t>
  </si>
  <si>
    <t>BE-10-current-status</t>
  </si>
  <si>
    <t>BE-10-description</t>
  </si>
  <si>
    <t>BE-10-implementer</t>
  </si>
  <si>
    <t>BE-10-dates-planned</t>
  </si>
  <si>
    <t>BE-10-title</t>
  </si>
  <si>
    <t>BE-10-unique-id</t>
  </si>
  <si>
    <t>BE-10-aid-type</t>
  </si>
  <si>
    <t>BE-10-collaboration-type</t>
  </si>
  <si>
    <t>BE-10-finance-type</t>
  </si>
  <si>
    <t>BE-10-flow-type</t>
  </si>
  <si>
    <t>BE-10-sector</t>
  </si>
  <si>
    <t>BE-10-location</t>
  </si>
  <si>
    <t>BE-10-tied-aid-status</t>
  </si>
  <si>
    <t>BE-10-expenditure-actual</t>
  </si>
  <si>
    <t>BE-10-cost-overall</t>
  </si>
  <si>
    <t>BE-10-expenditure-planned</t>
  </si>
  <si>
    <t>BE-10-budget-identifier</t>
  </si>
  <si>
    <t>BE-10-conditions</t>
  </si>
  <si>
    <t>BE-10-impact-appraisals</t>
  </si>
  <si>
    <t>BE-10-results</t>
  </si>
  <si>
    <t>BE-10-budget</t>
  </si>
  <si>
    <t>BE-10-contracts</t>
  </si>
  <si>
    <t>BE-10-evaluations</t>
  </si>
  <si>
    <t>BE-10-mou</t>
  </si>
  <si>
    <t>BE-10-objectives</t>
  </si>
  <si>
    <t>BE-10-tenders</t>
  </si>
  <si>
    <t>BE-10-audit</t>
  </si>
  <si>
    <t>BE-10-total-budget</t>
  </si>
  <si>
    <t>BE-10-disaggregated-budgets</t>
  </si>
  <si>
    <t>BE-10-strategy</t>
  </si>
  <si>
    <t>BE-10-annual-report</t>
  </si>
  <si>
    <t>BE-10-allocation</t>
  </si>
  <si>
    <t>BE-10-procurement-policy</t>
  </si>
  <si>
    <t>BE-10-country-strategy</t>
  </si>
  <si>
    <t>BE-10-foia</t>
  </si>
  <si>
    <t>BE-10-accessibility</t>
  </si>
  <si>
    <t>BE-10-implementation-schedules</t>
  </si>
  <si>
    <t>CY-1-dates-actual</t>
  </si>
  <si>
    <t>Cyprus, CyprusAid</t>
  </si>
  <si>
    <t>CY-1</t>
  </si>
  <si>
    <t>CY-1-contact-details</t>
  </si>
  <si>
    <t>CY-1-current-status</t>
  </si>
  <si>
    <t>CY-1-description</t>
  </si>
  <si>
    <t>CY-1-implementer</t>
  </si>
  <si>
    <t>CY-1-dates-planned</t>
  </si>
  <si>
    <t>CY-1-title</t>
  </si>
  <si>
    <t>CY-1-unique-id</t>
  </si>
  <si>
    <t>CY-1-aid-type</t>
  </si>
  <si>
    <t>CY-1-collaboration-type</t>
  </si>
  <si>
    <t>CY-1-finance-type</t>
  </si>
  <si>
    <t>CY-1-flow-type</t>
  </si>
  <si>
    <t>CY-1-sector</t>
  </si>
  <si>
    <t>CY-1-location</t>
  </si>
  <si>
    <t>CY-1-tied-aid-status</t>
  </si>
  <si>
    <t>CY-1-expenditure-actual</t>
  </si>
  <si>
    <t>CY-1-cost-overall</t>
  </si>
  <si>
    <t>CY-1-expenditure-planned</t>
  </si>
  <si>
    <t>CY-1-budget-identifier</t>
  </si>
  <si>
    <t>CY-1-conditions</t>
  </si>
  <si>
    <t>CY-1-impact-appraisals</t>
  </si>
  <si>
    <t>CY-1-results</t>
  </si>
  <si>
    <t>CY-1-budget</t>
  </si>
  <si>
    <t>CY-1-contracts</t>
  </si>
  <si>
    <t>CY-1-evaluations</t>
  </si>
  <si>
    <t>CY-1-mou</t>
  </si>
  <si>
    <t>CY-1-objectives</t>
  </si>
  <si>
    <t>CY-1-tenders</t>
  </si>
  <si>
    <t>CY-1-audit</t>
  </si>
  <si>
    <t>CY-1-total-budget</t>
  </si>
  <si>
    <t>CY-1-disaggregated-budgets</t>
  </si>
  <si>
    <t>CY-1-strategy</t>
  </si>
  <si>
    <t>CY-1-annual-report</t>
  </si>
  <si>
    <t>CY-1-allocation</t>
  </si>
  <si>
    <t>CY-1-procurement-policy</t>
  </si>
  <si>
    <t>CY-1-country-strategy</t>
  </si>
  <si>
    <t>CY-1-foia</t>
  </si>
  <si>
    <t>CY-1-accessibility</t>
  </si>
  <si>
    <t>CY-1-implementation-schedules</t>
  </si>
  <si>
    <t>LT-1-dates-actual</t>
  </si>
  <si>
    <t>Lithuania, MFA</t>
  </si>
  <si>
    <t>LT-1</t>
  </si>
  <si>
    <t>LT-1-contact-details</t>
  </si>
  <si>
    <t>LT-1-current-status</t>
  </si>
  <si>
    <t>LT-1-description</t>
  </si>
  <si>
    <t>LT-1-implementer</t>
  </si>
  <si>
    <t>LT-1-dates-planned</t>
  </si>
  <si>
    <t>LT-1-title</t>
  </si>
  <si>
    <t>LT-1-unique-id</t>
  </si>
  <si>
    <t>LT-1-aid-type</t>
  </si>
  <si>
    <t>LT-1-collaboration-type</t>
  </si>
  <si>
    <t>LT-1-finance-type</t>
  </si>
  <si>
    <t>LT-1-flow-type</t>
  </si>
  <si>
    <t>LT-1-sector</t>
  </si>
  <si>
    <t>LT-1-location</t>
  </si>
  <si>
    <t>LT-1-tied-aid-status</t>
  </si>
  <si>
    <t>LT-1-expenditure-actual</t>
  </si>
  <si>
    <t>LT-1-cost-overall</t>
  </si>
  <si>
    <t>LT-1-expenditure-planned</t>
  </si>
  <si>
    <t>LT-1-budget-identifier</t>
  </si>
  <si>
    <t>LT-1-conditions</t>
  </si>
  <si>
    <t>LT-1-impact-appraisals</t>
  </si>
  <si>
    <t>LT-1-results</t>
  </si>
  <si>
    <t>LT-1-budget</t>
  </si>
  <si>
    <t>LT-1-contracts</t>
  </si>
  <si>
    <t>LT-1-evaluations</t>
  </si>
  <si>
    <t>LT-1-mou</t>
  </si>
  <si>
    <t>LT-1-objectives</t>
  </si>
  <si>
    <t>LT-1-tenders</t>
  </si>
  <si>
    <t>LT-1-audit</t>
  </si>
  <si>
    <t>LT-1-total-budget</t>
  </si>
  <si>
    <t>LT-1-disaggregated-budgets</t>
  </si>
  <si>
    <t>LT-1-strategy</t>
  </si>
  <si>
    <t>LT-1-annual-report</t>
  </si>
  <si>
    <t>LT-1-allocation</t>
  </si>
  <si>
    <t>LT-1-procurement-policy</t>
  </si>
  <si>
    <t>LT-1-country-strategy</t>
  </si>
  <si>
    <t>LT-1-foia</t>
  </si>
  <si>
    <t>LT-1-accessibility</t>
  </si>
  <si>
    <t>LT-1-implementation-schedules</t>
  </si>
  <si>
    <t>US-14-contact-details</t>
  </si>
  <si>
    <t>U.S., PEPFAR</t>
  </si>
  <si>
    <t>US-14</t>
  </si>
  <si>
    <t>US-14-current-status</t>
  </si>
  <si>
    <t>US-14-description</t>
  </si>
  <si>
    <t>US-14-implementer</t>
  </si>
  <si>
    <t>US-14-dates-planned</t>
  </si>
  <si>
    <t>US-14-title</t>
  </si>
  <si>
    <t>US-14-unique-id</t>
  </si>
  <si>
    <t>US-14-aid-type</t>
  </si>
  <si>
    <t>US-14-collaboration-type</t>
  </si>
  <si>
    <t>US-14-finance-type</t>
  </si>
  <si>
    <t>US-14-flow-type</t>
  </si>
  <si>
    <t>US-14-sector</t>
  </si>
  <si>
    <t>US-14-location</t>
  </si>
  <si>
    <t>US-14-tied-aid-status</t>
  </si>
  <si>
    <t>US-14-cost-overall</t>
  </si>
  <si>
    <t>US-14-budget-identifier</t>
  </si>
  <si>
    <t>US-14-audit</t>
  </si>
  <si>
    <t>US-14-total-budget</t>
  </si>
  <si>
    <t>US-14-disaggregated-budgets</t>
  </si>
  <si>
    <t>US-14-strategy</t>
  </si>
  <si>
    <t>US-14-dates-actual</t>
  </si>
  <si>
    <t>US-14-allocation</t>
  </si>
  <si>
    <t>US-14-procurement-policy</t>
  </si>
  <si>
    <t>US-14-country-strategy</t>
  </si>
  <si>
    <t>US-14-annual-report</t>
  </si>
  <si>
    <t>US-14-expenditure-actual</t>
  </si>
  <si>
    <t>US-14-expenditure-planned</t>
  </si>
  <si>
    <t>US-14-conditions</t>
  </si>
  <si>
    <t>US-14-impact-appraisals</t>
  </si>
  <si>
    <t>US-14-results</t>
  </si>
  <si>
    <t>US-14-budget</t>
  </si>
  <si>
    <t>US-14-contracts</t>
  </si>
  <si>
    <t>US-14-evaluations</t>
  </si>
  <si>
    <t>US-14-mou</t>
  </si>
  <si>
    <t>US-14-objectives</t>
  </si>
  <si>
    <t>US-14-tenders</t>
  </si>
  <si>
    <t>US-14-foia</t>
  </si>
  <si>
    <t>US-14-accessibility</t>
  </si>
  <si>
    <t>US-14-implementation-schedules</t>
  </si>
  <si>
    <t>41122-dates-actual</t>
  </si>
  <si>
    <t>UNICEF</t>
  </si>
  <si>
    <t>41122-contact-details</t>
  </si>
  <si>
    <t>41122-current-status</t>
  </si>
  <si>
    <t>41122-description</t>
  </si>
  <si>
    <t>41122-title</t>
  </si>
  <si>
    <t>41122-unique-id</t>
  </si>
  <si>
    <t>41122-aid-type</t>
  </si>
  <si>
    <t>41122-collaboration-type</t>
  </si>
  <si>
    <t>41122-finance-type</t>
  </si>
  <si>
    <t>41122-flow-type</t>
  </si>
  <si>
    <t>41122-sector</t>
  </si>
  <si>
    <t>41122-location</t>
  </si>
  <si>
    <t>41122-tied-aid-status</t>
  </si>
  <si>
    <t>41122-expenditure-actual</t>
  </si>
  <si>
    <t>41122-cost-overall</t>
  </si>
  <si>
    <t>41122-expenditure-planned</t>
  </si>
  <si>
    <t>41122-conditions</t>
  </si>
  <si>
    <t>41122-results</t>
  </si>
  <si>
    <t>41122-objectives</t>
  </si>
  <si>
    <t>41122-audit</t>
  </si>
  <si>
    <t>41122-total-budget</t>
  </si>
  <si>
    <t>41122-disaggregated-budgets</t>
  </si>
  <si>
    <t>41122-strategy</t>
  </si>
  <si>
    <t>41122-annual-report</t>
  </si>
  <si>
    <t>41122-allocation</t>
  </si>
  <si>
    <t>41122-procurement-policy</t>
  </si>
  <si>
    <t>41122-country-strategy</t>
  </si>
  <si>
    <t>41122-implementer</t>
  </si>
  <si>
    <t>41122-dates-planned</t>
  </si>
  <si>
    <t>41122-budget-identifier</t>
  </si>
  <si>
    <t>41122-impact-appraisals</t>
  </si>
  <si>
    <t>41122-budget</t>
  </si>
  <si>
    <t>41122-contracts</t>
  </si>
  <si>
    <t>41122-evaluations</t>
  </si>
  <si>
    <t>41122-mou</t>
  </si>
  <si>
    <t>41122-tenders</t>
  </si>
  <si>
    <t>41122-foia</t>
  </si>
  <si>
    <t>41122-accessibility</t>
  </si>
  <si>
    <t>41122-implementation-schedules</t>
  </si>
  <si>
    <t>FR-3-dates-actual</t>
  </si>
  <si>
    <t>France, AFD</t>
  </si>
  <si>
    <t>FR-3</t>
  </si>
  <si>
    <t>FR-3-contact-details</t>
  </si>
  <si>
    <t>FR-3-current-status</t>
  </si>
  <si>
    <t>FR-3-description</t>
  </si>
  <si>
    <t>FR-3-implementer</t>
  </si>
  <si>
    <t>FR-3-dates-planned</t>
  </si>
  <si>
    <t>FR-3-title</t>
  </si>
  <si>
    <t>FR-3-unique-id</t>
  </si>
  <si>
    <t>FR-3-aid-type</t>
  </si>
  <si>
    <t>FR-3-collaboration-type</t>
  </si>
  <si>
    <t>FR-3-finance-type</t>
  </si>
  <si>
    <t>FR-3-flow-type</t>
  </si>
  <si>
    <t>FR-3-sector</t>
  </si>
  <si>
    <t>FR-3-location</t>
  </si>
  <si>
    <t>FR-3-tied-aid-status</t>
  </si>
  <si>
    <t>FR-3-expenditure-actual</t>
  </si>
  <si>
    <t>FR-3-cost-overall</t>
  </si>
  <si>
    <t>FR-3-expenditure-planned</t>
  </si>
  <si>
    <t>FR-3-budget-identifier</t>
  </si>
  <si>
    <t>FR-3-conditions</t>
  </si>
  <si>
    <t>FR-3-impact-appraisals</t>
  </si>
  <si>
    <t>FR-3-results</t>
  </si>
  <si>
    <t>FR-3-budget</t>
  </si>
  <si>
    <t>FR-3-contracts</t>
  </si>
  <si>
    <t>FR-3-evaluations</t>
  </si>
  <si>
    <t>FR-3-mou</t>
  </si>
  <si>
    <t>FR-3-objectives</t>
  </si>
  <si>
    <t>FR-3-tenders</t>
  </si>
  <si>
    <t>FR-3-audit</t>
  </si>
  <si>
    <t>FR-3-total-budget</t>
  </si>
  <si>
    <t>FR-3-disaggregated-budgets</t>
  </si>
  <si>
    <t>FR-3-strategy</t>
  </si>
  <si>
    <t>FR-3-annual-report</t>
  </si>
  <si>
    <t>FR-3-allocation</t>
  </si>
  <si>
    <t>FR-3-procurement-policy</t>
  </si>
  <si>
    <t>FR-3-country-strategy</t>
  </si>
  <si>
    <t>FR-3-foia</t>
  </si>
  <si>
    <t>FR-3-accessibility</t>
  </si>
  <si>
    <t>FR-3-implementation-schedules</t>
  </si>
  <si>
    <t>GB-6-dates-actual</t>
  </si>
  <si>
    <t>UK, MOD</t>
  </si>
  <si>
    <t>GB-6</t>
  </si>
  <si>
    <t>GB-6-contact-details</t>
  </si>
  <si>
    <t>GB-6-current-status</t>
  </si>
  <si>
    <t>GB-6-description</t>
  </si>
  <si>
    <t>GB-6-implementer</t>
  </si>
  <si>
    <t>GB-6-dates-planned</t>
  </si>
  <si>
    <t>GB-6-title</t>
  </si>
  <si>
    <t>GB-6-unique-id</t>
  </si>
  <si>
    <t>GB-6-aid-type</t>
  </si>
  <si>
    <t>GB-6-collaboration-type</t>
  </si>
  <si>
    <t>GB-6-finance-type</t>
  </si>
  <si>
    <t>GB-6-flow-type</t>
  </si>
  <si>
    <t>GB-6-sector</t>
  </si>
  <si>
    <t>GB-6-location</t>
  </si>
  <si>
    <t>GB-6-tied-aid-status</t>
  </si>
  <si>
    <t>GB-6-expenditure-actual</t>
  </si>
  <si>
    <t>GB-6-cost-overall</t>
  </si>
  <si>
    <t>GB-6-expenditure-planned</t>
  </si>
  <si>
    <t>GB-6-budget-identifier</t>
  </si>
  <si>
    <t>GB-6-conditions</t>
  </si>
  <si>
    <t>GB-6-impact-appraisals</t>
  </si>
  <si>
    <t>GB-6-results</t>
  </si>
  <si>
    <t>GB-6-budget</t>
  </si>
  <si>
    <t>GB-6-contracts</t>
  </si>
  <si>
    <t>GB-6-evaluations</t>
  </si>
  <si>
    <t>GB-6-mou</t>
  </si>
  <si>
    <t>GB-6-objectives</t>
  </si>
  <si>
    <t>GB-6-tenders</t>
  </si>
  <si>
    <t>GB-6-audit</t>
  </si>
  <si>
    <t>GB-6-total-budget</t>
  </si>
  <si>
    <t>GB-6-disaggregated-budgets</t>
  </si>
  <si>
    <t>GB-6-strategy</t>
  </si>
  <si>
    <t>GB-6-annual-report</t>
  </si>
  <si>
    <t>GB-6-allocation</t>
  </si>
  <si>
    <t>GB-6-procurement-policy</t>
  </si>
  <si>
    <t>GB-6-country-strategy</t>
  </si>
  <si>
    <t>GB-6-foia</t>
  </si>
  <si>
    <t>GB-6-accessibility</t>
  </si>
  <si>
    <t>GB-6-implementation-schedules</t>
  </si>
  <si>
    <t>EU-6-dates-actual</t>
  </si>
  <si>
    <t>EC, FPI</t>
  </si>
  <si>
    <t>EU-6</t>
  </si>
  <si>
    <t>EU-6-contact-details</t>
  </si>
  <si>
    <t>EU-6-current-status</t>
  </si>
  <si>
    <t>EU-6-description</t>
  </si>
  <si>
    <t>EU-6-implementer</t>
  </si>
  <si>
    <t>EU-6-dates-planned</t>
  </si>
  <si>
    <t>EU-6-title</t>
  </si>
  <si>
    <t>EU-6-unique-id</t>
  </si>
  <si>
    <t>EU-6-aid-type</t>
  </si>
  <si>
    <t>EU-6-collaboration-type</t>
  </si>
  <si>
    <t>EU-6-finance-type</t>
  </si>
  <si>
    <t>EU-6-flow-type</t>
  </si>
  <si>
    <t>EU-6-sector</t>
  </si>
  <si>
    <t>EU-6-location</t>
  </si>
  <si>
    <t>EU-6-tied-aid-status</t>
  </si>
  <si>
    <t>EU-6-expenditure-actual</t>
  </si>
  <si>
    <t>EU-6-cost-overall</t>
  </si>
  <si>
    <t>EU-6-expenditure-planned</t>
  </si>
  <si>
    <t>EU-6-audit</t>
  </si>
  <si>
    <t>EU-6-total-budget</t>
  </si>
  <si>
    <t>EU-6-disaggregated-budgets</t>
  </si>
  <si>
    <t>EU-6-strategy</t>
  </si>
  <si>
    <t>EU-6-annual-report</t>
  </si>
  <si>
    <t>EU-6-allocation</t>
  </si>
  <si>
    <t>EU-6-procurement-policy</t>
  </si>
  <si>
    <t>EU-6-country-strategy</t>
  </si>
  <si>
    <t>EU-6-budget-identifier</t>
  </si>
  <si>
    <t>EU-6-conditions</t>
  </si>
  <si>
    <t>EU-6-impact-appraisals</t>
  </si>
  <si>
    <t>EU-6-results</t>
  </si>
  <si>
    <t>EU-6-budget</t>
  </si>
  <si>
    <t>EU-6-contracts</t>
  </si>
  <si>
    <t>EU-6-evaluations</t>
  </si>
  <si>
    <t>EU-6-mou</t>
  </si>
  <si>
    <t>EU-6-objectives</t>
  </si>
  <si>
    <t>EU-6-tenders</t>
  </si>
  <si>
    <t>EU-6-foia</t>
  </si>
  <si>
    <t>EU-6-accessibility</t>
  </si>
  <si>
    <t>EU-6-implementation-schedules</t>
  </si>
  <si>
    <t>MT-1-dates-actual</t>
  </si>
  <si>
    <t>Malta, MFA</t>
  </si>
  <si>
    <t>MT-1</t>
  </si>
  <si>
    <t>MT-1-contact-details</t>
  </si>
  <si>
    <t>MT-1-current-status</t>
  </si>
  <si>
    <t>MT-1-description</t>
  </si>
  <si>
    <t>MT-1-implementer</t>
  </si>
  <si>
    <t>MT-1-dates-planned</t>
  </si>
  <si>
    <t>MT-1-title</t>
  </si>
  <si>
    <t>MT-1-unique-id</t>
  </si>
  <si>
    <t>MT-1-aid-type</t>
  </si>
  <si>
    <t>MT-1-collaboration-type</t>
  </si>
  <si>
    <t>MT-1-finance-type</t>
  </si>
  <si>
    <t>MT-1-flow-type</t>
  </si>
  <si>
    <t>MT-1-sector</t>
  </si>
  <si>
    <t>MT-1-location</t>
  </si>
  <si>
    <t>MT-1-tied-aid-status</t>
  </si>
  <si>
    <t>MT-1-expenditure-actual</t>
  </si>
  <si>
    <t>MT-1-cost-overall</t>
  </si>
  <si>
    <t>MT-1-expenditure-planned</t>
  </si>
  <si>
    <t>MT-1-budget-identifier</t>
  </si>
  <si>
    <t>MT-1-conditions</t>
  </si>
  <si>
    <t>MT-1-impact-appraisals</t>
  </si>
  <si>
    <t>MT-1-results</t>
  </si>
  <si>
    <t>MT-1-budget</t>
  </si>
  <si>
    <t>MT-1-contracts</t>
  </si>
  <si>
    <t>MT-1-evaluations</t>
  </si>
  <si>
    <t>MT-1-mou</t>
  </si>
  <si>
    <t>MT-1-objectives</t>
  </si>
  <si>
    <t>MT-1-tenders</t>
  </si>
  <si>
    <t>MT-1-audit</t>
  </si>
  <si>
    <t>MT-1-total-budget</t>
  </si>
  <si>
    <t>MT-1-disaggregated-budgets</t>
  </si>
  <si>
    <t>MT-1-strategy</t>
  </si>
  <si>
    <t>MT-1-annual-report</t>
  </si>
  <si>
    <t>MT-1-allocation</t>
  </si>
  <si>
    <t>MT-1-procurement-policy</t>
  </si>
  <si>
    <t>MT-1-country-strategy</t>
  </si>
  <si>
    <t>MT-1-foia</t>
  </si>
  <si>
    <t>MT-1-accessibility</t>
  </si>
  <si>
    <t>MT-1-implementation-schedules</t>
  </si>
  <si>
    <t>AU-5-total-budget</t>
  </si>
  <si>
    <t>Australia, DFAT</t>
  </si>
  <si>
    <t>AU-5</t>
  </si>
  <si>
    <t>AU-5-strategy</t>
  </si>
  <si>
    <t>AU-5-dates-actual</t>
  </si>
  <si>
    <t>AU-5-contact-details</t>
  </si>
  <si>
    <t>AU-5-current-status</t>
  </si>
  <si>
    <t>AU-5-description</t>
  </si>
  <si>
    <t>AU-5-dates-planned</t>
  </si>
  <si>
    <t>AU-5-title</t>
  </si>
  <si>
    <t>AU-5-unique-id</t>
  </si>
  <si>
    <t>AU-5-aid-type</t>
  </si>
  <si>
    <t>AU-5-finance-type</t>
  </si>
  <si>
    <t>AU-5-flow-type</t>
  </si>
  <si>
    <t>AU-5-sector</t>
  </si>
  <si>
    <t>AU-5-expenditure-actual</t>
  </si>
  <si>
    <t>AU-5-annual-report</t>
  </si>
  <si>
    <t>AU-5-procurement-policy</t>
  </si>
  <si>
    <t>AU-5-allocation</t>
  </si>
  <si>
    <t>AU-5-audit</t>
  </si>
  <si>
    <t>AU-5-disaggregated-budgets</t>
  </si>
  <si>
    <t>AU-5-country-strategy</t>
  </si>
  <si>
    <t>AU-5-implementer</t>
  </si>
  <si>
    <t>AU-5-collaboration-type</t>
  </si>
  <si>
    <t>AU-5-location</t>
  </si>
  <si>
    <t>AU-5-tied-aid-status</t>
  </si>
  <si>
    <t>AU-5-cost-overall</t>
  </si>
  <si>
    <t>AU-5-expenditure-planned</t>
  </si>
  <si>
    <t>AU-5-budget-identifier</t>
  </si>
  <si>
    <t>AU-5-conditions</t>
  </si>
  <si>
    <t>AU-5-impact-appraisals</t>
  </si>
  <si>
    <t>AU-5-results</t>
  </si>
  <si>
    <t>AU-5-budget</t>
  </si>
  <si>
    <t>AU-5-contracts</t>
  </si>
  <si>
    <t>AU-5-evaluations</t>
  </si>
  <si>
    <t>AU-5-mou</t>
  </si>
  <si>
    <t>AU-5-objectives</t>
  </si>
  <si>
    <t>AU-5-tenders</t>
  </si>
  <si>
    <t>AU-5-foia</t>
  </si>
  <si>
    <t>AU-5-accessibility</t>
  </si>
  <si>
    <t>AU-5-implementation-schedules</t>
  </si>
  <si>
    <t>IT-4-dates-actual</t>
  </si>
  <si>
    <t>Italy, MAE</t>
  </si>
  <si>
    <t>IT-4</t>
  </si>
  <si>
    <t>IT-4-contact-details</t>
  </si>
  <si>
    <t>IT-4-current-status</t>
  </si>
  <si>
    <t>IT-4-description</t>
  </si>
  <si>
    <t>IT-4-implementer</t>
  </si>
  <si>
    <t>IT-4-dates-planned</t>
  </si>
  <si>
    <t>IT-4-title</t>
  </si>
  <si>
    <t>IT-4-unique-id</t>
  </si>
  <si>
    <t>IT-4-aid-type</t>
  </si>
  <si>
    <t>IT-4-collaboration-type</t>
  </si>
  <si>
    <t>IT-4-finance-type</t>
  </si>
  <si>
    <t>IT-4-flow-type</t>
  </si>
  <si>
    <t>IT-4-sector</t>
  </si>
  <si>
    <t>IT-4-location</t>
  </si>
  <si>
    <t>IT-4-tied-aid-status</t>
  </si>
  <si>
    <t>IT-4-expenditure-actual</t>
  </si>
  <si>
    <t>IT-4-cost-overall</t>
  </si>
  <si>
    <t>IT-4-expenditure-planned</t>
  </si>
  <si>
    <t>IT-4-budget-identifier</t>
  </si>
  <si>
    <t>IT-4-conditions</t>
  </si>
  <si>
    <t>IT-4-impact-appraisals</t>
  </si>
  <si>
    <t>IT-4-results</t>
  </si>
  <si>
    <t>IT-4-budget</t>
  </si>
  <si>
    <t>IT-4-contracts</t>
  </si>
  <si>
    <t>IT-4-evaluations</t>
  </si>
  <si>
    <t>IT-4-mou</t>
  </si>
  <si>
    <t>IT-4-objectives</t>
  </si>
  <si>
    <t>IT-4-tenders</t>
  </si>
  <si>
    <t>IT-4-audit</t>
  </si>
  <si>
    <t>IT-4-total-budget</t>
  </si>
  <si>
    <t>IT-4-disaggregated-budgets</t>
  </si>
  <si>
    <t>IT-4-strategy</t>
  </si>
  <si>
    <t>IT-4-annual-report</t>
  </si>
  <si>
    <t>IT-4-allocation</t>
  </si>
  <si>
    <t>IT-4-procurement-policy</t>
  </si>
  <si>
    <t>IT-4-country-strategy</t>
  </si>
  <si>
    <t>IT-4-foia</t>
  </si>
  <si>
    <t>IT-4-accessibility</t>
  </si>
  <si>
    <t>IT-4-implementation-schedules</t>
  </si>
  <si>
    <t>46004-dates-actual</t>
  </si>
  <si>
    <t>AsDB</t>
  </si>
  <si>
    <t>46004-contact-details</t>
  </si>
  <si>
    <t>46004-current-status</t>
  </si>
  <si>
    <t>46004-description</t>
  </si>
  <si>
    <t>46004-implementer</t>
  </si>
  <si>
    <t>46004-dates-planned</t>
  </si>
  <si>
    <t>46004-title</t>
  </si>
  <si>
    <t>46004-unique-id</t>
  </si>
  <si>
    <t>46004-aid-type</t>
  </si>
  <si>
    <t>46004-collaboration-type</t>
  </si>
  <si>
    <t>46004-finance-type</t>
  </si>
  <si>
    <t>46004-flow-type</t>
  </si>
  <si>
    <t>46004-sector</t>
  </si>
  <si>
    <t>46004-location</t>
  </si>
  <si>
    <t>46004-tied-aid-status</t>
  </si>
  <si>
    <t>46004-expenditure-actual</t>
  </si>
  <si>
    <t>46004-expenditure-planned</t>
  </si>
  <si>
    <t>46004-conditions</t>
  </si>
  <si>
    <t>46004-impact-appraisals</t>
  </si>
  <si>
    <t>46004-results</t>
  </si>
  <si>
    <t>46004-budget</t>
  </si>
  <si>
    <t>46004-evaluations</t>
  </si>
  <si>
    <t>46004-mou</t>
  </si>
  <si>
    <t>46004-objectives</t>
  </si>
  <si>
    <t>46004-audit</t>
  </si>
  <si>
    <t>46004-total-budget</t>
  </si>
  <si>
    <t>46004-disaggregated-budgets</t>
  </si>
  <si>
    <t>46004-strategy</t>
  </si>
  <si>
    <t>46004-annual-report</t>
  </si>
  <si>
    <t>46004-allocation</t>
  </si>
  <si>
    <t>46004-procurement-policy</t>
  </si>
  <si>
    <t>46004-country-strategy</t>
  </si>
  <si>
    <t>46004-contracts</t>
  </si>
  <si>
    <t>46004-cost-overall</t>
  </si>
  <si>
    <t>46004-budget-identifier</t>
  </si>
  <si>
    <t>46004-tenders</t>
  </si>
  <si>
    <t>46004-foia</t>
  </si>
  <si>
    <t>46004-accessibility</t>
  </si>
  <si>
    <t>46004-implementation-schedules</t>
  </si>
  <si>
    <t>DE-1-dates-actual</t>
  </si>
  <si>
    <t>Germany, BMZ-GIZ</t>
  </si>
  <si>
    <t>DE-1</t>
  </si>
  <si>
    <t>DE-1-contact-details</t>
  </si>
  <si>
    <t>DE-1-current-status</t>
  </si>
  <si>
    <t>DE-1-description</t>
  </si>
  <si>
    <t>DE-1-implementer</t>
  </si>
  <si>
    <t>DE-1-dates-planned</t>
  </si>
  <si>
    <t>DE-1-title</t>
  </si>
  <si>
    <t>DE-1-unique-id</t>
  </si>
  <si>
    <t>DE-1-aid-type</t>
  </si>
  <si>
    <t>DE-1-collaboration-type</t>
  </si>
  <si>
    <t>DE-1-finance-type</t>
  </si>
  <si>
    <t>DE-1-flow-type</t>
  </si>
  <si>
    <t>DE-1-sector</t>
  </si>
  <si>
    <t>DE-1-expenditure-actual</t>
  </si>
  <si>
    <t>DE-1-expenditure-planned</t>
  </si>
  <si>
    <t>DE-1-conditions</t>
  </si>
  <si>
    <t>DE-1-audit</t>
  </si>
  <si>
    <t>DE-1-total-budget</t>
  </si>
  <si>
    <t>DE-1-disaggregated-budgets</t>
  </si>
  <si>
    <t>DE-1-strategy</t>
  </si>
  <si>
    <t>DE-1-annual-report</t>
  </si>
  <si>
    <t>DE-1-allocation</t>
  </si>
  <si>
    <t>DE-1-procurement-policy</t>
  </si>
  <si>
    <t>DE-1-country-strategy</t>
  </si>
  <si>
    <t>DE-1-location</t>
  </si>
  <si>
    <t>DE-1-tied-aid-status</t>
  </si>
  <si>
    <t>DE-1-cost-overall</t>
  </si>
  <si>
    <t>DE-1-budget-identifier</t>
  </si>
  <si>
    <t>DE-1-impact-appraisals</t>
  </si>
  <si>
    <t>DE-1-results</t>
  </si>
  <si>
    <t>DE-1-budget</t>
  </si>
  <si>
    <t>DE-1-contracts</t>
  </si>
  <si>
    <t>DE-1-evaluations</t>
  </si>
  <si>
    <t>DE-1-mou</t>
  </si>
  <si>
    <t>DE-1-objectives</t>
  </si>
  <si>
    <t>DE-1-tenders</t>
  </si>
  <si>
    <t>DE-1-foia</t>
  </si>
  <si>
    <t>DE-1-accessibility</t>
  </si>
  <si>
    <t>DE-1-implementation-schedules</t>
  </si>
  <si>
    <t>DE-2-dates-actual</t>
  </si>
  <si>
    <t>Germany, BMZ-KFW</t>
  </si>
  <si>
    <t>DE-2</t>
  </si>
  <si>
    <t>DE-2-contact-details</t>
  </si>
  <si>
    <t>DE-2-current-status</t>
  </si>
  <si>
    <t>DE-2-description</t>
  </si>
  <si>
    <t>DE-2-implementer</t>
  </si>
  <si>
    <t>DE-2-dates-planned</t>
  </si>
  <si>
    <t>DE-2-title</t>
  </si>
  <si>
    <t>DE-2-unique-id</t>
  </si>
  <si>
    <t>DE-2-aid-type</t>
  </si>
  <si>
    <t>DE-2-collaboration-type</t>
  </si>
  <si>
    <t>DE-2-finance-type</t>
  </si>
  <si>
    <t>DE-2-flow-type</t>
  </si>
  <si>
    <t>DE-2-sector</t>
  </si>
  <si>
    <t>DE-2-expenditure-actual</t>
  </si>
  <si>
    <t>DE-2-expenditure-planned</t>
  </si>
  <si>
    <t>DE-2-conditions</t>
  </si>
  <si>
    <t>DE-2-audit</t>
  </si>
  <si>
    <t>DE-2-total-budget</t>
  </si>
  <si>
    <t>DE-2-disaggregated-budgets</t>
  </si>
  <si>
    <t>DE-2-strategy</t>
  </si>
  <si>
    <t>DE-2-annual-report</t>
  </si>
  <si>
    <t>DE-2-allocation</t>
  </si>
  <si>
    <t>DE-2-procurement-policy</t>
  </si>
  <si>
    <t>DE-2-country-strategy</t>
  </si>
  <si>
    <t>DE-2-location</t>
  </si>
  <si>
    <t>DE-2-tied-aid-status</t>
  </si>
  <si>
    <t>DE-2-cost-overall</t>
  </si>
  <si>
    <t>DE-2-budget-identifier</t>
  </si>
  <si>
    <t>DE-2-impact-appraisals</t>
  </si>
  <si>
    <t>DE-2-results</t>
  </si>
  <si>
    <t>DE-2-budget</t>
  </si>
  <si>
    <t>DE-2-contracts</t>
  </si>
  <si>
    <t>DE-2-evaluations</t>
  </si>
  <si>
    <t>DE-2-mou</t>
  </si>
  <si>
    <t>DE-2-objectives</t>
  </si>
  <si>
    <t>DE-2-tenders</t>
  </si>
  <si>
    <t>DE-2-foia</t>
  </si>
  <si>
    <t>DE-2-accessibility</t>
  </si>
  <si>
    <t>DE-2-implementation-schedules</t>
  </si>
  <si>
    <t>44004-dates-actual</t>
  </si>
  <si>
    <t>World Bank, IFC</t>
  </si>
  <si>
    <t>44004-contact-details</t>
  </si>
  <si>
    <t>44004-current-status</t>
  </si>
  <si>
    <t>44004-description</t>
  </si>
  <si>
    <t>44004-implementer</t>
  </si>
  <si>
    <t>44004-dates-planned</t>
  </si>
  <si>
    <t>44004-title</t>
  </si>
  <si>
    <t>44004-unique-id</t>
  </si>
  <si>
    <t>44004-aid-type</t>
  </si>
  <si>
    <t>44004-collaboration-type</t>
  </si>
  <si>
    <t>44004-finance-type</t>
  </si>
  <si>
    <t>44004-flow-type</t>
  </si>
  <si>
    <t>44004-sector</t>
  </si>
  <si>
    <t>44004-location</t>
  </si>
  <si>
    <t>44004-tied-aid-status</t>
  </si>
  <si>
    <t>44004-expenditure-actual</t>
  </si>
  <si>
    <t>44004-cost-overall</t>
  </si>
  <si>
    <t>44004-expenditure-planned</t>
  </si>
  <si>
    <t>44004-budget-identifier</t>
  </si>
  <si>
    <t>44004-conditions</t>
  </si>
  <si>
    <t>44004-impact-appraisals</t>
  </si>
  <si>
    <t>44004-results</t>
  </si>
  <si>
    <t>44004-budget</t>
  </si>
  <si>
    <t>44004-contracts</t>
  </si>
  <si>
    <t>44004-evaluations</t>
  </si>
  <si>
    <t>44004-mou</t>
  </si>
  <si>
    <t>44004-objectives</t>
  </si>
  <si>
    <t>44004-tenders</t>
  </si>
  <si>
    <t>44004-audit</t>
  </si>
  <si>
    <t>44004-total-budget</t>
  </si>
  <si>
    <t>44004-disaggregated-budgets</t>
  </si>
  <si>
    <t>44004-strategy</t>
  </si>
  <si>
    <t>44004-annual-report</t>
  </si>
  <si>
    <t>44004-allocation</t>
  </si>
  <si>
    <t>44004-procurement-policy</t>
  </si>
  <si>
    <t>44004-country-strategy</t>
  </si>
  <si>
    <t>44004-foia</t>
  </si>
  <si>
    <t>44004-accessibility</t>
  </si>
  <si>
    <t>44004-implementation-schedules</t>
  </si>
  <si>
    <t>GB-1-dates-actual</t>
  </si>
  <si>
    <t>UK, DFID</t>
  </si>
  <si>
    <t>GB-1</t>
  </si>
  <si>
    <t>GB-1-contact-details</t>
  </si>
  <si>
    <t>GB-1-current-status</t>
  </si>
  <si>
    <t>GB-1-description</t>
  </si>
  <si>
    <t>GB-1-implementer</t>
  </si>
  <si>
    <t>GB-1-dates-planned</t>
  </si>
  <si>
    <t>GB-1-title</t>
  </si>
  <si>
    <t>GB-1-unique-id</t>
  </si>
  <si>
    <t>GB-1-aid-type</t>
  </si>
  <si>
    <t>GB-1-collaboration-type</t>
  </si>
  <si>
    <t>GB-1-finance-type</t>
  </si>
  <si>
    <t>GB-1-flow-type</t>
  </si>
  <si>
    <t>GB-1-sector</t>
  </si>
  <si>
    <t>GB-1-location</t>
  </si>
  <si>
    <t>GB-1-tied-aid-status</t>
  </si>
  <si>
    <t>GB-1-expenditure-actual</t>
  </si>
  <si>
    <t>GB-1-cost-overall</t>
  </si>
  <si>
    <t>GB-1-expenditure-planned</t>
  </si>
  <si>
    <t>GB-1-budget-identifier</t>
  </si>
  <si>
    <t>GB-1-conditions</t>
  </si>
  <si>
    <t>GB-1-impact-appraisals</t>
  </si>
  <si>
    <t>GB-1-results</t>
  </si>
  <si>
    <t>GB-1-budget</t>
  </si>
  <si>
    <t>GB-1-contracts</t>
  </si>
  <si>
    <t>GB-1-evaluations</t>
  </si>
  <si>
    <t>GB-1-mou</t>
  </si>
  <si>
    <t>GB-1-objectives</t>
  </si>
  <si>
    <t>GB-1-tenders</t>
  </si>
  <si>
    <t>GB-1-audit</t>
  </si>
  <si>
    <t>GB-1-total-budget</t>
  </si>
  <si>
    <t>GB-1-disaggregated-budgets</t>
  </si>
  <si>
    <t>GB-1-strategy</t>
  </si>
  <si>
    <t>GB-1-annual-report</t>
  </si>
  <si>
    <t>GB-1-allocation</t>
  </si>
  <si>
    <t>GB-1-procurement-policy</t>
  </si>
  <si>
    <t>GB-1-country-strategy</t>
  </si>
  <si>
    <t>GB-1-foia</t>
  </si>
  <si>
    <t>GB-1-accessibility</t>
  </si>
  <si>
    <t>GB-1-implementation-schedules</t>
  </si>
  <si>
    <t>US-6-disaggregated-budgets</t>
  </si>
  <si>
    <t>U.S., Treasury</t>
  </si>
  <si>
    <t>US-6</t>
  </si>
  <si>
    <t>US-6-dates-actual</t>
  </si>
  <si>
    <t>US-6-contact-details</t>
  </si>
  <si>
    <t>US-6-current-status</t>
  </si>
  <si>
    <t>US-6-description</t>
  </si>
  <si>
    <t>US-6-implementer</t>
  </si>
  <si>
    <t>US-6-dates-planned</t>
  </si>
  <si>
    <t>US-6-title</t>
  </si>
  <si>
    <t>US-6-unique-id</t>
  </si>
  <si>
    <t>US-6-aid-type</t>
  </si>
  <si>
    <t>US-6-collaboration-type</t>
  </si>
  <si>
    <t>US-6-finance-type</t>
  </si>
  <si>
    <t>US-6-flow-type</t>
  </si>
  <si>
    <t>US-6-sector</t>
  </si>
  <si>
    <t>US-6-location</t>
  </si>
  <si>
    <t>US-6-tied-aid-status</t>
  </si>
  <si>
    <t>US-6-expenditure-actual</t>
  </si>
  <si>
    <t>US-6-cost-overall</t>
  </si>
  <si>
    <t>US-6-expenditure-planned</t>
  </si>
  <si>
    <t>US-6-budget-identifier</t>
  </si>
  <si>
    <t>US-6-conditions</t>
  </si>
  <si>
    <t>US-6-impact-appraisals</t>
  </si>
  <si>
    <t>US-6-results</t>
  </si>
  <si>
    <t>US-6-budget</t>
  </si>
  <si>
    <t>US-6-contracts</t>
  </si>
  <si>
    <t>US-6-evaluations</t>
  </si>
  <si>
    <t>US-6-mou</t>
  </si>
  <si>
    <t>US-6-objectives</t>
  </si>
  <si>
    <t>US-6-tenders</t>
  </si>
  <si>
    <t>US-6-audit</t>
  </si>
  <si>
    <t>US-6-total-budget</t>
  </si>
  <si>
    <t>US-6-strategy</t>
  </si>
  <si>
    <t>US-6-annual-report</t>
  </si>
  <si>
    <t>US-6-allocation</t>
  </si>
  <si>
    <t>US-6-procurement-policy</t>
  </si>
  <si>
    <t>US-6-country-strategy</t>
  </si>
  <si>
    <t>US-6-foia</t>
  </si>
  <si>
    <t>US-6-accessibility</t>
  </si>
  <si>
    <t>US-6-implementation-schedules</t>
  </si>
  <si>
    <t>US-18-dates-actual</t>
  </si>
  <si>
    <t>U.S., MCC</t>
  </si>
  <si>
    <t>US-18</t>
  </si>
  <si>
    <t>US-18-contact-details</t>
  </si>
  <si>
    <t>US-18-current-status</t>
  </si>
  <si>
    <t>US-18-description</t>
  </si>
  <si>
    <t>US-18-implementer</t>
  </si>
  <si>
    <t>US-18-dates-planned</t>
  </si>
  <si>
    <t>US-18-title</t>
  </si>
  <si>
    <t>US-18-unique-id</t>
  </si>
  <si>
    <t>US-18-collaboration-type</t>
  </si>
  <si>
    <t>US-18-sector</t>
  </si>
  <si>
    <t>US-18-location</t>
  </si>
  <si>
    <t>US-18-expenditure-actual</t>
  </si>
  <si>
    <t>US-18-cost-overall</t>
  </si>
  <si>
    <t>US-18-expenditure-planned</t>
  </si>
  <si>
    <t>US-18-budget-identifier</t>
  </si>
  <si>
    <t>US-18-conditions</t>
  </si>
  <si>
    <t>US-18-impact-appraisals</t>
  </si>
  <si>
    <t>US-18-results</t>
  </si>
  <si>
    <t>US-18-budget</t>
  </si>
  <si>
    <t>US-18-contracts</t>
  </si>
  <si>
    <t>US-18-evaluations</t>
  </si>
  <si>
    <t>US-18-mou</t>
  </si>
  <si>
    <t>US-18-objectives</t>
  </si>
  <si>
    <t>US-18-audit</t>
  </si>
  <si>
    <t>US-18-total-budget</t>
  </si>
  <si>
    <t>US-18-disaggregated-budgets</t>
  </si>
  <si>
    <t>US-18-strategy</t>
  </si>
  <si>
    <t>US-18-annual-report</t>
  </si>
  <si>
    <t>US-18-allocation</t>
  </si>
  <si>
    <t>US-18-procurement-policy</t>
  </si>
  <si>
    <t>US-18-country-strategy</t>
  </si>
  <si>
    <t>US-18-tied-aid-status</t>
  </si>
  <si>
    <t>US-18-tenders</t>
  </si>
  <si>
    <t>US-18-aid-type</t>
  </si>
  <si>
    <t>US-18-finance-type</t>
  </si>
  <si>
    <t>US-18-flow-type</t>
  </si>
  <si>
    <t>US-18-foia</t>
  </si>
  <si>
    <t>US-18-accessibility</t>
  </si>
  <si>
    <t>US-18-implementation-schedules</t>
  </si>
  <si>
    <t>US-7-dates-actual</t>
  </si>
  <si>
    <t>U.S., Defense</t>
  </si>
  <si>
    <t>US-7</t>
  </si>
  <si>
    <t>US-7-description</t>
  </si>
  <si>
    <t>US-7-implementer</t>
  </si>
  <si>
    <t>US-7-title</t>
  </si>
  <si>
    <t>US-7-unique-id</t>
  </si>
  <si>
    <t>US-7-flow-type</t>
  </si>
  <si>
    <t>US-7-sector</t>
  </si>
  <si>
    <t>US-7-location</t>
  </si>
  <si>
    <t>US-7-tied-aid-status</t>
  </si>
  <si>
    <t>US-7-expenditure-actual</t>
  </si>
  <si>
    <t>US-7-expenditure-planned</t>
  </si>
  <si>
    <t>US-7-contact-details</t>
  </si>
  <si>
    <t>US-7-current-status</t>
  </si>
  <si>
    <t>US-7-dates-planned</t>
  </si>
  <si>
    <t>US-7-aid-type</t>
  </si>
  <si>
    <t>US-7-collaboration-type</t>
  </si>
  <si>
    <t>US-7-finance-type</t>
  </si>
  <si>
    <t>US-7-cost-overall</t>
  </si>
  <si>
    <t>US-7-budget-identifier</t>
  </si>
  <si>
    <t>US-7-conditions</t>
  </si>
  <si>
    <t>US-7-impact-appraisals</t>
  </si>
  <si>
    <t>US-7-results</t>
  </si>
  <si>
    <t>US-7-budget</t>
  </si>
  <si>
    <t>US-7-contracts</t>
  </si>
  <si>
    <t>US-7-evaluations</t>
  </si>
  <si>
    <t>US-7-mou</t>
  </si>
  <si>
    <t>US-7-objectives</t>
  </si>
  <si>
    <t>US-7-tenders</t>
  </si>
  <si>
    <t>US-7-audit</t>
  </si>
  <si>
    <t>US-7-total-budget</t>
  </si>
  <si>
    <t>US-7-disaggregated-budgets</t>
  </si>
  <si>
    <t>US-7-strategy</t>
  </si>
  <si>
    <t>US-7-annual-report</t>
  </si>
  <si>
    <t>US-7-allocation</t>
  </si>
  <si>
    <t>US-7-procurement-policy</t>
  </si>
  <si>
    <t>US-7-country-strategy</t>
  </si>
  <si>
    <t>US-7-foia</t>
  </si>
  <si>
    <t>US-7-accessibility</t>
  </si>
  <si>
    <t>US-7-implementation-schedules</t>
  </si>
  <si>
    <t>44002-dates-actual</t>
  </si>
  <si>
    <t>World Bank, IDA</t>
  </si>
  <si>
    <t>44002-contact-details</t>
  </si>
  <si>
    <t>44002-current-status</t>
  </si>
  <si>
    <t>44002-description</t>
  </si>
  <si>
    <t>44002-implementer</t>
  </si>
  <si>
    <t>44002-dates-planned</t>
  </si>
  <si>
    <t>44002-title</t>
  </si>
  <si>
    <t>44002-unique-id</t>
  </si>
  <si>
    <t>44002-aid-type</t>
  </si>
  <si>
    <t>44002-collaboration-type</t>
  </si>
  <si>
    <t>44002-finance-type</t>
  </si>
  <si>
    <t>44002-flow-type</t>
  </si>
  <si>
    <t>44002-sector</t>
  </si>
  <si>
    <t>44002-location</t>
  </si>
  <si>
    <t>44002-tied-aid-status</t>
  </si>
  <si>
    <t>44002-expenditure-actual</t>
  </si>
  <si>
    <t>44002-expenditure-planned</t>
  </si>
  <si>
    <t>44002-conditions</t>
  </si>
  <si>
    <t>44002-impact-appraisals</t>
  </si>
  <si>
    <t>44002-results</t>
  </si>
  <si>
    <t>44002-budget</t>
  </si>
  <si>
    <t>44002-contracts</t>
  </si>
  <si>
    <t>44002-evaluations</t>
  </si>
  <si>
    <t>44002-mou</t>
  </si>
  <si>
    <t>44002-objectives</t>
  </si>
  <si>
    <t>44002-tenders</t>
  </si>
  <si>
    <t>44002-audit</t>
  </si>
  <si>
    <t>44002-total-budget</t>
  </si>
  <si>
    <t>44002-disaggregated-budgets</t>
  </si>
  <si>
    <t>44002-strategy</t>
  </si>
  <si>
    <t>44002-annual-report</t>
  </si>
  <si>
    <t>44002-allocation</t>
  </si>
  <si>
    <t>44002-procurement-policy</t>
  </si>
  <si>
    <t>44002-country-strategy</t>
  </si>
  <si>
    <t>44002-cost-overall</t>
  </si>
  <si>
    <t>44002-budget-identifier</t>
  </si>
  <si>
    <t>44002-foia</t>
  </si>
  <si>
    <t>44002-accessibility</t>
  </si>
  <si>
    <t>44002-implementation-schedules</t>
  </si>
  <si>
    <t>46002-dates-actual</t>
  </si>
  <si>
    <t>AfDB</t>
  </si>
  <si>
    <t>46002-contact-details</t>
  </si>
  <si>
    <t>46002-current-status</t>
  </si>
  <si>
    <t>46002-description</t>
  </si>
  <si>
    <t>46002-implementer</t>
  </si>
  <si>
    <t>46002-dates-planned</t>
  </si>
  <si>
    <t>46002-title</t>
  </si>
  <si>
    <t>46002-unique-id</t>
  </si>
  <si>
    <t>46002-aid-type</t>
  </si>
  <si>
    <t>46002-collaboration-type</t>
  </si>
  <si>
    <t>46002-finance-type</t>
  </si>
  <si>
    <t>46002-flow-type</t>
  </si>
  <si>
    <t>46002-sector</t>
  </si>
  <si>
    <t>46002-location</t>
  </si>
  <si>
    <t>46002-tied-aid-status</t>
  </si>
  <si>
    <t>46002-expenditure-actual</t>
  </si>
  <si>
    <t>46002-expenditure-planned</t>
  </si>
  <si>
    <t>46002-conditions</t>
  </si>
  <si>
    <t>46002-impact-appraisals</t>
  </si>
  <si>
    <t>46002-results</t>
  </si>
  <si>
    <t>46002-budget</t>
  </si>
  <si>
    <t>46002-contracts</t>
  </si>
  <si>
    <t>46002-evaluations</t>
  </si>
  <si>
    <t>46002-objectives</t>
  </si>
  <si>
    <t>46002-tenders</t>
  </si>
  <si>
    <t>46002-audit</t>
  </si>
  <si>
    <t>46002-total-budget</t>
  </si>
  <si>
    <t>46002-disaggregated-budgets</t>
  </si>
  <si>
    <t>46002-strategy</t>
  </si>
  <si>
    <t>46002-annual-report</t>
  </si>
  <si>
    <t>46002-allocation</t>
  </si>
  <si>
    <t>46002-procurement-policy</t>
  </si>
  <si>
    <t>46002-country-strategy</t>
  </si>
  <si>
    <t>46002-cost-overall</t>
  </si>
  <si>
    <t>46002-mou</t>
  </si>
  <si>
    <t>46002-budget-identifier</t>
  </si>
  <si>
    <t>46002-foia</t>
  </si>
  <si>
    <t>46002-accessibility</t>
  </si>
  <si>
    <t>46002-implementation-schedules</t>
  </si>
  <si>
    <t>DK-2-dates-actual</t>
  </si>
  <si>
    <t>Denmark, MFA</t>
  </si>
  <si>
    <t>DK-2</t>
  </si>
  <si>
    <t>DK-2-contact-details</t>
  </si>
  <si>
    <t>DK-2-current-status</t>
  </si>
  <si>
    <t>DK-2-description</t>
  </si>
  <si>
    <t>DK-2-implementer</t>
  </si>
  <si>
    <t>DK-2-dates-planned</t>
  </si>
  <si>
    <t>DK-2-title</t>
  </si>
  <si>
    <t>DK-2-unique-id</t>
  </si>
  <si>
    <t>DK-2-aid-type</t>
  </si>
  <si>
    <t>DK-2-collaboration-type</t>
  </si>
  <si>
    <t>DK-2-finance-type</t>
  </si>
  <si>
    <t>DK-2-flow-type</t>
  </si>
  <si>
    <t>DK-2-sector</t>
  </si>
  <si>
    <t>DK-2-tied-aid-status</t>
  </si>
  <si>
    <t>DK-2-expenditure-actual</t>
  </si>
  <si>
    <t>DK-2-expenditure-planned</t>
  </si>
  <si>
    <t>DK-2-results</t>
  </si>
  <si>
    <t>DK-2-objectives</t>
  </si>
  <si>
    <t>DK-2-audit</t>
  </si>
  <si>
    <t>DK-2-total-budget</t>
  </si>
  <si>
    <t>DK-2-disaggregated-budgets</t>
  </si>
  <si>
    <t>DK-2-strategy</t>
  </si>
  <si>
    <t>DK-2-annual-report</t>
  </si>
  <si>
    <t>DK-2-allocation</t>
  </si>
  <si>
    <t>DK-2-procurement-policy</t>
  </si>
  <si>
    <t>DK-2-country-strategy</t>
  </si>
  <si>
    <t>DK-2-location</t>
  </si>
  <si>
    <t>DK-2-cost-overall</t>
  </si>
  <si>
    <t>DK-2-budget-identifier</t>
  </si>
  <si>
    <t>DK-2-conditions</t>
  </si>
  <si>
    <t>DK-2-impact-appraisals</t>
  </si>
  <si>
    <t>DK-2-budget</t>
  </si>
  <si>
    <t>DK-2-contracts</t>
  </si>
  <si>
    <t>DK-2-evaluations</t>
  </si>
  <si>
    <t>DK-2-mou</t>
  </si>
  <si>
    <t>DK-2-tenders</t>
  </si>
  <si>
    <t>DK-2-foia</t>
  </si>
  <si>
    <t>DK-2-accessibility</t>
  </si>
  <si>
    <t>DK-2-implementation-schedules</t>
  </si>
  <si>
    <t>FR-6-strategy</t>
  </si>
  <si>
    <t>France, MAE</t>
  </si>
  <si>
    <t>FR-6</t>
  </si>
  <si>
    <t>FR-6-annual-report</t>
  </si>
  <si>
    <t>FR-6-current-status</t>
  </si>
  <si>
    <t>FR-6-description</t>
  </si>
  <si>
    <t>FR-6-implementer</t>
  </si>
  <si>
    <t>FR-6-dates-planned</t>
  </si>
  <si>
    <t>FR-6-title</t>
  </si>
  <si>
    <t>FR-6-unique-id</t>
  </si>
  <si>
    <t>FR-6-aid-type</t>
  </si>
  <si>
    <t>FR-6-collaboration-type</t>
  </si>
  <si>
    <t>FR-6-finance-type</t>
  </si>
  <si>
    <t>FR-6-flow-type</t>
  </si>
  <si>
    <t>FR-6-sector</t>
  </si>
  <si>
    <t>FR-6-location</t>
  </si>
  <si>
    <t>FR-6-tied-aid-status</t>
  </si>
  <si>
    <t>FR-6-expenditure-actual</t>
  </si>
  <si>
    <t>FR-6-expenditure-planned</t>
  </si>
  <si>
    <t>FR-6-results</t>
  </si>
  <si>
    <t>FR-6-objectives</t>
  </si>
  <si>
    <t>FR-6-audit</t>
  </si>
  <si>
    <t>FR-6-total-budget</t>
  </si>
  <si>
    <t>FR-6-disaggregated-budgets</t>
  </si>
  <si>
    <t>FR-6-dates-actual</t>
  </si>
  <si>
    <t>FR-6-contact-details</t>
  </si>
  <si>
    <t>FR-6-procurement-policy</t>
  </si>
  <si>
    <t>FR-6-country-strategy</t>
  </si>
  <si>
    <t>FR-6-allocation</t>
  </si>
  <si>
    <t>FR-6-cost-overall</t>
  </si>
  <si>
    <t>FR-6-budget-identifier</t>
  </si>
  <si>
    <t>FR-6-conditions</t>
  </si>
  <si>
    <t>FR-6-impact-appraisals</t>
  </si>
  <si>
    <t>FR-6-budget</t>
  </si>
  <si>
    <t>FR-6-contracts</t>
  </si>
  <si>
    <t>FR-6-evaluations</t>
  </si>
  <si>
    <t>FR-6-mou</t>
  </si>
  <si>
    <t>FR-6-tenders</t>
  </si>
  <si>
    <t>FR-6-foia</t>
  </si>
  <si>
    <t>FR-6-accessibility</t>
  </si>
  <si>
    <t>FR-6-implementation-schedules</t>
  </si>
  <si>
    <t>CN-1-dates-actual</t>
  </si>
  <si>
    <t>China, MOFCOM</t>
  </si>
  <si>
    <t>CN-1</t>
  </si>
  <si>
    <t>CN-1-contact-details</t>
  </si>
  <si>
    <t>CN-1-current-status</t>
  </si>
  <si>
    <t>CN-1-description</t>
  </si>
  <si>
    <t>CN-1-implementer</t>
  </si>
  <si>
    <t>CN-1-dates-planned</t>
  </si>
  <si>
    <t>CN-1-title</t>
  </si>
  <si>
    <t>CN-1-unique-id</t>
  </si>
  <si>
    <t>CN-1-aid-type</t>
  </si>
  <si>
    <t>CN-1-collaboration-type</t>
  </si>
  <si>
    <t>CN-1-finance-type</t>
  </si>
  <si>
    <t>CN-1-flow-type</t>
  </si>
  <si>
    <t>CN-1-sector</t>
  </si>
  <si>
    <t>CN-1-location</t>
  </si>
  <si>
    <t>CN-1-tied-aid-status</t>
  </si>
  <si>
    <t>CN-1-expenditure-actual</t>
  </si>
  <si>
    <t>CN-1-cost-overall</t>
  </si>
  <si>
    <t>CN-1-expenditure-planned</t>
  </si>
  <si>
    <t>CN-1-budget-identifier</t>
  </si>
  <si>
    <t>CN-1-conditions</t>
  </si>
  <si>
    <t>CN-1-impact-appraisals</t>
  </si>
  <si>
    <t>CN-1-results</t>
  </si>
  <si>
    <t>CN-1-budget</t>
  </si>
  <si>
    <t>CN-1-contracts</t>
  </si>
  <si>
    <t>CN-1-evaluations</t>
  </si>
  <si>
    <t>CN-1-mou</t>
  </si>
  <si>
    <t>CN-1-objectives</t>
  </si>
  <si>
    <t>CN-1-tenders</t>
  </si>
  <si>
    <t>CN-1-audit</t>
  </si>
  <si>
    <t>CN-1-total-budget</t>
  </si>
  <si>
    <t>CN-1-disaggregated-budgets</t>
  </si>
  <si>
    <t>CN-1-strategy</t>
  </si>
  <si>
    <t>CN-1-annual-report</t>
  </si>
  <si>
    <t>CN-1-allocation</t>
  </si>
  <si>
    <t>CN-1-procurement-policy</t>
  </si>
  <si>
    <t>CN-1-country-strategy</t>
  </si>
  <si>
    <t>CN-1-foia</t>
  </si>
  <si>
    <t>CN-1-accessibility</t>
  </si>
  <si>
    <t>CN-1-implementation-schedules</t>
  </si>
  <si>
    <t>Org ID</t>
  </si>
  <si>
    <t>Donor short name</t>
  </si>
  <si>
    <t>Bilateral/Multilateral/Foundation</t>
  </si>
  <si>
    <t>IFI</t>
  </si>
  <si>
    <t>Health Funds</t>
  </si>
  <si>
    <t>Humanitarian</t>
  </si>
  <si>
    <t>EU Member State/EC Institution</t>
  </si>
  <si>
    <t>US Agency</t>
  </si>
  <si>
    <t>UN Agency</t>
  </si>
  <si>
    <t>DAC Membership Status</t>
  </si>
  <si>
    <t>IATI Publisher</t>
  </si>
  <si>
    <t>Frequency of IATI publication as per IATI Annual Report 2014</t>
  </si>
  <si>
    <t>Date of 1st publication</t>
  </si>
  <si>
    <t>OAP</t>
  </si>
  <si>
    <t>EU-13</t>
  </si>
  <si>
    <t>Total ODA Spend in 2012 (in USD mn)</t>
  </si>
  <si>
    <t>Total OOF Spend in 2012 (USD n)</t>
  </si>
  <si>
    <t>Total Spend in 2012</t>
  </si>
  <si>
    <t xml:space="preserve">Source for Total Spend </t>
  </si>
  <si>
    <t>Largest ODA Recipient in 2012</t>
  </si>
  <si>
    <t>Source for largest recipient data</t>
  </si>
  <si>
    <t>African Development Bank</t>
  </si>
  <si>
    <t>Multilateral</t>
  </si>
  <si>
    <t>IATI</t>
  </si>
  <si>
    <t>Quarterly</t>
  </si>
  <si>
    <t>Y</t>
  </si>
  <si>
    <t>Jul-13</t>
  </si>
  <si>
    <t>Not Applicable</t>
  </si>
  <si>
    <t>DAC CRS 2012</t>
  </si>
  <si>
    <t>Guinea</t>
  </si>
  <si>
    <t>Asian Development Bank</t>
  </si>
  <si>
    <t>Monthly</t>
  </si>
  <si>
    <t>Nov-11</t>
  </si>
  <si>
    <t>Bangladesh</t>
  </si>
  <si>
    <t>Bilateral</t>
  </si>
  <si>
    <t>DAC Member</t>
  </si>
  <si>
    <t>Annually</t>
  </si>
  <si>
    <t>Sep-11</t>
  </si>
  <si>
    <t>Indonesia</t>
  </si>
  <si>
    <t>EU MS</t>
  </si>
  <si>
    <t>Not joined OGP</t>
  </si>
  <si>
    <t>Uganda</t>
  </si>
  <si>
    <t>Democratic Republic of Congo</t>
  </si>
  <si>
    <t>OECD 2012/ IPEA &amp; ABC</t>
  </si>
  <si>
    <t>Mozambique</t>
  </si>
  <si>
    <t>https://www.devex.com/news/setting-its-own-course-brazil-foreign-aid-expands-and-evolves-78631</t>
  </si>
  <si>
    <t>Non DAC Donor reporting aid stats to DAC</t>
  </si>
  <si>
    <t>OECD NDD 2012</t>
  </si>
  <si>
    <t>Armenia</t>
  </si>
  <si>
    <t>http://www.euroresources.org/guide/donor_profiles/bg_bulgaria.html</t>
  </si>
  <si>
    <t>Oct-12</t>
  </si>
  <si>
    <t>OECD 2012/Fiscal year book Ministry of Finance</t>
  </si>
  <si>
    <t>Ghana</t>
  </si>
  <si>
    <t>http://www.cgdev.org/sites/default/files/chinese-development-finance-africa_0.pdf</t>
  </si>
  <si>
    <t>http://ec.europa.eu/europeaid/what/development-policies/financing_for_development/documents/accountability-report-2013/2013_croatia_donor_profile_en.pdf</t>
  </si>
  <si>
    <t>Bosnia and Herzegovina</t>
  </si>
  <si>
    <t>http://www.cyprusaid.gov.cy/planning/cyprusaid.nsf/all/DAB6D9BBCC7DEF8DC2257C36003CD833/$file/2012%20-%20ENGLISH.pdf?openelement</t>
  </si>
  <si>
    <t>Moldova</t>
  </si>
  <si>
    <t>Less than quarterly</t>
  </si>
  <si>
    <t>Jan-13</t>
  </si>
  <si>
    <t>Tanzania</t>
  </si>
  <si>
    <t>Afghanistan</t>
  </si>
  <si>
    <t>http://www.vm.ee/?q=en/node/14944</t>
  </si>
  <si>
    <t>European Bank of Reconstruction and Development</t>
  </si>
  <si>
    <t>Turkey</t>
  </si>
  <si>
    <t>Europeaid 2012 Annual Report (page 184)</t>
  </si>
  <si>
    <t>Europeaid 2012 Annual Report (page 199)</t>
  </si>
  <si>
    <t>http://ec.europa.eu/enlargement/instruments/overview/index_en.htm</t>
  </si>
  <si>
    <t>Serbia</t>
  </si>
  <si>
    <t>http://ec.europa.eu/echo/files/funding/figures/budget_implementation/AnnexVIII.pdf</t>
  </si>
  <si>
    <t>Sudan</t>
  </si>
  <si>
    <t>http://ec.europa.eu/dgs/fpi/documents/fpi_activity_report_2012_en.pdf</t>
  </si>
  <si>
    <t>Needs checking with Mindy</t>
  </si>
  <si>
    <t>European Investment Bank</t>
  </si>
  <si>
    <t>Cote d'Ivoire</t>
  </si>
  <si>
    <t>Morocco</t>
  </si>
  <si>
    <t>Brazil</t>
  </si>
  <si>
    <t>Health</t>
  </si>
  <si>
    <t>Jan-12</t>
  </si>
  <si>
    <t>Pakistan</t>
  </si>
  <si>
    <t>Germany, AA</t>
  </si>
  <si>
    <t>Mar-13</t>
  </si>
  <si>
    <t>Six-monthly</t>
  </si>
  <si>
    <t>Kenya</t>
  </si>
  <si>
    <t>Germany, BMZ-KfW</t>
  </si>
  <si>
    <t>China</t>
  </si>
  <si>
    <t>Albania</t>
  </si>
  <si>
    <t>Ukraine</t>
  </si>
  <si>
    <t xml:space="preserve">http://www.kormany.hu/download/e/cf/f0000/Magyarorsz%C3%A1g%202012%20%C3%A9vi%20nemzetk%C3%B6zi%20fejleszt%C3%A9si%20%C3%A9s%20humanit%C3%A1rius%20seg%C3%ADts%C3%A9gny%C3%BAjt%C3%A1si%20tev%C3%A9kenys%C3%A9g%C3%A9r%C5%91l.pdf </t>
  </si>
  <si>
    <t>Inter-American Development Bank</t>
  </si>
  <si>
    <t>Honduras</t>
  </si>
  <si>
    <t>International Monetary Fund</t>
  </si>
  <si>
    <t>Ireland, Irish Aid</t>
  </si>
  <si>
    <t>Vietnam</t>
  </si>
  <si>
    <t>Japan, Ministry of Foreign Affairs</t>
  </si>
  <si>
    <t>Mongolia</t>
  </si>
  <si>
    <t>http://www.mfa.gov.lv/data/Belarus/file/copy%20of%20lvl%20oda%20total%202012.xls</t>
  </si>
  <si>
    <t>Belarus</t>
  </si>
  <si>
    <t>http://www.orangeprojects.lt/site/newfiles/files/LVB_2012_EN.pdf</t>
  </si>
  <si>
    <t>Mali</t>
  </si>
  <si>
    <t>http://www.timesofmalta.com/articles/view/20130301/local/188-000-awarded-for-16-projects-in-developing-world.459632#.Us_1pfRdWMM</t>
  </si>
  <si>
    <t>Ethiopia</t>
  </si>
  <si>
    <t>Solomon Islands</t>
  </si>
  <si>
    <t>PolishAid website</t>
  </si>
  <si>
    <t>PolishAid Annual Report http://www.polskapomoc.gov.pl/files/Aktualnosci2013/Raport_2012/Raport_2012_eng.pdf</t>
  </si>
  <si>
    <t>Cape Verde</t>
  </si>
  <si>
    <t>http://www.aod.ro/resurse/RAPORT%20ODA%202012_EN.pdf</t>
  </si>
  <si>
    <t>SlovakAid website</t>
  </si>
  <si>
    <t>Slovak Aid 2012 Annual Report</t>
  </si>
  <si>
    <t>http://www.oecd.org/dac/peer-reviews/slovenia-dacs-29th-member.htm</t>
  </si>
  <si>
    <t>Montenegro</t>
  </si>
  <si>
    <t>http://www.mzz.gov.si/fileadmin/pageuploads/Zunanja_politika/brosura_MRS_2011_outlines_a.pdf</t>
  </si>
  <si>
    <t>Swiss Agency for Development and Cooperation</t>
  </si>
  <si>
    <t>Nepal</t>
  </si>
  <si>
    <t>The Bill and Melinda Gates Foundation</t>
  </si>
  <si>
    <t>PFT</t>
  </si>
  <si>
    <t>Global Development</t>
  </si>
  <si>
    <t>2012 Annual Report</t>
  </si>
  <si>
    <t>The Global Fund to Fight AIDS, Tuberculosis and Malaria</t>
  </si>
  <si>
    <t>Nigeria</t>
  </si>
  <si>
    <t>Jan-11</t>
  </si>
  <si>
    <t>http://icai.independent.gov.uk/wp-content/uploads/2011/11/Conflict-pool-ToRs-FINAL5.pdf</t>
  </si>
  <si>
    <t>Jun-13</t>
  </si>
  <si>
    <t>https://docs.unocha.org/sites/dms/Documents/Global%20Overview%20of%202012%20Pooled%20Funding%20-%20CERF,%20CHFs%20and%20ERFs.pdf</t>
  </si>
  <si>
    <t>South Sudan</t>
  </si>
  <si>
    <t>May-13</t>
  </si>
  <si>
    <t>Burkina Faso*</t>
  </si>
  <si>
    <t>http://www.pepfar.gov/documents/organization/189671.pdf</t>
  </si>
  <si>
    <t>South Africa</t>
  </si>
  <si>
    <t>http://www.pepfar.gov/documents/organization/183974.pdf</t>
  </si>
  <si>
    <t>Apr-11</t>
  </si>
  <si>
    <t>India</t>
  </si>
  <si>
    <t>Donor Long Name</t>
  </si>
  <si>
    <t>Row Labels</t>
  </si>
  <si>
    <t>Column Labels</t>
  </si>
  <si>
    <t>Sum of indicator_total_weighted_points</t>
  </si>
  <si>
    <t>Rank in 2014</t>
  </si>
  <si>
    <t>Rank in 2013</t>
  </si>
  <si>
    <t>Average</t>
  </si>
  <si>
    <t>Difference in scores</t>
  </si>
  <si>
    <t>Very good</t>
  </si>
  <si>
    <t>Good</t>
  </si>
  <si>
    <t>Fair</t>
  </si>
  <si>
    <t xml:space="preserve">Poor </t>
  </si>
  <si>
    <t xml:space="preserve">Very poor </t>
  </si>
  <si>
    <t>(scores of 80 - 100%)</t>
  </si>
  <si>
    <t>(scores 60 - 79%)</t>
  </si>
  <si>
    <t>(scores 40 - 59%)</t>
  </si>
  <si>
    <t>(scores of 20 -39%)</t>
  </si>
  <si>
    <t>(scores 0 - 19%)</t>
  </si>
  <si>
    <t>(blank)</t>
  </si>
  <si>
    <t>Sum of total_points</t>
  </si>
  <si>
    <t>Sparkline</t>
  </si>
  <si>
    <t>Org_code</t>
  </si>
  <si>
    <t>Donor</t>
  </si>
  <si>
    <t>Overall result</t>
  </si>
  <si>
    <t>Overall rank</t>
  </si>
  <si>
    <t>Average score</t>
  </si>
  <si>
    <t>Donor Short Name</t>
  </si>
  <si>
    <t>Overall Score in 2013</t>
  </si>
  <si>
    <t>Overall Score in 2014</t>
  </si>
  <si>
    <t>Movement in ranking</t>
  </si>
  <si>
    <t>Sparkline2</t>
  </si>
  <si>
    <t>Grand Total</t>
  </si>
  <si>
    <t xml:space="preserve">Average </t>
  </si>
  <si>
    <t>No. of donors that score</t>
  </si>
  <si>
    <t>No of donors that score</t>
  </si>
  <si>
    <t>Indicator Name</t>
  </si>
  <si>
    <t>No of donors that score in 2014</t>
  </si>
  <si>
    <t>Count of total_points</t>
  </si>
  <si>
    <t>(Multiple Items)</t>
  </si>
  <si>
    <t>Data check</t>
  </si>
  <si>
    <t>Not published</t>
  </si>
  <si>
    <t>Check box = 0</t>
  </si>
  <si>
    <t>Donor Name</t>
  </si>
  <si>
    <t>Machine-readable</t>
  </si>
  <si>
    <t>Website</t>
  </si>
  <si>
    <t>PDF</t>
  </si>
  <si>
    <t>Overall Score</t>
  </si>
  <si>
    <t>Overall Score (for chart)</t>
  </si>
  <si>
    <t>SUM</t>
  </si>
  <si>
    <t>Total Possible</t>
  </si>
  <si>
    <t>% score in each category</t>
  </si>
  <si>
    <t>Commitment</t>
  </si>
  <si>
    <t>Organisation</t>
  </si>
  <si>
    <t>Activity</t>
  </si>
  <si>
    <t>Dynamic average</t>
  </si>
  <si>
    <t>Maximum possible</t>
  </si>
  <si>
    <t>Performance category</t>
  </si>
  <si>
    <t>Performance group</t>
  </si>
  <si>
    <t>Number of indicators in sub-group</t>
  </si>
  <si>
    <t>Organisation - Planning</t>
  </si>
  <si>
    <t>Organisation - Financial</t>
  </si>
  <si>
    <t>Activity - Basic information</t>
  </si>
  <si>
    <t>Activity - classifications</t>
  </si>
  <si>
    <t>Activity - related documents</t>
  </si>
  <si>
    <t>Activity - financial</t>
  </si>
  <si>
    <t>Activity - performance</t>
  </si>
  <si>
    <t>Dynamic Average</t>
  </si>
  <si>
    <t>Check box= 0</t>
  </si>
  <si>
    <t>Performance Category</t>
  </si>
  <si>
    <t>No of donors that don't score</t>
  </si>
  <si>
    <t>No of donors that dont score</t>
  </si>
  <si>
    <t>Poor</t>
  </si>
  <si>
    <t>Very Poor</t>
  </si>
  <si>
    <t>Average of Commitment</t>
  </si>
  <si>
    <t>Average of Organisation - Planning</t>
  </si>
  <si>
    <t>Average of Organisation - Financial</t>
  </si>
  <si>
    <t>Average of Activity - Basic information</t>
  </si>
  <si>
    <t>Average of Activity - classifications</t>
  </si>
  <si>
    <t>Average of Activity - related documents</t>
  </si>
  <si>
    <t>Average of Activity - financial</t>
  </si>
  <si>
    <t>Average of Activity - performance</t>
  </si>
  <si>
    <t>Not Published</t>
  </si>
  <si>
    <t>Performance Group</t>
  </si>
  <si>
    <t>Other formats</t>
  </si>
  <si>
    <t>Organisation Planning</t>
  </si>
  <si>
    <t>Organisation Financial</t>
  </si>
  <si>
    <t>Activity Basic</t>
  </si>
  <si>
    <t>Activity Classifications</t>
  </si>
  <si>
    <t>Activity related documents</t>
  </si>
  <si>
    <t>Activity financial</t>
  </si>
  <si>
    <t>Activity performance</t>
  </si>
  <si>
    <t>Others</t>
  </si>
  <si>
    <t>Dynamic average for bilaterals</t>
  </si>
  <si>
    <t>Overall Index average</t>
  </si>
  <si>
    <t>Performance Categories</t>
  </si>
  <si>
    <t>No. of bilaterals</t>
  </si>
  <si>
    <t>% of bilaterals</t>
  </si>
  <si>
    <t>Very poor</t>
  </si>
  <si>
    <t>No. of multilaterals</t>
  </si>
  <si>
    <t>% of multilaterals</t>
  </si>
  <si>
    <t>Dyamic average</t>
  </si>
  <si>
    <t>Canada, CIDA</t>
  </si>
  <si>
    <t>Sweden, Sida</t>
  </si>
  <si>
    <t>Australia, AusAID</t>
  </si>
  <si>
    <t>Spain, MAEC-AECID</t>
  </si>
  <si>
    <t>Size</t>
  </si>
  <si>
    <t>Size group</t>
  </si>
  <si>
    <t>Very large</t>
  </si>
  <si>
    <t>Donor Names</t>
  </si>
  <si>
    <t>Value of aid</t>
  </si>
  <si>
    <t>Count of Size group</t>
  </si>
  <si>
    <t>Large</t>
  </si>
  <si>
    <t>Medium</t>
  </si>
  <si>
    <t>Small</t>
  </si>
  <si>
    <t>Very small</t>
  </si>
  <si>
    <t>Column1</t>
  </si>
  <si>
    <t>Check box</t>
  </si>
  <si>
    <t>other sources</t>
  </si>
  <si>
    <t>Other Sources</t>
  </si>
  <si>
    <t>Organisations scoring over 90%</t>
  </si>
  <si>
    <t>TRUE/FALSE (if more docs in other sources compared to IATI)</t>
  </si>
  <si>
    <t>Medium + Small</t>
  </si>
  <si>
    <t>IATI Member</t>
  </si>
  <si>
    <t>?</t>
  </si>
  <si>
    <t>IATI Steering Committee Membership</t>
  </si>
  <si>
    <t>IATI publisher</t>
  </si>
  <si>
    <t>IATI publisher - but no current data</t>
  </si>
  <si>
    <t>IATI publisher- but non-comprehensive publication</t>
  </si>
  <si>
    <t xml:space="preserve">Frequency of IATI Publication as on data collection deadline </t>
  </si>
  <si>
    <t>NA</t>
  </si>
  <si>
    <t xml:space="preserve">Implementation Schedule incl. IATI </t>
  </si>
  <si>
    <t>Signatory/Member Since</t>
  </si>
  <si>
    <t>% of fields to be published in IS schedules analysis</t>
  </si>
  <si>
    <t>G7</t>
  </si>
  <si>
    <t>OGP - Developing 1st NAP</t>
  </si>
  <si>
    <t>OGP with NAP that includes aid transparency</t>
  </si>
  <si>
    <t>OGP with NAP but does not include aid transparency commitments</t>
  </si>
  <si>
    <t>OGP with NAP but does not include aid transparency commitments (in 2nd NAP)</t>
  </si>
  <si>
    <t>OGP Observer</t>
  </si>
  <si>
    <t>No of indicators not scoring on</t>
  </si>
  <si>
    <t>No of indicators scoring on</t>
  </si>
  <si>
    <t>Rank within bilaterals group</t>
  </si>
  <si>
    <t>Checkbox</t>
  </si>
  <si>
    <t>EU Institution</t>
  </si>
  <si>
    <t>Rank amongst multilaterals</t>
  </si>
  <si>
    <t>Average of Organisation</t>
  </si>
  <si>
    <t>Average of Activity</t>
  </si>
  <si>
    <t>France, MAEDI</t>
  </si>
  <si>
    <t>France - Ministry of Foreign Affairs and International Development</t>
  </si>
  <si>
    <t>France, MAEDi</t>
  </si>
  <si>
    <t>Australia - Department of Foreign Affairs and Trade</t>
  </si>
  <si>
    <t>Austria - Austrian Development Agency</t>
  </si>
  <si>
    <t>Belgium - Belgian Development Agency</t>
  </si>
  <si>
    <t>Brazil - Brazilian Cooperation Agency</t>
  </si>
  <si>
    <t>Bulgaria - Ministry of Foreign Affairs</t>
  </si>
  <si>
    <t>Canada - Department of Foreign Affairs, Trade and Development</t>
  </si>
  <si>
    <t>China - Ministry of Commerce</t>
  </si>
  <si>
    <t>Croatia - Ministry of Foreign and European Affairs</t>
  </si>
  <si>
    <t>Cyprus - CyprusAid</t>
  </si>
  <si>
    <t>Czech Republic - Development Agency</t>
  </si>
  <si>
    <t>Denmark - Ministry of Foreign Affairs</t>
  </si>
  <si>
    <t>DG Development and Cooperation - EuropeAid</t>
  </si>
  <si>
    <t>DG Enlargement</t>
  </si>
  <si>
    <t>Service for Foreign Policy Instruments</t>
  </si>
  <si>
    <t>DG Humanitarian Aid and Civil Protection</t>
  </si>
  <si>
    <t>Estonia - Ministry of Foreign Affairs</t>
  </si>
  <si>
    <t>Finland - Ministry of Foreign Affairs</t>
  </si>
  <si>
    <t>France - French Development Agency</t>
  </si>
  <si>
    <t>France - Ministry of Economics, Finance and Industry</t>
  </si>
  <si>
    <t>Germany - Ministry for Economic Cooperation and Development - GIZ</t>
  </si>
  <si>
    <t>Germany - Ministry for Economic Cooperation and Development - KfW</t>
  </si>
  <si>
    <t>Germany - Foreign Office</t>
  </si>
  <si>
    <t>Greece - HellenicAid</t>
  </si>
  <si>
    <t>Hungary - Ministry of Foreign Affairs</t>
  </si>
  <si>
    <t>Ireland - Irish Aid</t>
  </si>
  <si>
    <t>Korea - Korean International Cooperation Agency</t>
  </si>
  <si>
    <t>Japan - Japan International Cooperation Agency</t>
  </si>
  <si>
    <t>Latvia - Ministry of Foreign Affairs</t>
  </si>
  <si>
    <t>Lithuania - Ministry of Foreign Affairs</t>
  </si>
  <si>
    <t>Luxembourg - Ministry of Foreign Affairs</t>
  </si>
  <si>
    <t>Malta - Ministry of Foreign Affairs</t>
  </si>
  <si>
    <t>Netherlands - Ministry of Foreign Affairs</t>
  </si>
  <si>
    <t>New Zealand - Ministry of Foreign Affairs and Trade</t>
  </si>
  <si>
    <t>Norway - Ministry of Foreign Affairs</t>
  </si>
  <si>
    <t>Poland - Ministry of Foreign Affairs</t>
  </si>
  <si>
    <t>Portugal - Camões - Institute for Cooperation and Language</t>
  </si>
  <si>
    <t>Romania - Ministry of Foreign Affairs</t>
  </si>
  <si>
    <t>Slovakia - Slovak Agency for International Development Cooperation</t>
  </si>
  <si>
    <t>Slovenia - Ministry of Foreign Affairs</t>
  </si>
  <si>
    <t>Spain - Ministry of Foreign Affairs and Cooperation</t>
  </si>
  <si>
    <t>Sweden - Ministry of Foreign Affairs- Swedish International Development Cooperation Agency</t>
  </si>
  <si>
    <t>U.S. - Department of Defense</t>
  </si>
  <si>
    <t>U.S. - Millennium Challenge Cooperation</t>
  </si>
  <si>
    <t xml:space="preserve">U.S. - Department of State </t>
  </si>
  <si>
    <t>U.S. - Department of the Treasury</t>
  </si>
  <si>
    <t>U.S. - United States Agency for International Development</t>
  </si>
  <si>
    <t>U.S. - President’s Emergency Fund Plan for AIDS Relief (PEPFAR)</t>
  </si>
  <si>
    <t>UK - Department for International Development</t>
  </si>
  <si>
    <t>UK - Foreign and Commonwealth Office</t>
  </si>
  <si>
    <t>UK - Ministry of Defence</t>
  </si>
  <si>
    <t>United Nations Office for the Coordination of Humanitarian Affairs (UN OCHA)</t>
  </si>
  <si>
    <t>United Nations Development Programme (UNDP)</t>
  </si>
  <si>
    <t>United Nations Children’s Fund (UNICEF)</t>
  </si>
  <si>
    <t>World Bank - International Development Association</t>
  </si>
  <si>
    <t>World Bank - International Finance Corporation</t>
  </si>
  <si>
    <t>Basic information</t>
  </si>
  <si>
    <t>Classifications</t>
  </si>
  <si>
    <t>Performance</t>
  </si>
  <si>
    <t>Financial</t>
  </si>
  <si>
    <t>Planning</t>
  </si>
  <si>
    <t xml:space="preserve">OGP with NAP but does not include aid transparency commitments </t>
  </si>
  <si>
    <t>Overall scores and ranking</t>
  </si>
  <si>
    <t>Performance Groups</t>
  </si>
  <si>
    <t>Comparison of scores and rank in 2013 and 2014</t>
  </si>
  <si>
    <t>Overall score split between IATI and Other formats</t>
  </si>
  <si>
    <t>Absolute scores by indicator</t>
  </si>
  <si>
    <t>No of donors publishing each indicator</t>
  </si>
  <si>
    <t>Italy - Ministry of Foreign Affairs and International Cooperation</t>
  </si>
  <si>
    <t>OGP and National Action Plan (NAP) status</t>
  </si>
  <si>
    <t>Format of publication for 22 indicators scored on format</t>
  </si>
  <si>
    <t>Format of publication for 22 indicators scored on format - by donor</t>
  </si>
  <si>
    <t>Location for publishing documents</t>
  </si>
  <si>
    <t>Scores on indicator groups</t>
  </si>
  <si>
    <t>Average scores on indicator groups by performance categories</t>
  </si>
  <si>
    <t>Weighted scores on indicator sub-groups</t>
  </si>
  <si>
    <t>Absolute scores on indicator sub-groups</t>
  </si>
  <si>
    <t>Percentage scores on indicator sub-groups</t>
  </si>
  <si>
    <t>Average scores on indicator sub-groups by performance categories</t>
  </si>
  <si>
    <t>Indicator weighted scores</t>
  </si>
  <si>
    <t>Performance of bilateral organisations</t>
  </si>
  <si>
    <t>Performance of multilateral organisations</t>
  </si>
  <si>
    <t>Donor size data</t>
  </si>
  <si>
    <t>Summary table of indicators</t>
  </si>
  <si>
    <t>Category</t>
  </si>
  <si>
    <t>Sub-category</t>
  </si>
  <si>
    <t>Scoring Approach</t>
  </si>
  <si>
    <t>Weight</t>
  </si>
  <si>
    <t>Commitment to aid transparency</t>
  </si>
  <si>
    <r>
      <t>1.</t>
    </r>
    <r>
      <rPr>
        <sz val="7"/>
        <color theme="1"/>
        <rFont val="Times New Roman"/>
        <family val="1"/>
      </rPr>
      <t xml:space="preserve">         </t>
    </r>
    <r>
      <rPr>
        <sz val="10"/>
        <color theme="1"/>
        <rFont val="Calibri"/>
        <family val="2"/>
        <scheme val="minor"/>
      </rPr>
      <t>Quality of FOI legislation (FOIA)</t>
    </r>
  </si>
  <si>
    <t>Graduated based on the score given in Right To Information (RTI) Rating (see: http://www.rti-rating.org/). The complete approach to assessing and scoring FOIA and disclosure policy quality can be found in the technical paper available online.</t>
  </si>
  <si>
    <r>
      <t>2.</t>
    </r>
    <r>
      <rPr>
        <sz val="7"/>
        <color theme="1"/>
        <rFont val="Times New Roman"/>
        <family val="1"/>
      </rPr>
      <t xml:space="preserve">         </t>
    </r>
    <r>
      <rPr>
        <sz val="10"/>
        <color theme="1"/>
        <rFont val="Calibri"/>
        <family val="2"/>
        <scheme val="minor"/>
      </rPr>
      <t>Implementation schedules</t>
    </r>
  </si>
  <si>
    <t>Graduated based on the total score received out of 100 based on analysis of Busan common standard/IATI implementation schedules.</t>
  </si>
  <si>
    <r>
      <t>3.</t>
    </r>
    <r>
      <rPr>
        <sz val="7"/>
        <color theme="1"/>
        <rFont val="Times New Roman"/>
        <family val="1"/>
      </rPr>
      <t xml:space="preserve">         </t>
    </r>
    <r>
      <rPr>
        <sz val="10"/>
        <color theme="1"/>
        <rFont val="Calibri"/>
        <family val="2"/>
        <scheme val="minor"/>
      </rPr>
      <t xml:space="preserve">Accessibility </t>
    </r>
  </si>
  <si>
    <t>Graduated based on three criteria: allows free bulk export of data; provides disaggregated, detailed data on activities; and data is released under an open licence. Each criterion carries 33.33% of the total possible score on this indicator.</t>
  </si>
  <si>
    <t>Publication – Organisation level</t>
  </si>
  <si>
    <r>
      <t>4.</t>
    </r>
    <r>
      <rPr>
        <sz val="7"/>
        <color theme="1"/>
        <rFont val="Times New Roman"/>
        <family val="1"/>
      </rPr>
      <t xml:space="preserve">         </t>
    </r>
    <r>
      <rPr>
        <sz val="10"/>
        <color theme="1"/>
        <rFont val="Calibri"/>
        <family val="2"/>
        <scheme val="minor"/>
      </rPr>
      <t>Strategy</t>
    </r>
  </si>
  <si>
    <t>Graduated based on accessibility</t>
  </si>
  <si>
    <r>
      <t>5.</t>
    </r>
    <r>
      <rPr>
        <sz val="7"/>
        <color theme="1"/>
        <rFont val="Times New Roman"/>
        <family val="1"/>
      </rPr>
      <t xml:space="preserve">         </t>
    </r>
    <r>
      <rPr>
        <sz val="10"/>
        <color theme="1"/>
        <rFont val="Calibri"/>
        <family val="2"/>
        <scheme val="minor"/>
      </rPr>
      <t>Annual report</t>
    </r>
  </si>
  <si>
    <r>
      <t>6.</t>
    </r>
    <r>
      <rPr>
        <sz val="7"/>
        <color theme="1"/>
        <rFont val="Times New Roman"/>
        <family val="1"/>
      </rPr>
      <t xml:space="preserve">         </t>
    </r>
    <r>
      <rPr>
        <sz val="10"/>
        <color theme="1"/>
        <rFont val="Calibri"/>
        <family val="2"/>
        <scheme val="minor"/>
      </rPr>
      <t>Allocation policy</t>
    </r>
  </si>
  <si>
    <r>
      <t>7.</t>
    </r>
    <r>
      <rPr>
        <sz val="7"/>
        <color theme="1"/>
        <rFont val="Times New Roman"/>
        <family val="1"/>
      </rPr>
      <t xml:space="preserve">         </t>
    </r>
    <r>
      <rPr>
        <sz val="10"/>
        <color theme="1"/>
        <rFont val="Calibri"/>
        <family val="2"/>
        <scheme val="minor"/>
      </rPr>
      <t>Procurement policy</t>
    </r>
  </si>
  <si>
    <r>
      <t>8.</t>
    </r>
    <r>
      <rPr>
        <sz val="7"/>
        <color theme="1"/>
        <rFont val="Times New Roman"/>
        <family val="1"/>
      </rPr>
      <t xml:space="preserve">         </t>
    </r>
    <r>
      <rPr>
        <sz val="10"/>
        <color theme="1"/>
        <rFont val="Calibri"/>
        <family val="2"/>
        <scheme val="minor"/>
      </rPr>
      <t>Strategy (country)</t>
    </r>
  </si>
  <si>
    <r>
      <t>9.</t>
    </r>
    <r>
      <rPr>
        <sz val="7"/>
        <color theme="1"/>
        <rFont val="Times New Roman"/>
        <family val="1"/>
      </rPr>
      <t xml:space="preserve">         </t>
    </r>
    <r>
      <rPr>
        <sz val="10"/>
        <color theme="1"/>
        <rFont val="Calibri"/>
        <family val="2"/>
        <scheme val="minor"/>
      </rPr>
      <t>Total organisation budget</t>
    </r>
  </si>
  <si>
    <t>Graduated based on format and number of years for which data is provided</t>
  </si>
  <si>
    <r>
      <t>10.</t>
    </r>
    <r>
      <rPr>
        <sz val="7"/>
        <color theme="1"/>
        <rFont val="Times New Roman"/>
        <family val="1"/>
      </rPr>
      <t xml:space="preserve">      </t>
    </r>
    <r>
      <rPr>
        <sz val="10"/>
        <color theme="1"/>
        <rFont val="Calibri"/>
        <family val="2"/>
        <scheme val="minor"/>
      </rPr>
      <t>Disaggregated budget</t>
    </r>
  </si>
  <si>
    <r>
      <t>11.</t>
    </r>
    <r>
      <rPr>
        <sz val="7"/>
        <color theme="1"/>
        <rFont val="Times New Roman"/>
        <family val="1"/>
      </rPr>
      <t xml:space="preserve">      </t>
    </r>
    <r>
      <rPr>
        <sz val="10"/>
        <color theme="1"/>
        <rFont val="Calibri"/>
        <family val="2"/>
        <scheme val="minor"/>
      </rPr>
      <t>Audit</t>
    </r>
  </si>
  <si>
    <t xml:space="preserve">Publication – Activity level </t>
  </si>
  <si>
    <t>Basic activity information</t>
  </si>
  <si>
    <r>
      <t>12.</t>
    </r>
    <r>
      <rPr>
        <sz val="7"/>
        <color theme="1"/>
        <rFont val="Times New Roman"/>
        <family val="1"/>
      </rPr>
      <t xml:space="preserve">      </t>
    </r>
    <r>
      <rPr>
        <sz val="10"/>
        <color theme="1"/>
        <rFont val="Calibri"/>
        <family val="2"/>
        <scheme val="minor"/>
      </rPr>
      <t>Implementer</t>
    </r>
  </si>
  <si>
    <t>Graduated based on format</t>
  </si>
  <si>
    <r>
      <t>13.</t>
    </r>
    <r>
      <rPr>
        <sz val="7"/>
        <color theme="1"/>
        <rFont val="Times New Roman"/>
        <family val="1"/>
      </rPr>
      <t xml:space="preserve">      </t>
    </r>
    <r>
      <rPr>
        <sz val="10"/>
        <color theme="1"/>
        <rFont val="Calibri"/>
        <family val="2"/>
        <scheme val="minor"/>
      </rPr>
      <t>Unique ID</t>
    </r>
  </si>
  <si>
    <r>
      <t>14.</t>
    </r>
    <r>
      <rPr>
        <sz val="7"/>
        <color theme="1"/>
        <rFont val="Times New Roman"/>
        <family val="1"/>
      </rPr>
      <t xml:space="preserve">      </t>
    </r>
    <r>
      <rPr>
        <sz val="10"/>
        <color theme="1"/>
        <rFont val="Calibri"/>
        <family val="2"/>
        <scheme val="minor"/>
      </rPr>
      <t>Title</t>
    </r>
  </si>
  <si>
    <r>
      <t>15.</t>
    </r>
    <r>
      <rPr>
        <sz val="7"/>
        <color theme="1"/>
        <rFont val="Times New Roman"/>
        <family val="1"/>
      </rPr>
      <t xml:space="preserve">      </t>
    </r>
    <r>
      <rPr>
        <sz val="10"/>
        <color theme="1"/>
        <rFont val="Calibri"/>
        <family val="2"/>
        <scheme val="minor"/>
      </rPr>
      <t>Description</t>
    </r>
  </si>
  <si>
    <r>
      <t>16.</t>
    </r>
    <r>
      <rPr>
        <sz val="7"/>
        <color theme="1"/>
        <rFont val="Times New Roman"/>
        <family val="1"/>
      </rPr>
      <t xml:space="preserve">      </t>
    </r>
    <r>
      <rPr>
        <sz val="10"/>
        <color theme="1"/>
        <rFont val="Calibri"/>
        <family val="2"/>
        <scheme val="minor"/>
      </rPr>
      <t>Planned dates</t>
    </r>
  </si>
  <si>
    <r>
      <t>17.</t>
    </r>
    <r>
      <rPr>
        <sz val="7"/>
        <color theme="1"/>
        <rFont val="Times New Roman"/>
        <family val="1"/>
      </rPr>
      <t xml:space="preserve">      </t>
    </r>
    <r>
      <rPr>
        <sz val="10"/>
        <color theme="1"/>
        <rFont val="Calibri"/>
        <family val="2"/>
        <scheme val="minor"/>
      </rPr>
      <t>Actual dates</t>
    </r>
  </si>
  <si>
    <r>
      <t>18.</t>
    </r>
    <r>
      <rPr>
        <sz val="7"/>
        <color theme="1"/>
        <rFont val="Times New Roman"/>
        <family val="1"/>
      </rPr>
      <t xml:space="preserve">      </t>
    </r>
    <r>
      <rPr>
        <sz val="10"/>
        <color theme="1"/>
        <rFont val="Calibri"/>
        <family val="2"/>
        <scheme val="minor"/>
      </rPr>
      <t>Current status</t>
    </r>
  </si>
  <si>
    <r>
      <t>19.</t>
    </r>
    <r>
      <rPr>
        <sz val="7"/>
        <color theme="1"/>
        <rFont val="Times New Roman"/>
        <family val="1"/>
      </rPr>
      <t xml:space="preserve">      </t>
    </r>
    <r>
      <rPr>
        <sz val="10"/>
        <color theme="1"/>
        <rFont val="Calibri"/>
        <family val="2"/>
        <scheme val="minor"/>
      </rPr>
      <t>Contact details</t>
    </r>
  </si>
  <si>
    <r>
      <t>20.</t>
    </r>
    <r>
      <rPr>
        <sz val="7"/>
        <color theme="1"/>
        <rFont val="Times New Roman"/>
        <family val="1"/>
      </rPr>
      <t xml:space="preserve">      </t>
    </r>
    <r>
      <rPr>
        <sz val="10"/>
        <color theme="1"/>
        <rFont val="Calibri"/>
        <family val="2"/>
        <scheme val="minor"/>
      </rPr>
      <t>Collaboration type</t>
    </r>
  </si>
  <si>
    <r>
      <t>21.</t>
    </r>
    <r>
      <rPr>
        <sz val="7"/>
        <color theme="1"/>
        <rFont val="Times New Roman"/>
        <family val="1"/>
      </rPr>
      <t xml:space="preserve">      </t>
    </r>
    <r>
      <rPr>
        <sz val="10"/>
        <color theme="1"/>
        <rFont val="Calibri"/>
        <family val="2"/>
        <scheme val="minor"/>
      </rPr>
      <t>Flow type</t>
    </r>
  </si>
  <si>
    <r>
      <t>22.</t>
    </r>
    <r>
      <rPr>
        <sz val="7"/>
        <color theme="1"/>
        <rFont val="Times New Roman"/>
        <family val="1"/>
      </rPr>
      <t xml:space="preserve">      </t>
    </r>
    <r>
      <rPr>
        <sz val="10"/>
        <color theme="1"/>
        <rFont val="Calibri"/>
        <family val="2"/>
        <scheme val="minor"/>
      </rPr>
      <t>Aid type</t>
    </r>
  </si>
  <si>
    <r>
      <t>23.</t>
    </r>
    <r>
      <rPr>
        <sz val="7"/>
        <color theme="1"/>
        <rFont val="Times New Roman"/>
        <family val="1"/>
      </rPr>
      <t xml:space="preserve">      </t>
    </r>
    <r>
      <rPr>
        <sz val="10"/>
        <color theme="1"/>
        <rFont val="Calibri"/>
        <family val="2"/>
        <scheme val="minor"/>
      </rPr>
      <t>Finance type</t>
    </r>
  </si>
  <si>
    <r>
      <t>24.</t>
    </r>
    <r>
      <rPr>
        <sz val="7"/>
        <color theme="1"/>
        <rFont val="Times New Roman"/>
        <family val="1"/>
      </rPr>
      <t xml:space="preserve">      </t>
    </r>
    <r>
      <rPr>
        <sz val="10"/>
        <color theme="1"/>
        <rFont val="Calibri"/>
        <family val="2"/>
        <scheme val="minor"/>
      </rPr>
      <t>Sectors</t>
    </r>
  </si>
  <si>
    <r>
      <t>25.</t>
    </r>
    <r>
      <rPr>
        <sz val="7"/>
        <color theme="1"/>
        <rFont val="Times New Roman"/>
        <family val="1"/>
      </rPr>
      <t xml:space="preserve">      </t>
    </r>
    <r>
      <rPr>
        <sz val="10"/>
        <color theme="1"/>
        <rFont val="Calibri"/>
        <family val="2"/>
        <scheme val="minor"/>
      </rPr>
      <t>Sub-national location</t>
    </r>
  </si>
  <si>
    <r>
      <t>26.</t>
    </r>
    <r>
      <rPr>
        <sz val="7"/>
        <color theme="1"/>
        <rFont val="Times New Roman"/>
        <family val="1"/>
      </rPr>
      <t xml:space="preserve">      </t>
    </r>
    <r>
      <rPr>
        <sz val="10"/>
        <color theme="1"/>
        <rFont val="Calibri"/>
        <family val="2"/>
        <scheme val="minor"/>
      </rPr>
      <t>Tied aid status</t>
    </r>
  </si>
  <si>
    <t>Related documents</t>
  </si>
  <si>
    <r>
      <t>27.</t>
    </r>
    <r>
      <rPr>
        <sz val="7"/>
        <color theme="1"/>
        <rFont val="Times New Roman"/>
        <family val="1"/>
      </rPr>
      <t xml:space="preserve">      </t>
    </r>
    <r>
      <rPr>
        <sz val="10"/>
        <color rgb="FF000000"/>
        <rFont val="Calibri"/>
        <family val="2"/>
        <scheme val="minor"/>
      </rPr>
      <t>Memorandum of Understanding (MoU)</t>
    </r>
  </si>
  <si>
    <t xml:space="preserve">Graduated based on accessibility </t>
  </si>
  <si>
    <r>
      <t>28.</t>
    </r>
    <r>
      <rPr>
        <sz val="7"/>
        <color theme="1"/>
        <rFont val="Times New Roman"/>
        <family val="1"/>
      </rPr>
      <t xml:space="preserve">      </t>
    </r>
    <r>
      <rPr>
        <sz val="10"/>
        <color theme="1"/>
        <rFont val="Calibri"/>
        <family val="2"/>
        <scheme val="minor"/>
      </rPr>
      <t>Evaluations</t>
    </r>
  </si>
  <si>
    <r>
      <t>29.</t>
    </r>
    <r>
      <rPr>
        <sz val="7"/>
        <color theme="1"/>
        <rFont val="Times New Roman"/>
        <family val="1"/>
      </rPr>
      <t xml:space="preserve">      </t>
    </r>
    <r>
      <rPr>
        <sz val="10"/>
        <color theme="1"/>
        <rFont val="Calibri"/>
        <family val="2"/>
        <scheme val="minor"/>
      </rPr>
      <t>Objectives</t>
    </r>
  </si>
  <si>
    <r>
      <t>30.</t>
    </r>
    <r>
      <rPr>
        <sz val="7"/>
        <color theme="1"/>
        <rFont val="Times New Roman"/>
        <family val="1"/>
      </rPr>
      <t xml:space="preserve">      </t>
    </r>
    <r>
      <rPr>
        <sz val="10"/>
        <color theme="1"/>
        <rFont val="Calibri"/>
        <family val="2"/>
        <scheme val="minor"/>
      </rPr>
      <t>Budget docs</t>
    </r>
  </si>
  <si>
    <r>
      <t>31.</t>
    </r>
    <r>
      <rPr>
        <sz val="7"/>
        <color theme="1"/>
        <rFont val="Times New Roman"/>
        <family val="1"/>
      </rPr>
      <t xml:space="preserve">      </t>
    </r>
    <r>
      <rPr>
        <sz val="10"/>
        <color theme="1"/>
        <rFont val="Calibri"/>
        <family val="2"/>
        <scheme val="minor"/>
      </rPr>
      <t>Contracts</t>
    </r>
  </si>
  <si>
    <r>
      <t>32.</t>
    </r>
    <r>
      <rPr>
        <sz val="7"/>
        <color theme="1"/>
        <rFont val="Times New Roman"/>
        <family val="1"/>
      </rPr>
      <t xml:space="preserve">      </t>
    </r>
    <r>
      <rPr>
        <sz val="10"/>
        <color theme="1"/>
        <rFont val="Calibri"/>
        <family val="2"/>
        <scheme val="minor"/>
      </rPr>
      <t>Tenders</t>
    </r>
  </si>
  <si>
    <r>
      <t>33.</t>
    </r>
    <r>
      <rPr>
        <sz val="7"/>
        <color theme="1"/>
        <rFont val="Times New Roman"/>
        <family val="1"/>
      </rPr>
      <t xml:space="preserve">      </t>
    </r>
    <r>
      <rPr>
        <sz val="10"/>
        <color theme="1"/>
        <rFont val="Calibri"/>
        <family val="2"/>
        <scheme val="minor"/>
      </rPr>
      <t>Budget</t>
    </r>
  </si>
  <si>
    <r>
      <t>34.</t>
    </r>
    <r>
      <rPr>
        <sz val="7"/>
        <color theme="1"/>
        <rFont val="Times New Roman"/>
        <family val="1"/>
      </rPr>
      <t xml:space="preserve">      </t>
    </r>
    <r>
      <rPr>
        <sz val="10"/>
        <color theme="1"/>
        <rFont val="Calibri"/>
        <family val="2"/>
        <scheme val="minor"/>
      </rPr>
      <t>Commitments</t>
    </r>
  </si>
  <si>
    <r>
      <t>35.</t>
    </r>
    <r>
      <rPr>
        <sz val="7"/>
        <color theme="1"/>
        <rFont val="Times New Roman"/>
        <family val="1"/>
      </rPr>
      <t xml:space="preserve">      </t>
    </r>
    <r>
      <rPr>
        <sz val="10"/>
        <color theme="1"/>
        <rFont val="Calibri"/>
        <family val="2"/>
        <scheme val="minor"/>
      </rPr>
      <t>Disbursements &amp; expenditures</t>
    </r>
  </si>
  <si>
    <r>
      <t>36.</t>
    </r>
    <r>
      <rPr>
        <sz val="7"/>
        <color theme="1"/>
        <rFont val="Times New Roman"/>
        <family val="1"/>
      </rPr>
      <t xml:space="preserve">      </t>
    </r>
    <r>
      <rPr>
        <sz val="10"/>
        <color theme="1"/>
        <rFont val="Calibri"/>
        <family val="2"/>
        <scheme val="minor"/>
      </rPr>
      <t>Budget Identifier (Budget ID)</t>
    </r>
  </si>
  <si>
    <r>
      <t>37.</t>
    </r>
    <r>
      <rPr>
        <sz val="7"/>
        <color theme="1"/>
        <rFont val="Times New Roman"/>
        <family val="1"/>
      </rPr>
      <t xml:space="preserve">      </t>
    </r>
    <r>
      <rPr>
        <sz val="10"/>
        <color theme="1"/>
        <rFont val="Calibri"/>
        <family val="2"/>
        <scheme val="minor"/>
      </rPr>
      <t>Results</t>
    </r>
  </si>
  <si>
    <r>
      <t>38.</t>
    </r>
    <r>
      <rPr>
        <sz val="7"/>
        <color theme="1"/>
        <rFont val="Times New Roman"/>
        <family val="1"/>
      </rPr>
      <t xml:space="preserve">      </t>
    </r>
    <r>
      <rPr>
        <sz val="10"/>
        <color theme="1"/>
        <rFont val="Calibri"/>
        <family val="2"/>
        <scheme val="minor"/>
      </rPr>
      <t>Impact appraisals</t>
    </r>
  </si>
  <si>
    <r>
      <t>39.</t>
    </r>
    <r>
      <rPr>
        <sz val="7"/>
        <color theme="1"/>
        <rFont val="Times New Roman"/>
        <family val="1"/>
      </rPr>
      <t xml:space="preserve">      </t>
    </r>
    <r>
      <rPr>
        <sz val="10"/>
        <color theme="1"/>
        <rFont val="Calibri"/>
        <family val="2"/>
        <scheme val="minor"/>
      </rPr>
      <t>Conditions</t>
    </r>
  </si>
  <si>
    <r>
      <rPr>
        <b/>
        <sz val="11"/>
        <color theme="1"/>
        <rFont val="Calibri"/>
        <family val="2"/>
        <scheme val="minor"/>
      </rPr>
      <t>Note 1:</t>
    </r>
    <r>
      <rPr>
        <sz val="11"/>
        <color theme="1"/>
        <rFont val="Calibri"/>
        <family val="2"/>
        <scheme val="minor"/>
      </rPr>
      <t xml:space="preserve"> For 22 indicators (shaded in blue in the table), the scoring takes into account the format that the data is provided in, depending on how accessible and comparable the information is. </t>
    </r>
  </si>
  <si>
    <r>
      <rPr>
        <b/>
        <sz val="11"/>
        <color theme="1"/>
        <rFont val="Calibri"/>
        <family val="2"/>
        <scheme val="minor"/>
      </rPr>
      <t xml:space="preserve">Note 2: </t>
    </r>
    <r>
      <rPr>
        <sz val="11"/>
        <color theme="1"/>
        <rFont val="Calibri"/>
        <family val="2"/>
        <scheme val="minor"/>
      </rPr>
      <t>For 14 indicators, scoring takes into account the accessibility of the information.</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</si>
</sst>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409]mmm\-yy;@"/>
    <numFmt numFmtId="166" formatCode="0.000000"/>
  </numFmts>
  <fonts count="4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color rgb="FFFFFFFF"/>
      <name val="Calibri"/>
      <family val="2"/>
    </font>
    <font>
      <sz val="11"/>
      <color theme="1"/>
      <name val="Calibri"/>
      <family val="2"/>
    </font>
    <font>
      <b/>
      <sz val="16"/>
      <color theme="0"/>
      <name val="Calibri"/>
      <family val="2"/>
    </font>
    <font>
      <b/>
      <sz val="11"/>
      <color theme="0"/>
      <name val="Calibri"/>
      <family val="2"/>
    </font>
    <font>
      <sz val="11"/>
      <color rgb="FF000000"/>
      <name val="Calibri"/>
      <family val="2"/>
    </font>
    <font>
      <sz val="11"/>
      <color rgb="FF000000"/>
      <name val="Calibri"/>
      <family val="2"/>
      <scheme val="minor"/>
    </font>
    <font>
      <b/>
      <sz val="11"/>
      <name val="Calibri"/>
      <family val="2"/>
      <scheme val="minor"/>
    </font>
    <font>
      <b/>
      <sz val="10"/>
      <color theme="1"/>
      <name val="Calibri"/>
      <family val="2"/>
      <scheme val="minor"/>
    </font>
    <font>
      <sz val="10"/>
      <color theme="1"/>
      <name val="Calibri"/>
      <family val="2"/>
      <scheme val="minor"/>
    </font>
    <font>
      <sz val="11"/>
      <name val="Calibri"/>
      <family val="2"/>
      <scheme val="minor"/>
    </font>
    <font>
      <sz val="11"/>
      <name val="Calibri"/>
      <family val="2"/>
    </font>
    <font>
      <sz val="10"/>
      <name val="Calibri"/>
      <family val="2"/>
    </font>
    <font>
      <b/>
      <sz val="11"/>
      <color theme="1"/>
      <name val="Calibri"/>
      <family val="2"/>
      <scheme val="minor"/>
    </font>
    <font>
      <b/>
      <sz val="11"/>
      <color theme="1"/>
      <name val="Calibri"/>
      <family val="2"/>
      <scheme val="minor"/>
    </font>
    <font>
      <b/>
      <sz val="16"/>
      <color theme="1"/>
      <name val="Calibri"/>
      <family val="2"/>
      <scheme val="minor"/>
    </font>
    <font>
      <sz val="16"/>
      <color theme="1"/>
      <name val="Calibri"/>
      <family val="2"/>
      <scheme val="minor"/>
    </font>
    <font>
      <b/>
      <sz val="18"/>
      <color theme="1"/>
      <name val="Calibri"/>
      <family val="2"/>
      <scheme val="minor"/>
    </font>
    <font>
      <sz val="18"/>
      <color theme="1"/>
      <name val="Calibri"/>
      <family val="2"/>
      <scheme val="minor"/>
    </font>
    <font>
      <b/>
      <sz val="18"/>
      <name val="Calibri"/>
      <family val="2"/>
      <scheme val="minor"/>
    </font>
    <font>
      <b/>
      <sz val="12"/>
      <name val="Cambria"/>
      <family val="1"/>
    </font>
    <font>
      <b/>
      <sz val="10"/>
      <color theme="0"/>
      <name val="Calibri"/>
      <family val="2"/>
      <scheme val="minor"/>
    </font>
    <font>
      <sz val="7"/>
      <color theme="1"/>
      <name val="Times New Roman"/>
      <family val="1"/>
    </font>
    <font>
      <sz val="10"/>
      <color rgb="FF000000"/>
      <name val="Calibri"/>
      <family val="2"/>
      <scheme val="minor"/>
    </font>
  </fonts>
  <fills count="51">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DDEBF7"/>
        <bgColor rgb="FFDDEBF7"/>
      </patternFill>
    </fill>
    <fill>
      <patternFill patternType="solid">
        <fgColor theme="0"/>
        <bgColor indexed="64"/>
      </patternFill>
    </fill>
    <fill>
      <patternFill patternType="solid">
        <fgColor theme="0"/>
        <bgColor rgb="FFDDEBF7"/>
      </patternFill>
    </fill>
    <fill>
      <patternFill patternType="solid">
        <fgColor theme="0"/>
        <bgColor theme="8" tint="0.79998168889431442"/>
      </patternFill>
    </fill>
    <fill>
      <patternFill patternType="solid">
        <fgColor theme="4" tint="0.79998168889431442"/>
        <bgColor theme="4" tint="0.79998168889431442"/>
      </patternFill>
    </fill>
    <fill>
      <patternFill patternType="solid">
        <fgColor rgb="FFFFFF00"/>
        <bgColor indexed="64"/>
      </patternFill>
    </fill>
    <fill>
      <patternFill patternType="solid">
        <fgColor theme="4"/>
        <bgColor theme="4"/>
      </patternFill>
    </fill>
    <fill>
      <patternFill patternType="solid">
        <fgColor rgb="FF0070C0"/>
        <bgColor indexed="64"/>
      </patternFill>
    </fill>
    <fill>
      <patternFill patternType="solid">
        <fgColor rgb="FFFFFF00"/>
        <bgColor theme="8" tint="0.79998168889431442"/>
      </patternFill>
    </fill>
    <fill>
      <patternFill patternType="solid">
        <fgColor theme="0"/>
        <bgColor theme="4" tint="0.79998168889431442"/>
      </patternFill>
    </fill>
    <fill>
      <patternFill patternType="solid">
        <fgColor theme="4"/>
        <bgColor theme="4" tint="0.79998168889431442"/>
      </patternFill>
    </fill>
    <fill>
      <patternFill patternType="solid">
        <fgColor rgb="FFA90000"/>
        <bgColor indexed="64"/>
      </patternFill>
    </fill>
    <fill>
      <patternFill patternType="solid">
        <fgColor rgb="FFFF7900"/>
        <bgColor indexed="64"/>
      </patternFill>
    </fill>
    <fill>
      <patternFill patternType="solid">
        <fgColor rgb="FFFF7900"/>
        <bgColor rgb="FF000000"/>
      </patternFill>
    </fill>
    <fill>
      <patternFill patternType="solid">
        <fgColor rgb="FFFFB900"/>
        <bgColor indexed="64"/>
      </patternFill>
    </fill>
    <fill>
      <patternFill patternType="solid">
        <fgColor rgb="FF8FEB00"/>
        <bgColor indexed="64"/>
      </patternFill>
    </fill>
    <fill>
      <patternFill patternType="solid">
        <fgColor rgb="FF00C3FF"/>
        <bgColor indexed="64"/>
      </patternFill>
    </fill>
    <fill>
      <patternFill patternType="solid">
        <fgColor rgb="FFEFF9FF"/>
        <bgColor indexed="64"/>
      </patternFill>
    </fill>
  </fills>
  <borders count="4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style="thin">
        <color rgb="FF9BC2E6"/>
      </bottom>
      <diagonal/>
    </border>
    <border>
      <left/>
      <right/>
      <top style="thin">
        <color indexed="64"/>
      </top>
      <bottom style="thin">
        <color rgb="FF9BC2E6"/>
      </bottom>
      <diagonal/>
    </border>
    <border>
      <left style="thin">
        <color indexed="64"/>
      </left>
      <right/>
      <top style="thin">
        <color rgb="FF9BC2E6"/>
      </top>
      <bottom style="thin">
        <color rgb="FF9BC2E6"/>
      </bottom>
      <diagonal/>
    </border>
    <border>
      <left/>
      <right/>
      <top style="thin">
        <color rgb="FF9BC2E6"/>
      </top>
      <bottom style="thin">
        <color rgb="FF9BC2E6"/>
      </bottom>
      <diagonal/>
    </border>
    <border>
      <left style="thin">
        <color indexed="64"/>
      </left>
      <right/>
      <top style="thin">
        <color rgb="FF9BC2E6"/>
      </top>
      <bottom style="thin">
        <color indexed="64"/>
      </bottom>
      <diagonal/>
    </border>
    <border>
      <left/>
      <right/>
      <top style="thin">
        <color rgb="FF9BC2E6"/>
      </top>
      <bottom style="thin">
        <color indexed="64"/>
      </bottom>
      <diagonal/>
    </border>
    <border>
      <left style="thin">
        <color rgb="FF000000"/>
      </left>
      <right/>
      <top style="thin">
        <color rgb="FF9BC2E6"/>
      </top>
      <bottom style="thin">
        <color rgb="FF9BC2E6"/>
      </bottom>
      <diagonal/>
    </border>
    <border>
      <left style="thin">
        <color rgb="FF000000"/>
      </left>
      <right style="thin">
        <color theme="0"/>
      </right>
      <top style="thin">
        <color rgb="FF9BC2E6"/>
      </top>
      <bottom style="thin">
        <color rgb="FF9BC2E6"/>
      </bottom>
      <diagonal/>
    </border>
    <border>
      <left style="thin">
        <color theme="0"/>
      </left>
      <right style="thin">
        <color theme="0"/>
      </right>
      <top style="thin">
        <color rgb="FF9BC2E6"/>
      </top>
      <bottom style="thin">
        <color rgb="FF9BC2E6"/>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rgb="FF000000"/>
      </left>
      <right style="thin">
        <color theme="0"/>
      </right>
      <top style="thin">
        <color rgb="FF9BC2E6"/>
      </top>
      <bottom/>
      <diagonal/>
    </border>
    <border>
      <left style="thin">
        <color theme="0"/>
      </left>
      <right style="thin">
        <color theme="0"/>
      </right>
      <top style="thin">
        <color rgb="FF9BC2E6"/>
      </top>
      <bottom/>
      <diagonal/>
    </border>
    <border>
      <left/>
      <right style="thin">
        <color theme="0"/>
      </right>
      <top style="thin">
        <color rgb="FF9BC2E6"/>
      </top>
      <bottom style="thin">
        <color rgb="FF9BC2E6"/>
      </bottom>
      <diagonal/>
    </border>
    <border>
      <left/>
      <right style="thin">
        <color theme="0"/>
      </right>
      <top style="thin">
        <color rgb="FF9BC2E6"/>
      </top>
      <bottom/>
      <diagonal/>
    </border>
    <border>
      <left style="thin">
        <color rgb="FF000000"/>
      </left>
      <right/>
      <top style="thin">
        <color rgb="FF9BC2E6"/>
      </top>
      <bottom/>
      <diagonal/>
    </border>
    <border>
      <left/>
      <right/>
      <top/>
      <bottom style="thin">
        <color theme="4" tint="0.39997558519241921"/>
      </bottom>
      <diagonal/>
    </border>
    <border>
      <left/>
      <right style="thin">
        <color indexed="64"/>
      </right>
      <top style="thin">
        <color indexed="64"/>
      </top>
      <bottom/>
      <diagonal/>
    </border>
    <border>
      <left style="thin">
        <color indexed="64"/>
      </left>
      <right/>
      <top style="thin">
        <color indexed="64"/>
      </top>
      <bottom/>
      <diagonal/>
    </border>
    <border>
      <left/>
      <right/>
      <top style="thin">
        <color theme="4" tint="0.39997558519241921"/>
      </top>
      <bottom style="thin">
        <color theme="4" tint="0.39997558519241921"/>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0"/>
      </left>
      <right style="thin">
        <color rgb="FF000000"/>
      </right>
      <top style="thin">
        <color rgb="FF9BC2E6"/>
      </top>
      <bottom/>
      <diagonal/>
    </border>
    <border>
      <left style="thin">
        <color rgb="FF000000"/>
      </left>
      <right style="thin">
        <color rgb="FF000000"/>
      </right>
      <top style="thin">
        <color rgb="FF9BC2E6"/>
      </top>
      <bottom/>
      <diagonal/>
    </border>
    <border>
      <left style="thin">
        <color theme="0"/>
      </left>
      <right/>
      <top style="thin">
        <color rgb="FF9BC2E6"/>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43">
    <xf numFmtId="0" fontId="0" fillId="0" borderId="0" xfId="0"/>
    <xf numFmtId="0" fontId="19" fillId="33" borderId="12" xfId="0" applyFont="1" applyFill="1" applyBorder="1" applyAlignment="1">
      <alignment horizontal="left" vertical="center"/>
    </xf>
    <xf numFmtId="0" fontId="19" fillId="33" borderId="13" xfId="0" applyFont="1" applyFill="1" applyBorder="1" applyAlignment="1">
      <alignment vertical="center"/>
    </xf>
    <xf numFmtId="0" fontId="19" fillId="0" borderId="12" xfId="0" applyFont="1" applyFill="1" applyBorder="1" applyAlignment="1">
      <alignment horizontal="left" vertical="center"/>
    </xf>
    <xf numFmtId="0" fontId="19" fillId="0" borderId="13" xfId="0" applyFont="1" applyFill="1" applyBorder="1" applyAlignment="1">
      <alignment vertical="center"/>
    </xf>
    <xf numFmtId="0" fontId="19" fillId="0" borderId="13" xfId="0" applyFont="1" applyFill="1" applyBorder="1" applyAlignment="1">
      <alignment horizontal="center" vertical="center"/>
    </xf>
    <xf numFmtId="0" fontId="19" fillId="0" borderId="13" xfId="0" applyFont="1" applyFill="1" applyBorder="1" applyAlignment="1">
      <alignment horizontal="center" vertical="center" wrapText="1"/>
    </xf>
    <xf numFmtId="1" fontId="19" fillId="0" borderId="13" xfId="0" applyNumberFormat="1" applyFont="1" applyFill="1" applyBorder="1" applyAlignment="1">
      <alignment horizontal="center" vertical="center"/>
    </xf>
    <xf numFmtId="1" fontId="19" fillId="0" borderId="13" xfId="0" applyNumberFormat="1" applyFont="1" applyFill="1" applyBorder="1" applyAlignment="1">
      <alignment horizontal="center" vertical="center" wrapText="1"/>
    </xf>
    <xf numFmtId="0" fontId="19" fillId="0" borderId="13" xfId="0" applyFont="1" applyFill="1" applyBorder="1" applyAlignment="1">
      <alignment horizontal="left" vertical="center" wrapText="1"/>
    </xf>
    <xf numFmtId="17" fontId="19" fillId="0" borderId="13" xfId="0" applyNumberFormat="1" applyFont="1" applyFill="1" applyBorder="1" applyAlignment="1">
      <alignment horizontal="center" vertical="center" wrapText="1"/>
    </xf>
    <xf numFmtId="0" fontId="19" fillId="0" borderId="14" xfId="0" applyFont="1" applyFill="1" applyBorder="1" applyAlignment="1">
      <alignment horizontal="left" vertical="center"/>
    </xf>
    <xf numFmtId="0" fontId="19" fillId="0" borderId="15" xfId="0" applyFont="1" applyFill="1" applyBorder="1" applyAlignment="1">
      <alignment vertical="center"/>
    </xf>
    <xf numFmtId="0" fontId="19" fillId="0" borderId="15" xfId="0" applyFont="1" applyFill="1" applyBorder="1" applyAlignment="1">
      <alignment horizontal="center" vertical="center"/>
    </xf>
    <xf numFmtId="0" fontId="19" fillId="0" borderId="15" xfId="0" applyFont="1" applyFill="1" applyBorder="1" applyAlignment="1">
      <alignment horizontal="center" vertical="center" wrapText="1"/>
    </xf>
    <xf numFmtId="1" fontId="19" fillId="0" borderId="15" xfId="0" applyNumberFormat="1" applyFont="1" applyFill="1" applyBorder="1" applyAlignment="1">
      <alignment horizontal="center" vertical="center" wrapText="1"/>
    </xf>
    <xf numFmtId="0" fontId="19" fillId="0" borderId="15" xfId="0" applyFont="1" applyFill="1" applyBorder="1" applyAlignment="1">
      <alignment horizontal="left" vertical="center" wrapText="1"/>
    </xf>
    <xf numFmtId="0" fontId="0" fillId="0" borderId="0" xfId="0" applyAlignment="1">
      <alignment wrapText="1"/>
    </xf>
    <xf numFmtId="0" fontId="0" fillId="0" borderId="0" xfId="0" pivotButton="1"/>
    <xf numFmtId="0" fontId="0" fillId="0" borderId="0" xfId="0" applyAlignment="1">
      <alignment horizontal="left"/>
    </xf>
    <xf numFmtId="0" fontId="16" fillId="0" borderId="0" xfId="0" applyFont="1"/>
    <xf numFmtId="2" fontId="16" fillId="0" borderId="0" xfId="0" applyNumberFormat="1" applyFont="1"/>
    <xf numFmtId="164" fontId="0" fillId="0" borderId="0" xfId="0" applyNumberFormat="1"/>
    <xf numFmtId="0" fontId="0" fillId="0" borderId="28" xfId="0" pivotButton="1" applyBorder="1"/>
    <xf numFmtId="0" fontId="0" fillId="0" borderId="28" xfId="0" applyBorder="1"/>
    <xf numFmtId="0" fontId="0" fillId="34" borderId="28" xfId="0" applyFill="1" applyBorder="1" applyAlignment="1">
      <alignment horizontal="left"/>
    </xf>
    <xf numFmtId="0" fontId="0" fillId="34" borderId="28" xfId="0" applyFill="1" applyBorder="1"/>
    <xf numFmtId="0" fontId="19" fillId="35" borderId="18" xfId="0" applyFont="1" applyFill="1" applyBorder="1" applyAlignment="1">
      <alignment vertical="center"/>
    </xf>
    <xf numFmtId="0" fontId="19" fillId="36" borderId="18" xfId="0" applyFont="1" applyFill="1" applyBorder="1" applyAlignment="1">
      <alignment vertical="center"/>
    </xf>
    <xf numFmtId="2" fontId="19" fillId="36" borderId="17" xfId="0" applyNumberFormat="1" applyFont="1" applyFill="1" applyBorder="1" applyAlignment="1">
      <alignment horizontal="center" vertical="center"/>
    </xf>
    <xf numFmtId="0" fontId="0" fillId="0" borderId="0" xfId="0" applyBorder="1"/>
    <xf numFmtId="0" fontId="19" fillId="35" borderId="31" xfId="0" applyFont="1" applyFill="1" applyBorder="1" applyAlignment="1">
      <alignment horizontal="left" vertical="center"/>
    </xf>
    <xf numFmtId="2" fontId="19" fillId="36" borderId="16" xfId="0" applyNumberFormat="1" applyFont="1" applyFill="1" applyBorder="1" applyAlignment="1">
      <alignment horizontal="center" vertical="center"/>
    </xf>
    <xf numFmtId="0" fontId="19" fillId="36" borderId="31" xfId="0" applyFont="1" applyFill="1" applyBorder="1" applyAlignment="1">
      <alignment horizontal="left" vertical="center"/>
    </xf>
    <xf numFmtId="2" fontId="19" fillId="36" borderId="29" xfId="0" applyNumberFormat="1" applyFont="1" applyFill="1" applyBorder="1" applyAlignment="1">
      <alignment horizontal="center" vertical="center"/>
    </xf>
    <xf numFmtId="1" fontId="19" fillId="36" borderId="17" xfId="0" applyNumberFormat="1" applyFont="1" applyFill="1" applyBorder="1" applyAlignment="1">
      <alignment horizontal="center" vertical="center"/>
    </xf>
    <xf numFmtId="1" fontId="19" fillId="36" borderId="16" xfId="0" applyNumberFormat="1" applyFont="1" applyFill="1" applyBorder="1" applyAlignment="1">
      <alignment horizontal="center" vertical="center"/>
    </xf>
    <xf numFmtId="1" fontId="19" fillId="36" borderId="29" xfId="0" applyNumberFormat="1" applyFont="1" applyFill="1" applyBorder="1" applyAlignment="1">
      <alignment horizontal="center" vertical="center"/>
    </xf>
    <xf numFmtId="1" fontId="19" fillId="36" borderId="33" xfId="0" applyNumberFormat="1" applyFont="1" applyFill="1" applyBorder="1" applyAlignment="1">
      <alignment horizontal="center" vertical="center"/>
    </xf>
    <xf numFmtId="0" fontId="19" fillId="35" borderId="32" xfId="0" applyFont="1" applyFill="1" applyBorder="1" applyAlignment="1">
      <alignment horizontal="left" vertical="center"/>
    </xf>
    <xf numFmtId="0" fontId="19" fillId="35" borderId="30" xfId="0" applyFont="1" applyFill="1" applyBorder="1" applyAlignment="1">
      <alignment vertical="center"/>
    </xf>
    <xf numFmtId="0" fontId="16" fillId="37" borderId="0" xfId="0" applyFont="1" applyFill="1"/>
    <xf numFmtId="0" fontId="16" fillId="37" borderId="34" xfId="0" applyFont="1" applyFill="1" applyBorder="1"/>
    <xf numFmtId="164" fontId="0" fillId="0" borderId="0" xfId="0" applyNumberFormat="1" applyAlignment="1">
      <alignment wrapText="1"/>
    </xf>
    <xf numFmtId="2" fontId="0" fillId="0" borderId="0" xfId="0" applyNumberFormat="1"/>
    <xf numFmtId="0" fontId="0" fillId="0" borderId="0" xfId="0" applyNumberFormat="1"/>
    <xf numFmtId="0" fontId="16" fillId="38" borderId="0" xfId="0" applyFont="1" applyFill="1" applyAlignment="1">
      <alignment horizontal="left"/>
    </xf>
    <xf numFmtId="0" fontId="16" fillId="38" borderId="0" xfId="0" applyFont="1" applyFill="1"/>
    <xf numFmtId="0" fontId="13" fillId="39" borderId="37" xfId="0" applyFont="1" applyFill="1" applyBorder="1"/>
    <xf numFmtId="0" fontId="0" fillId="0" borderId="38" xfId="0" applyBorder="1"/>
    <xf numFmtId="0" fontId="16" fillId="0" borderId="0" xfId="0" applyFont="1" applyAlignment="1">
      <alignment horizontal="center"/>
    </xf>
    <xf numFmtId="0" fontId="0" fillId="0" borderId="0" xfId="0" applyAlignment="1">
      <alignment horizontal="center"/>
    </xf>
    <xf numFmtId="0" fontId="16" fillId="40" borderId="0" xfId="0" applyFont="1" applyFill="1" applyAlignment="1">
      <alignment horizontal="left"/>
    </xf>
    <xf numFmtId="164" fontId="0" fillId="40" borderId="0" xfId="0" applyNumberFormat="1" applyFill="1"/>
    <xf numFmtId="0" fontId="0" fillId="0" borderId="0" xfId="0" pivotButton="1" applyBorder="1"/>
    <xf numFmtId="0" fontId="0" fillId="0" borderId="0" xfId="0" applyBorder="1" applyAlignment="1">
      <alignment horizontal="left"/>
    </xf>
    <xf numFmtId="0" fontId="0" fillId="0" borderId="0" xfId="0" applyNumberFormat="1" applyBorder="1"/>
    <xf numFmtId="0" fontId="16" fillId="37" borderId="0" xfId="0" applyFont="1" applyFill="1" applyBorder="1"/>
    <xf numFmtId="0" fontId="0" fillId="0" borderId="28" xfId="0" applyNumberFormat="1" applyBorder="1"/>
    <xf numFmtId="0" fontId="16" fillId="37" borderId="0" xfId="0" applyNumberFormat="1" applyFont="1" applyFill="1" applyBorder="1"/>
    <xf numFmtId="2" fontId="0" fillId="0" borderId="40" xfId="0" applyNumberFormat="1" applyBorder="1"/>
    <xf numFmtId="2" fontId="0" fillId="0" borderId="28" xfId="0" applyNumberFormat="1" applyBorder="1"/>
    <xf numFmtId="2" fontId="0" fillId="0" borderId="39" xfId="0" applyNumberFormat="1" applyBorder="1"/>
    <xf numFmtId="0" fontId="23" fillId="34" borderId="28" xfId="0" applyFont="1" applyFill="1" applyBorder="1" applyAlignment="1">
      <alignment horizontal="left"/>
    </xf>
    <xf numFmtId="0" fontId="0" fillId="34" borderId="39" xfId="0" applyFill="1" applyBorder="1" applyAlignment="1">
      <alignment horizontal="left"/>
    </xf>
    <xf numFmtId="0" fontId="0" fillId="0" borderId="39" xfId="0" applyNumberFormat="1" applyBorder="1"/>
    <xf numFmtId="2" fontId="16" fillId="40" borderId="0" xfId="0" applyNumberFormat="1" applyFont="1" applyFill="1"/>
    <xf numFmtId="2" fontId="16" fillId="38" borderId="0" xfId="0" applyNumberFormat="1" applyFont="1" applyFill="1"/>
    <xf numFmtId="2" fontId="0" fillId="38" borderId="0" xfId="0" applyNumberFormat="1" applyFill="1"/>
    <xf numFmtId="0" fontId="0" fillId="38" borderId="0" xfId="0" applyFill="1" applyAlignment="1">
      <alignment horizontal="left"/>
    </xf>
    <xf numFmtId="0" fontId="0" fillId="40" borderId="0" xfId="0" applyFill="1" applyAlignment="1">
      <alignment horizontal="left"/>
    </xf>
    <xf numFmtId="2" fontId="0" fillId="40" borderId="0" xfId="0" applyNumberFormat="1" applyFill="1"/>
    <xf numFmtId="0" fontId="0" fillId="34" borderId="28" xfId="0" applyFill="1" applyBorder="1" applyAlignment="1">
      <alignment horizontal="right"/>
    </xf>
    <xf numFmtId="0" fontId="16" fillId="37" borderId="0" xfId="0" applyFont="1" applyFill="1" applyAlignment="1">
      <alignment horizontal="right"/>
    </xf>
    <xf numFmtId="0" fontId="16" fillId="37" borderId="34" xfId="0" applyFont="1" applyFill="1" applyBorder="1" applyAlignment="1">
      <alignment horizontal="right"/>
    </xf>
    <xf numFmtId="2" fontId="0" fillId="0" borderId="0" xfId="0" applyNumberFormat="1" applyAlignment="1">
      <alignment horizontal="right"/>
    </xf>
    <xf numFmtId="0" fontId="0" fillId="0" borderId="0" xfId="0" applyAlignment="1">
      <alignment horizontal="right"/>
    </xf>
    <xf numFmtId="2" fontId="0" fillId="40" borderId="0" xfId="0" applyNumberFormat="1" applyFill="1" applyAlignment="1">
      <alignment horizontal="right"/>
    </xf>
    <xf numFmtId="0" fontId="13" fillId="39" borderId="0" xfId="0" applyFont="1" applyFill="1" applyBorder="1"/>
    <xf numFmtId="0" fontId="0" fillId="40" borderId="0" xfId="0" applyFill="1"/>
    <xf numFmtId="0" fontId="0" fillId="38" borderId="0" xfId="0" applyFill="1"/>
    <xf numFmtId="164" fontId="0" fillId="38" borderId="0" xfId="0" applyNumberFormat="1" applyFill="1"/>
    <xf numFmtId="0" fontId="16" fillId="40" borderId="0" xfId="0" applyFont="1" applyFill="1"/>
    <xf numFmtId="1" fontId="0" fillId="38" borderId="0" xfId="0" applyNumberFormat="1" applyFill="1"/>
    <xf numFmtId="0" fontId="19" fillId="41" borderId="32" xfId="0" applyFont="1" applyFill="1" applyBorder="1" applyAlignment="1">
      <alignment horizontal="left" vertical="center"/>
    </xf>
    <xf numFmtId="0" fontId="19" fillId="41" borderId="41" xfId="0" applyFont="1" applyFill="1" applyBorder="1" applyAlignment="1">
      <alignment vertical="center"/>
    </xf>
    <xf numFmtId="2" fontId="19" fillId="41" borderId="42" xfId="0" applyNumberFormat="1" applyFont="1" applyFill="1" applyBorder="1" applyAlignment="1">
      <alignment horizontal="center" vertical="center"/>
    </xf>
    <xf numFmtId="2" fontId="19" fillId="41" borderId="41" xfId="0" applyNumberFormat="1" applyFont="1" applyFill="1" applyBorder="1" applyAlignment="1">
      <alignment horizontal="center" vertical="center"/>
    </xf>
    <xf numFmtId="1" fontId="19" fillId="41" borderId="41" xfId="0" applyNumberFormat="1" applyFont="1" applyFill="1" applyBorder="1" applyAlignment="1">
      <alignment horizontal="center" vertical="center"/>
    </xf>
    <xf numFmtId="1" fontId="19" fillId="41" borderId="33" xfId="0" applyNumberFormat="1" applyFont="1" applyFill="1" applyBorder="1" applyAlignment="1">
      <alignment horizontal="center" vertical="center"/>
    </xf>
    <xf numFmtId="2" fontId="19" fillId="41" borderId="43" xfId="0" applyNumberFormat="1" applyFont="1" applyFill="1" applyBorder="1" applyAlignment="1">
      <alignment horizontal="center" vertical="center"/>
    </xf>
    <xf numFmtId="2" fontId="19" fillId="41" borderId="29" xfId="0" applyNumberFormat="1" applyFont="1" applyFill="1" applyBorder="1" applyAlignment="1">
      <alignment horizontal="center" vertical="center"/>
    </xf>
    <xf numFmtId="0" fontId="0" fillId="38" borderId="28" xfId="0" applyFill="1" applyBorder="1" applyAlignment="1">
      <alignment horizontal="left"/>
    </xf>
    <xf numFmtId="2" fontId="0" fillId="38" borderId="28" xfId="0" applyNumberFormat="1" applyFill="1" applyBorder="1"/>
    <xf numFmtId="0" fontId="0" fillId="38" borderId="28" xfId="0" applyFill="1" applyBorder="1"/>
    <xf numFmtId="0" fontId="25" fillId="42" borderId="0" xfId="0" applyFont="1" applyFill="1" applyBorder="1"/>
    <xf numFmtId="0" fontId="16" fillId="42" borderId="0" xfId="0" applyFont="1" applyFill="1" applyBorder="1"/>
    <xf numFmtId="0" fontId="0" fillId="34" borderId="0" xfId="0" applyFill="1"/>
    <xf numFmtId="0" fontId="24" fillId="42" borderId="0" xfId="0" applyFont="1" applyFill="1" applyBorder="1"/>
    <xf numFmtId="0" fontId="13" fillId="39" borderId="28" xfId="0" applyFont="1" applyFill="1" applyBorder="1"/>
    <xf numFmtId="0" fontId="24" fillId="43" borderId="0" xfId="0" applyFont="1" applyFill="1" applyBorder="1"/>
    <xf numFmtId="0" fontId="24" fillId="43" borderId="0" xfId="0" applyFont="1" applyFill="1" applyBorder="1" applyAlignment="1">
      <alignment wrapText="1"/>
    </xf>
    <xf numFmtId="0" fontId="22" fillId="33" borderId="28" xfId="0" applyFont="1" applyFill="1" applyBorder="1" applyAlignment="1">
      <alignment vertical="center"/>
    </xf>
    <xf numFmtId="0" fontId="22" fillId="0" borderId="28" xfId="0" applyFont="1" applyBorder="1" applyAlignment="1">
      <alignment vertical="center"/>
    </xf>
    <xf numFmtId="0" fontId="22" fillId="33" borderId="44" xfId="0" applyFont="1" applyFill="1" applyBorder="1" applyAlignment="1">
      <alignment horizontal="left" vertical="center"/>
    </xf>
    <xf numFmtId="0" fontId="22" fillId="0" borderId="44" xfId="0" applyFont="1" applyBorder="1" applyAlignment="1">
      <alignment horizontal="left" vertical="center"/>
    </xf>
    <xf numFmtId="0" fontId="0" fillId="0" borderId="40" xfId="0" applyBorder="1"/>
    <xf numFmtId="1" fontId="0" fillId="0" borderId="28" xfId="0" applyNumberFormat="1" applyBorder="1"/>
    <xf numFmtId="1" fontId="0" fillId="0" borderId="39" xfId="0" applyNumberFormat="1" applyBorder="1"/>
    <xf numFmtId="2" fontId="0" fillId="0" borderId="28" xfId="0" applyNumberFormat="1" applyBorder="1" applyAlignment="1">
      <alignment horizontal="right"/>
    </xf>
    <xf numFmtId="2" fontId="0" fillId="0" borderId="39" xfId="0" applyNumberFormat="1" applyBorder="1" applyAlignment="1">
      <alignment horizontal="right"/>
    </xf>
    <xf numFmtId="2" fontId="0" fillId="0" borderId="45" xfId="0" applyNumberFormat="1" applyBorder="1"/>
    <xf numFmtId="2" fontId="0" fillId="0" borderId="36" xfId="0" applyNumberFormat="1" applyBorder="1"/>
    <xf numFmtId="0" fontId="22" fillId="33" borderId="35" xfId="0" applyFont="1" applyFill="1" applyBorder="1" applyAlignment="1">
      <alignment horizontal="left" vertical="center"/>
    </xf>
    <xf numFmtId="0" fontId="22" fillId="33" borderId="39" xfId="0" applyFont="1" applyFill="1" applyBorder="1" applyAlignment="1">
      <alignment vertical="center"/>
    </xf>
    <xf numFmtId="0" fontId="0" fillId="37" borderId="0" xfId="0" applyFont="1" applyFill="1" applyBorder="1" applyAlignment="1">
      <alignment horizontal="left"/>
    </xf>
    <xf numFmtId="1" fontId="0" fillId="0" borderId="0" xfId="0" applyNumberFormat="1"/>
    <xf numFmtId="0" fontId="27" fillId="34" borderId="28" xfId="0" applyFont="1" applyFill="1" applyBorder="1"/>
    <xf numFmtId="0" fontId="27" fillId="34" borderId="28" xfId="0" applyFont="1" applyFill="1" applyBorder="1" applyAlignment="1">
      <alignment horizontal="left"/>
    </xf>
    <xf numFmtId="2" fontId="27" fillId="34" borderId="28" xfId="0" applyNumberFormat="1" applyFont="1" applyFill="1" applyBorder="1"/>
    <xf numFmtId="0" fontId="27" fillId="34" borderId="28" xfId="0" applyFont="1" applyFill="1" applyBorder="1" applyAlignment="1">
      <alignment horizontal="right"/>
    </xf>
    <xf numFmtId="2" fontId="29" fillId="34" borderId="28" xfId="0" applyNumberFormat="1" applyFont="1" applyFill="1" applyBorder="1" applyAlignment="1">
      <alignment horizontal="left" wrapText="1"/>
    </xf>
    <xf numFmtId="0" fontId="28" fillId="35" borderId="28" xfId="0" applyFont="1" applyFill="1" applyBorder="1" applyAlignment="1">
      <alignment horizontal="left" vertical="center"/>
    </xf>
    <xf numFmtId="1" fontId="28" fillId="35" borderId="28" xfId="0" applyNumberFormat="1" applyFont="1" applyFill="1" applyBorder="1" applyAlignment="1">
      <alignment horizontal="center" vertical="center" wrapText="1"/>
    </xf>
    <xf numFmtId="0" fontId="28" fillId="34" borderId="28" xfId="0" applyFont="1" applyFill="1" applyBorder="1" applyAlignment="1">
      <alignment horizontal="left" vertical="center"/>
    </xf>
    <xf numFmtId="0" fontId="17" fillId="40" borderId="28" xfId="0" applyFont="1" applyFill="1" applyBorder="1"/>
    <xf numFmtId="0" fontId="17" fillId="40" borderId="28" xfId="0" applyFont="1" applyFill="1" applyBorder="1" applyAlignment="1">
      <alignment wrapText="1"/>
    </xf>
    <xf numFmtId="2" fontId="0" fillId="0" borderId="44" xfId="0" applyNumberFormat="1" applyBorder="1"/>
    <xf numFmtId="0" fontId="22" fillId="40" borderId="44" xfId="0" applyFont="1" applyFill="1" applyBorder="1" applyAlignment="1">
      <alignment horizontal="left" vertical="center"/>
    </xf>
    <xf numFmtId="0" fontId="22" fillId="38" borderId="44" xfId="0" applyFont="1" applyFill="1" applyBorder="1" applyAlignment="1">
      <alignment horizontal="left" vertical="center"/>
    </xf>
    <xf numFmtId="0" fontId="22" fillId="40" borderId="28" xfId="0" applyFont="1" applyFill="1" applyBorder="1" applyAlignment="1">
      <alignment vertical="center"/>
    </xf>
    <xf numFmtId="0" fontId="22" fillId="38" borderId="28" xfId="0" applyFont="1" applyFill="1" applyBorder="1" applyAlignment="1">
      <alignment vertical="center"/>
    </xf>
    <xf numFmtId="2" fontId="0" fillId="40" borderId="28" xfId="0" applyNumberFormat="1" applyFill="1" applyBorder="1"/>
    <xf numFmtId="1" fontId="0" fillId="40" borderId="28" xfId="0" applyNumberFormat="1" applyFill="1" applyBorder="1"/>
    <xf numFmtId="1" fontId="0" fillId="38" borderId="28" xfId="0" applyNumberFormat="1" applyFill="1" applyBorder="1"/>
    <xf numFmtId="2" fontId="0" fillId="40" borderId="28" xfId="0" applyNumberFormat="1" applyFill="1" applyBorder="1" applyAlignment="1">
      <alignment horizontal="right"/>
    </xf>
    <xf numFmtId="0" fontId="0" fillId="34" borderId="40" xfId="0" applyFill="1" applyBorder="1"/>
    <xf numFmtId="0" fontId="0" fillId="34" borderId="40" xfId="0" applyFill="1" applyBorder="1" applyAlignment="1">
      <alignment horizontal="right"/>
    </xf>
    <xf numFmtId="0" fontId="0" fillId="34" borderId="46" xfId="0" applyFill="1" applyBorder="1" applyAlignment="1">
      <alignment horizontal="left"/>
    </xf>
    <xf numFmtId="0" fontId="0" fillId="34" borderId="46" xfId="0" applyFill="1" applyBorder="1"/>
    <xf numFmtId="0" fontId="0" fillId="34" borderId="46" xfId="0" applyFill="1" applyBorder="1" applyAlignment="1">
      <alignment horizontal="right"/>
    </xf>
    <xf numFmtId="0" fontId="22" fillId="40" borderId="12" xfId="0" applyFont="1" applyFill="1" applyBorder="1" applyAlignment="1">
      <alignment horizontal="left" vertical="center"/>
    </xf>
    <xf numFmtId="0" fontId="19" fillId="33" borderId="35" xfId="0" applyFont="1" applyFill="1" applyBorder="1" applyAlignment="1">
      <alignment horizontal="left" vertical="center"/>
    </xf>
    <xf numFmtId="0" fontId="22" fillId="38" borderId="12" xfId="0" applyFont="1" applyFill="1" applyBorder="1" applyAlignment="1">
      <alignment horizontal="left" vertical="center"/>
    </xf>
    <xf numFmtId="0" fontId="19" fillId="0" borderId="35" xfId="0" applyFont="1" applyFill="1" applyBorder="1" applyAlignment="1">
      <alignment horizontal="left" vertical="center"/>
    </xf>
    <xf numFmtId="0" fontId="22" fillId="40" borderId="13" xfId="0" applyFont="1" applyFill="1" applyBorder="1" applyAlignment="1">
      <alignment vertical="center"/>
    </xf>
    <xf numFmtId="0" fontId="19" fillId="33" borderId="39" xfId="0" applyFont="1" applyFill="1" applyBorder="1" applyAlignment="1">
      <alignment vertical="center"/>
    </xf>
    <xf numFmtId="0" fontId="22" fillId="38" borderId="13" xfId="0" applyFont="1" applyFill="1" applyBorder="1" applyAlignment="1">
      <alignment vertical="center"/>
    </xf>
    <xf numFmtId="0" fontId="19" fillId="0" borderId="39" xfId="0" applyFont="1" applyFill="1" applyBorder="1" applyAlignment="1">
      <alignment vertical="center"/>
    </xf>
    <xf numFmtId="0" fontId="22" fillId="34" borderId="0" xfId="0" applyFont="1" applyFill="1" applyBorder="1" applyAlignment="1">
      <alignment horizontal="left" vertical="center"/>
    </xf>
    <xf numFmtId="0" fontId="22" fillId="34" borderId="0" xfId="0" applyFont="1" applyFill="1" applyBorder="1" applyAlignment="1">
      <alignment vertical="center"/>
    </xf>
    <xf numFmtId="2" fontId="0" fillId="34" borderId="0" xfId="0" applyNumberFormat="1" applyFill="1" applyBorder="1"/>
    <xf numFmtId="1" fontId="0" fillId="34" borderId="0" xfId="0" applyNumberFormat="1" applyFill="1" applyBorder="1"/>
    <xf numFmtId="2" fontId="0" fillId="34" borderId="0" xfId="0" applyNumberFormat="1" applyFill="1" applyBorder="1" applyAlignment="1">
      <alignment horizontal="right"/>
    </xf>
    <xf numFmtId="2" fontId="16" fillId="37" borderId="28" xfId="0" applyNumberFormat="1" applyFont="1" applyFill="1" applyBorder="1"/>
    <xf numFmtId="1" fontId="0" fillId="0" borderId="45" xfId="0" applyNumberFormat="1" applyBorder="1"/>
    <xf numFmtId="1" fontId="0" fillId="0" borderId="36" xfId="0" applyNumberFormat="1" applyBorder="1"/>
    <xf numFmtId="164" fontId="0" fillId="0" borderId="28" xfId="0" applyNumberFormat="1" applyBorder="1"/>
    <xf numFmtId="164" fontId="0" fillId="0" borderId="39" xfId="0" applyNumberFormat="1" applyBorder="1"/>
    <xf numFmtId="0" fontId="30" fillId="37" borderId="40" xfId="0" applyFont="1" applyFill="1" applyBorder="1"/>
    <xf numFmtId="164" fontId="0" fillId="38" borderId="28" xfId="0" applyNumberFormat="1" applyFill="1" applyBorder="1"/>
    <xf numFmtId="164" fontId="0" fillId="40" borderId="28" xfId="0" applyNumberFormat="1" applyFill="1" applyBorder="1"/>
    <xf numFmtId="0" fontId="31" fillId="0" borderId="0" xfId="0" applyFont="1"/>
    <xf numFmtId="164" fontId="0" fillId="34" borderId="28" xfId="0" applyNumberFormat="1" applyFill="1" applyBorder="1"/>
    <xf numFmtId="164" fontId="0" fillId="34" borderId="46" xfId="0" applyNumberFormat="1" applyFill="1" applyBorder="1"/>
    <xf numFmtId="0" fontId="0" fillId="0" borderId="28" xfId="0" applyBorder="1" applyAlignment="1">
      <alignment horizontal="left"/>
    </xf>
    <xf numFmtId="166" fontId="0" fillId="0" borderId="0" xfId="0" applyNumberFormat="1"/>
    <xf numFmtId="0" fontId="32" fillId="0" borderId="0" xfId="0" applyFont="1"/>
    <xf numFmtId="0" fontId="33" fillId="0" borderId="0" xfId="0" applyFont="1"/>
    <xf numFmtId="0" fontId="34" fillId="0" borderId="0" xfId="0" applyFont="1"/>
    <xf numFmtId="0" fontId="35" fillId="0" borderId="0" xfId="0" applyFont="1"/>
    <xf numFmtId="0" fontId="33" fillId="0" borderId="0" xfId="0" applyFont="1" applyAlignment="1">
      <alignment horizontal="center"/>
    </xf>
    <xf numFmtId="0" fontId="18" fillId="0" borderId="11" xfId="0" applyFont="1" applyFill="1" applyBorder="1" applyAlignment="1">
      <alignment vertical="center" wrapText="1"/>
    </xf>
    <xf numFmtId="0" fontId="18" fillId="0" borderId="11" xfId="0" applyFont="1" applyFill="1" applyBorder="1" applyAlignment="1">
      <alignment horizontal="center" vertical="center" wrapText="1"/>
    </xf>
    <xf numFmtId="0" fontId="18" fillId="0" borderId="11" xfId="0" applyFont="1" applyFill="1" applyBorder="1" applyAlignment="1">
      <alignment horizontal="left" vertical="center" wrapText="1"/>
    </xf>
    <xf numFmtId="165" fontId="19" fillId="0" borderId="13" xfId="0" applyNumberFormat="1" applyFont="1" applyFill="1" applyBorder="1" applyAlignment="1">
      <alignment horizontal="center" vertical="center" wrapText="1"/>
    </xf>
    <xf numFmtId="0" fontId="18" fillId="0" borderId="10" xfId="0" applyFont="1" applyFill="1" applyBorder="1" applyAlignment="1">
      <alignment vertical="center" wrapText="1"/>
    </xf>
    <xf numFmtId="0" fontId="19" fillId="0" borderId="12" xfId="0" applyFont="1" applyFill="1" applyBorder="1" applyAlignment="1">
      <alignment vertical="center"/>
    </xf>
    <xf numFmtId="0" fontId="0" fillId="0" borderId="0" xfId="0" applyAlignment="1"/>
    <xf numFmtId="0" fontId="19" fillId="0" borderId="14" xfId="0" applyFont="1" applyFill="1" applyBorder="1" applyAlignment="1">
      <alignment vertical="center"/>
    </xf>
    <xf numFmtId="1" fontId="0" fillId="0" borderId="0" xfId="0" applyNumberFormat="1" applyFill="1" applyAlignment="1">
      <alignment horizontal="center"/>
    </xf>
    <xf numFmtId="0" fontId="18" fillId="0" borderId="11" xfId="0" applyFont="1" applyFill="1" applyBorder="1" applyAlignment="1">
      <alignment horizontal="right" vertical="center" wrapText="1"/>
    </xf>
    <xf numFmtId="0" fontId="20" fillId="44" borderId="21" xfId="0" applyFont="1" applyFill="1" applyBorder="1"/>
    <xf numFmtId="0" fontId="20" fillId="44" borderId="20" xfId="0" applyFont="1" applyFill="1" applyBorder="1"/>
    <xf numFmtId="0" fontId="21" fillId="44" borderId="21" xfId="0" applyFont="1" applyFill="1" applyBorder="1"/>
    <xf numFmtId="0" fontId="21" fillId="44" borderId="20" xfId="0" applyFont="1" applyFill="1" applyBorder="1"/>
    <xf numFmtId="0" fontId="20" fillId="45" borderId="19" xfId="0" applyFont="1" applyFill="1" applyBorder="1"/>
    <xf numFmtId="0" fontId="20" fillId="45" borderId="20" xfId="0" applyFont="1" applyFill="1" applyBorder="1"/>
    <xf numFmtId="0" fontId="21" fillId="45" borderId="19" xfId="0" applyFont="1" applyFill="1" applyBorder="1"/>
    <xf numFmtId="0" fontId="21" fillId="45" borderId="20" xfId="0" applyFont="1" applyFill="1" applyBorder="1"/>
    <xf numFmtId="0" fontId="20" fillId="47" borderId="19" xfId="0" applyFont="1" applyFill="1" applyBorder="1"/>
    <xf numFmtId="0" fontId="20" fillId="47" borderId="20" xfId="0" applyFont="1" applyFill="1" applyBorder="1"/>
    <xf numFmtId="0" fontId="21" fillId="47" borderId="19" xfId="0" applyFont="1" applyFill="1" applyBorder="1"/>
    <xf numFmtId="0" fontId="21" fillId="47" borderId="20" xfId="0" applyFont="1" applyFill="1" applyBorder="1"/>
    <xf numFmtId="0" fontId="20" fillId="48" borderId="19" xfId="0" applyFont="1" applyFill="1" applyBorder="1"/>
    <xf numFmtId="0" fontId="20" fillId="48" borderId="20" xfId="0" applyFont="1" applyFill="1" applyBorder="1"/>
    <xf numFmtId="0" fontId="21" fillId="48" borderId="19" xfId="0" applyFont="1" applyFill="1" applyBorder="1"/>
    <xf numFmtId="0" fontId="21" fillId="48" borderId="20" xfId="0" applyFont="1" applyFill="1" applyBorder="1"/>
    <xf numFmtId="0" fontId="20" fillId="49" borderId="19" xfId="0" applyFont="1" applyFill="1" applyBorder="1"/>
    <xf numFmtId="0" fontId="20" fillId="49" borderId="20" xfId="0" applyFont="1" applyFill="1" applyBorder="1"/>
    <xf numFmtId="0" fontId="21" fillId="49" borderId="19" xfId="0" applyFont="1" applyFill="1" applyBorder="1"/>
    <xf numFmtId="0" fontId="21" fillId="49" borderId="20" xfId="0" applyFont="1" applyFill="1" applyBorder="1"/>
    <xf numFmtId="0" fontId="21" fillId="49" borderId="22" xfId="0" applyFont="1" applyFill="1" applyBorder="1"/>
    <xf numFmtId="164" fontId="21" fillId="49" borderId="23" xfId="0" applyNumberFormat="1" applyFont="1" applyFill="1" applyBorder="1"/>
    <xf numFmtId="0" fontId="21" fillId="48" borderId="0" xfId="0" applyFont="1" applyFill="1" applyBorder="1"/>
    <xf numFmtId="164" fontId="21" fillId="48" borderId="0" xfId="0" applyNumberFormat="1" applyFont="1" applyFill="1" applyBorder="1"/>
    <xf numFmtId="0" fontId="21" fillId="47" borderId="24" xfId="0" applyFont="1" applyFill="1" applyBorder="1"/>
    <xf numFmtId="164" fontId="21" fillId="47" borderId="23" xfId="0" applyNumberFormat="1" applyFont="1" applyFill="1" applyBorder="1"/>
    <xf numFmtId="0" fontId="21" fillId="45" borderId="0" xfId="0" applyFont="1" applyFill="1" applyBorder="1"/>
    <xf numFmtId="164" fontId="21" fillId="45" borderId="23" xfId="0" applyNumberFormat="1" applyFont="1" applyFill="1" applyBorder="1"/>
    <xf numFmtId="0" fontId="21" fillId="44" borderId="0" xfId="0" applyFont="1" applyFill="1" applyBorder="1"/>
    <xf numFmtId="164" fontId="21" fillId="44" borderId="23" xfId="0" applyNumberFormat="1" applyFont="1" applyFill="1" applyBorder="1"/>
    <xf numFmtId="0" fontId="21" fillId="47" borderId="22" xfId="0" applyFont="1" applyFill="1" applyBorder="1"/>
    <xf numFmtId="2" fontId="21" fillId="48" borderId="0" xfId="0" applyNumberFormat="1" applyFont="1" applyFill="1" applyBorder="1"/>
    <xf numFmtId="0" fontId="21" fillId="49" borderId="23" xfId="0" applyFont="1" applyFill="1" applyBorder="1"/>
    <xf numFmtId="0" fontId="21" fillId="46" borderId="0" xfId="0" applyFont="1" applyFill="1" applyBorder="1"/>
    <xf numFmtId="2" fontId="21" fillId="45" borderId="23" xfId="0" applyNumberFormat="1" applyFont="1" applyFill="1" applyBorder="1"/>
    <xf numFmtId="2" fontId="21" fillId="47" borderId="23" xfId="0" applyNumberFormat="1" applyFont="1" applyFill="1" applyBorder="1"/>
    <xf numFmtId="0" fontId="21" fillId="47" borderId="23" xfId="0" applyFont="1" applyFill="1" applyBorder="1"/>
    <xf numFmtId="0" fontId="21" fillId="45" borderId="23" xfId="0" applyFont="1" applyFill="1" applyBorder="1"/>
    <xf numFmtId="0" fontId="21" fillId="49" borderId="25" xfId="0" applyFont="1" applyFill="1" applyBorder="1"/>
    <xf numFmtId="0" fontId="21" fillId="49" borderId="26" xfId="0" applyFont="1" applyFill="1" applyBorder="1"/>
    <xf numFmtId="0" fontId="21" fillId="48" borderId="27" xfId="0" applyFont="1" applyFill="1" applyBorder="1"/>
    <xf numFmtId="0" fontId="21" fillId="47" borderId="25" xfId="0" applyFont="1" applyFill="1" applyBorder="1"/>
    <xf numFmtId="0" fontId="21" fillId="47" borderId="26" xfId="0" applyFont="1" applyFill="1" applyBorder="1"/>
    <xf numFmtId="0" fontId="21" fillId="45" borderId="27" xfId="0" applyFont="1" applyFill="1" applyBorder="1"/>
    <xf numFmtId="0" fontId="21" fillId="45" borderId="26" xfId="0" applyFont="1" applyFill="1" applyBorder="1"/>
    <xf numFmtId="0" fontId="21" fillId="44" borderId="27" xfId="0" applyFont="1" applyFill="1" applyBorder="1"/>
    <xf numFmtId="164" fontId="21" fillId="44" borderId="26" xfId="0" applyNumberFormat="1" applyFont="1" applyFill="1" applyBorder="1"/>
    <xf numFmtId="0" fontId="33" fillId="0" borderId="0" xfId="0" applyFont="1" applyAlignment="1">
      <alignment horizontal="right"/>
    </xf>
    <xf numFmtId="0" fontId="36" fillId="0" borderId="0" xfId="0" applyFont="1" applyAlignment="1">
      <alignment vertical="center"/>
    </xf>
    <xf numFmtId="0" fontId="35" fillId="0" borderId="0" xfId="0" applyFont="1" applyAlignment="1">
      <alignment wrapText="1"/>
    </xf>
    <xf numFmtId="0" fontId="37" fillId="0" borderId="0" xfId="0" applyFont="1" applyAlignment="1">
      <alignment vertical="center"/>
    </xf>
    <xf numFmtId="0" fontId="38" fillId="40" borderId="28" xfId="0" applyFont="1" applyFill="1" applyBorder="1" applyAlignment="1">
      <alignment horizontal="center" vertical="center" wrapText="1"/>
    </xf>
    <xf numFmtId="0" fontId="38" fillId="40" borderId="28" xfId="0" applyFont="1" applyFill="1" applyBorder="1" applyAlignment="1">
      <alignment horizontal="center" vertical="center"/>
    </xf>
    <xf numFmtId="0" fontId="26" fillId="0" borderId="28" xfId="0" applyFont="1" applyFill="1" applyBorder="1" applyAlignment="1">
      <alignment vertical="center" wrapText="1"/>
    </xf>
    <xf numFmtId="0" fontId="26" fillId="0" borderId="28" xfId="0" applyFont="1" applyFill="1" applyBorder="1" applyAlignment="1">
      <alignment horizontal="left" vertical="center" indent="3"/>
    </xf>
    <xf numFmtId="0" fontId="26" fillId="0" borderId="28" xfId="0" applyFont="1" applyFill="1" applyBorder="1" applyAlignment="1">
      <alignment horizontal="left" vertical="center" wrapText="1"/>
    </xf>
    <xf numFmtId="10" fontId="26" fillId="0" borderId="28" xfId="0" applyNumberFormat="1" applyFont="1" applyFill="1" applyBorder="1" applyAlignment="1">
      <alignment vertical="center" wrapText="1"/>
    </xf>
    <xf numFmtId="0" fontId="26" fillId="50" borderId="28" xfId="0" applyFont="1" applyFill="1" applyBorder="1" applyAlignment="1">
      <alignment horizontal="left" vertical="center" indent="3"/>
    </xf>
    <xf numFmtId="0" fontId="26" fillId="50" borderId="28" xfId="0" applyFont="1" applyFill="1" applyBorder="1" applyAlignment="1">
      <alignment horizontal="left" vertical="center" wrapText="1"/>
    </xf>
    <xf numFmtId="10" fontId="26" fillId="50" borderId="28" xfId="0" applyNumberFormat="1" applyFont="1" applyFill="1" applyBorder="1" applyAlignment="1">
      <alignment vertical="center" wrapText="1"/>
    </xf>
    <xf numFmtId="0" fontId="0" fillId="0" borderId="0" xfId="0" applyAlignment="1">
      <alignment horizontal="left"/>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339">
    <dxf>
      <font>
        <strike val="0"/>
        <outline val="0"/>
        <shadow val="0"/>
        <vertAlign val="baseline"/>
        <sz val="10"/>
      </font>
      <fill>
        <patternFill patternType="none">
          <fgColor indexed="64"/>
          <bgColor auto="1"/>
        </patternFill>
      </fill>
      <alignment horizontal="left" vertical="center" textRotation="0" wrapText="1" indent="0" justifyLastLine="0" shrinkToFit="0" readingOrder="0"/>
      <border diagonalUp="0" diagonalDown="0" outline="0">
        <left/>
        <right/>
        <top style="thin">
          <color rgb="FF000000"/>
        </top>
        <bottom style="thin">
          <color rgb="FF000000"/>
        </bottom>
      </border>
    </dxf>
    <dxf>
      <font>
        <strike val="0"/>
        <outline val="0"/>
        <shadow val="0"/>
        <vertAlign val="baseline"/>
        <sz val="10"/>
      </font>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strike val="0"/>
        <outline val="0"/>
        <shadow val="0"/>
        <vertAlign val="baseline"/>
        <sz val="10"/>
      </font>
      <fill>
        <patternFill patternType="none">
          <fgColor indexed="64"/>
          <bgColor auto="1"/>
        </patternFill>
      </fill>
      <alignment horizontal="left" vertical="center" textRotation="0" wrapText="1" indent="0" justifyLastLine="0" shrinkToFit="0" readingOrder="0"/>
      <border diagonalUp="0" diagonalDown="0" outline="0">
        <left/>
        <right/>
        <top style="thin">
          <color rgb="FF000000"/>
        </top>
        <bottom style="thin">
          <color rgb="FF000000"/>
        </bottom>
      </border>
    </dxf>
    <dxf>
      <font>
        <strike val="0"/>
        <outline val="0"/>
        <shadow val="0"/>
        <vertAlign val="baseline"/>
        <sz val="10"/>
      </font>
      <numFmt numFmtId="1" formatCode="0"/>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strike val="0"/>
        <outline val="0"/>
        <shadow val="0"/>
        <vertAlign val="baseline"/>
        <sz val="10"/>
      </font>
      <numFmt numFmtId="1" formatCode="0"/>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strike val="0"/>
        <outline val="0"/>
        <shadow val="0"/>
        <vertAlign val="baseline"/>
        <sz val="10"/>
      </font>
      <numFmt numFmtId="1" formatCode="0"/>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168" formatCode="dd/mm/yy;@"/>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1"/>
        <color theme="1"/>
        <name val="Calibri"/>
        <scheme val="none"/>
      </font>
      <fill>
        <patternFill patternType="none">
          <fgColor indexed="64"/>
          <bgColor auto="1"/>
        </patternFill>
      </fill>
      <alignment horizontal="center" vertical="center" textRotation="0" wrapText="1" indent="0" justifyLastLine="0" shrinkToFit="0" readingOrder="0"/>
      <border diagonalUp="0" diagonalDown="0" outline="0">
        <left/>
        <right/>
        <top style="thin">
          <color rgb="FF9BC2E6"/>
        </top>
        <bottom style="thin">
          <color rgb="FF9BC2E6"/>
        </bottom>
      </border>
    </dxf>
    <dxf>
      <font>
        <b val="0"/>
        <i val="0"/>
        <strike val="0"/>
        <condense val="0"/>
        <extend val="0"/>
        <outline val="0"/>
        <shadow val="0"/>
        <u val="none"/>
        <vertAlign val="baseline"/>
        <sz val="10"/>
        <color auto="1"/>
        <name val="Calibri"/>
        <scheme val="none"/>
      </font>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scheme val="none"/>
      </font>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0" indent="0" justifyLastLine="0" shrinkToFit="0" readingOrder="0"/>
      <border diagonalUp="0" diagonalDown="0" outline="0">
        <left/>
        <right/>
        <top style="thin">
          <color rgb="FF000000"/>
        </top>
        <bottom style="thin">
          <color rgb="FF000000"/>
        </bottom>
      </border>
    </dxf>
    <dxf>
      <font>
        <b val="0"/>
        <i val="0"/>
        <strike val="0"/>
        <condense val="0"/>
        <extend val="0"/>
        <outline val="0"/>
        <shadow val="0"/>
        <u val="none"/>
        <vertAlign val="baseline"/>
        <sz val="10"/>
        <color auto="1"/>
        <name val="Calibri"/>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style="thin">
          <color rgb="FF000000"/>
        </left>
        <right/>
        <top style="thin">
          <color rgb="FF000000"/>
        </top>
        <bottom style="thin">
          <color rgb="FF000000"/>
        </bottom>
      </border>
    </dxf>
    <dxf>
      <font>
        <strike val="0"/>
        <outline val="0"/>
        <shadow val="0"/>
        <vertAlign val="baseline"/>
        <sz val="10"/>
      </font>
      <fill>
        <patternFill patternType="none">
          <fgColor indexed="64"/>
          <bgColor auto="1"/>
        </patternFill>
      </fill>
      <alignment horizontal="general" vertical="center" textRotation="0" wrapText="1" indent="0" justifyLastLine="0" shrinkToFit="0" readingOrder="0"/>
      <border diagonalUp="0" diagonalDown="0" outline="0">
        <left style="thin">
          <color rgb="FF000000"/>
        </left>
        <right/>
        <top style="thin">
          <color rgb="FF000000"/>
        </top>
        <bottom style="thin">
          <color rgb="FF000000"/>
        </bottom>
      </border>
    </dxf>
    <dxf>
      <fill>
        <patternFill patternType="none">
          <fgColor indexed="64"/>
          <bgColor auto="1"/>
        </patternFill>
      </fill>
      <alignment horizontal="general" vertical="center" textRotation="0" indent="0" justifyLastLine="0" shrinkToFit="0" readingOrder="0"/>
    </dxf>
    <dxf>
      <fill>
        <patternFill patternType="none">
          <fgColor indexed="64"/>
          <bgColor auto="1"/>
        </patternFill>
      </fill>
      <alignment horizontal="general" vertical="center" textRotation="0" wrapText="1" indent="0" justifyLastLine="0" shrinkToFit="0" readingOrder="0"/>
    </dxf>
    <dxf>
      <font>
        <strike val="0"/>
        <outline val="0"/>
        <shadow val="0"/>
        <vertAlign val="baseline"/>
        <sz val="10"/>
      </font>
      <fill>
        <patternFill patternType="none">
          <fgColor indexed="64"/>
          <bgColor auto="1"/>
        </patternFill>
      </fill>
      <alignment horizontal="general" vertical="center" textRotation="0" wrapText="1" indent="0" justifyLastLine="0" shrinkToFit="0" readingOrder="0"/>
      <border diagonalUp="0" diagonalDown="0" outline="0">
        <left/>
        <right style="thin">
          <color rgb="FF000000"/>
        </right>
        <top style="thin">
          <color rgb="FF000000"/>
        </top>
        <bottom style="thin">
          <color rgb="FF000000"/>
        </bottom>
      </border>
    </dxf>
    <dxf>
      <font>
        <strike val="0"/>
        <outline val="0"/>
        <shadow val="0"/>
        <vertAlign val="baseline"/>
        <sz val="10"/>
      </font>
      <fill>
        <patternFill patternType="none">
          <fgColor indexed="64"/>
          <bgColor auto="1"/>
        </patternFill>
      </fill>
      <alignment horizontal="general" vertical="center" textRotation="0" wrapText="0" indent="0" justifyLastLine="0" shrinkToFit="0" readingOrder="0"/>
      <border diagonalUp="0" diagonalDown="0" outline="0">
        <left/>
        <right style="thin">
          <color rgb="FF000000"/>
        </right>
        <top style="thin">
          <color rgb="FF000000"/>
        </top>
        <bottom style="thin">
          <color rgb="FF000000"/>
        </bottom>
      </border>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numFmt numFmtId="0" formatCode="General"/>
    </dxf>
    <dxf>
      <numFmt numFmtId="164" formatCode="0.0"/>
    </dxf>
    <dxf>
      <alignment horizontal="left" vertical="bottom" textRotation="0" wrapText="0" indent="0" justifyLastLine="0" shrinkToFit="0" readingOrder="0"/>
    </dxf>
    <dxf>
      <font>
        <b/>
        <i val="0"/>
        <strike val="0"/>
        <condense val="0"/>
        <extend val="0"/>
        <outline val="0"/>
        <shadow val="0"/>
        <u val="none"/>
        <vertAlign val="baseline"/>
        <sz val="11"/>
        <color theme="1"/>
        <name val="Calibri"/>
        <scheme val="minor"/>
      </font>
    </dxf>
    <dxf>
      <numFmt numFmtId="2" formatCode="0.00"/>
    </dxf>
    <dxf>
      <numFmt numFmtId="1" formatCode="0"/>
    </dxf>
    <dxf>
      <font>
        <color theme="0"/>
      </font>
    </dxf>
    <dxf>
      <font>
        <color theme="0"/>
      </font>
    </dxf>
    <dxf>
      <fill>
        <patternFill>
          <bgColor rgb="FF0070C0"/>
        </patternFill>
      </fill>
    </dxf>
    <dxf>
      <fill>
        <patternFill>
          <bgColor rgb="FF0070C0"/>
        </patternFill>
      </fill>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font>
        <color auto="1"/>
      </font>
    </dxf>
    <dxf>
      <font>
        <color auto="1"/>
      </font>
    </dxf>
    <dxf>
      <font>
        <color auto="1"/>
      </font>
    </dxf>
    <dxf>
      <font>
        <color auto="1"/>
      </font>
    </dxf>
    <dxf>
      <font>
        <color auto="1"/>
      </font>
    </dxf>
    <dxf>
      <font>
        <color auto="1"/>
      </font>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alignment wrapText="1"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bgColor theme="0"/>
        </patternFill>
      </fill>
    </dxf>
    <dxf>
      <fill>
        <patternFill>
          <bgColor theme="0"/>
        </patternFill>
      </fill>
    </dxf>
    <dxf>
      <fill>
        <patternFill>
          <bgColor theme="0"/>
        </patternFill>
      </fill>
    </dxf>
    <dxf>
      <fill>
        <patternFill patternType="solid">
          <bgColor rgb="FF92D050"/>
        </patternFill>
      </fill>
    </dxf>
    <dxf>
      <fill>
        <patternFill patternType="solid">
          <bgColor rgb="FFFF0000"/>
        </patternFill>
      </fill>
    </dxf>
    <dxf>
      <fill>
        <patternFill patternType="solid">
          <bgColor rgb="FF92D050"/>
        </patternFill>
      </fill>
    </dxf>
    <dxf>
      <fill>
        <patternFill patternType="solid">
          <bgColor rgb="FFFF0000"/>
        </patternFill>
      </fill>
    </dxf>
    <dxf>
      <fill>
        <patternFill patternType="solid">
          <bgColor theme="0"/>
        </patternFill>
      </fill>
    </dxf>
    <dxf>
      <fill>
        <patternFill patternType="solid">
          <bgColor theme="0"/>
        </patternFill>
      </fill>
    </dxf>
    <dxf>
      <fill>
        <patternFill patternType="solid">
          <bgColor rgb="FFFF0000"/>
        </patternFill>
      </fill>
    </dxf>
    <dxf>
      <fill>
        <patternFill patternType="solid">
          <bgColor rgb="FFFF0000"/>
        </patternFill>
      </fill>
    </dxf>
    <dxf>
      <fill>
        <patternFill patternType="solid">
          <bgColor rgb="FF92D050"/>
        </patternFill>
      </fill>
    </dxf>
    <dxf>
      <fill>
        <patternFill patternType="solid">
          <bgColor rgb="FF92D050"/>
        </patternFill>
      </fill>
    </dxf>
    <dxf>
      <fill>
        <patternFill patternType="solid">
          <bgColor rgb="FFFF0000"/>
        </patternFill>
      </fill>
    </dxf>
    <dxf>
      <fill>
        <patternFill patternType="solid">
          <bgColor rgb="FF92D050"/>
        </patternFill>
      </fill>
    </dxf>
    <dxf>
      <numFmt numFmtId="2" formatCode="0.00"/>
    </dxf>
    <dxf>
      <numFmt numFmtId="2" formatCode="0.00"/>
    </dxf>
    <dxf>
      <font>
        <b val="0"/>
        <i val="0"/>
        <strike val="0"/>
        <condense val="0"/>
        <extend val="0"/>
        <outline val="0"/>
        <shadow val="0"/>
        <u val="none"/>
        <vertAlign val="baseline"/>
        <sz val="11"/>
        <color theme="1"/>
        <name val="Calibri"/>
        <scheme val="minor"/>
      </font>
      <fill>
        <patternFill patternType="solid">
          <fgColor theme="4" tint="0.79998168889431442"/>
          <bgColor theme="4" tint="0.79998168889431442"/>
        </patternFill>
      </fill>
      <alignment horizontal="left" vertical="bottom" textRotation="0" wrapText="0" indent="0" justifyLastLine="0" shrinkToFit="0" readingOrder="0"/>
    </dxf>
    <dxf>
      <numFmt numFmtId="2" formatCode="0.00"/>
      <border diagonalUp="0" diagonalDown="0">
        <left style="thin">
          <color indexed="64"/>
        </left>
        <right style="thin">
          <color indexed="64"/>
        </right>
        <top style="thin">
          <color indexed="64"/>
        </top>
        <bottom style="thin">
          <color indexed="64"/>
        </bottom>
      </border>
    </dxf>
    <dxf>
      <numFmt numFmtId="2" formatCode="0.00"/>
      <border diagonalUp="0" diagonalDown="0">
        <left style="thin">
          <color indexed="64"/>
        </left>
        <right style="thin">
          <color indexed="64"/>
        </right>
        <top style="thin">
          <color indexed="64"/>
        </top>
        <bottom style="thin">
          <color indexed="64"/>
        </bottom>
      </border>
    </dxf>
    <dxf>
      <numFmt numFmtId="2" formatCode="0.00"/>
      <border diagonalUp="0" diagonalDown="0">
        <left style="thin">
          <color indexed="64"/>
        </left>
        <right style="thin">
          <color indexed="64"/>
        </right>
        <top style="thin">
          <color indexed="64"/>
        </top>
        <bottom style="thin">
          <color indexed="64"/>
        </bottom>
      </border>
    </dxf>
    <dxf>
      <numFmt numFmtId="2" formatCode="0.00"/>
      <border diagonalUp="0" diagonalDown="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right style="thin">
          <color indexed="64"/>
        </right>
        <top style="thin">
          <color indexed="64"/>
        </top>
        <bottom style="thin">
          <color indexed="64"/>
        </bottom>
      </border>
    </dxf>
    <dxf>
      <numFmt numFmtId="2" formatCode="0.00"/>
      <alignment horizontal="right" vertical="bottom" textRotation="0" wrapText="0" relativeIndent="-1" justifyLastLine="0" shrinkToFit="0" readingOrder="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top style="thin">
          <color indexed="64"/>
        </top>
        <bottom style="thin">
          <color indexed="64"/>
        </bottom>
      </border>
    </dxf>
    <dxf>
      <numFmt numFmtId="1" formatCode="0"/>
      <border diagonalUp="0" diagonalDown="0">
        <left style="thin">
          <color indexed="64"/>
        </left>
        <right style="thin">
          <color indexed="64"/>
        </right>
        <top style="thin">
          <color indexed="64"/>
        </top>
        <bottom style="thin">
          <color indexed="64"/>
        </bottom>
        <vertical/>
        <horizontal/>
      </border>
    </dxf>
    <dxf>
      <numFmt numFmtId="1" formatCode="0"/>
      <border diagonalUp="0" diagonalDown="0" outline="0">
        <left style="thin">
          <color indexed="64"/>
        </left>
        <right style="thin">
          <color indexed="64"/>
        </right>
        <top style="thin">
          <color indexed="64"/>
        </top>
        <bottom style="thin">
          <color indexed="64"/>
        </bottom>
      </border>
    </dxf>
    <dxf>
      <numFmt numFmtId="164" formatCode="0.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none"/>
      </font>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none"/>
      </font>
      <alignment horizontal="left"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scheme val="minor"/>
      </font>
      <fill>
        <patternFill patternType="solid">
          <fgColor theme="4" tint="0.79998168889431442"/>
          <bgColor theme="4" tint="0.79998168889431442"/>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scheme val="minor"/>
      </font>
      <fill>
        <patternFill patternType="solid">
          <fgColor theme="4" tint="0.79998168889431442"/>
          <bgColor theme="4" tint="0.79998168889431442"/>
        </patternFill>
      </fill>
      <alignment horizontal="left" vertical="bottom" textRotation="0" wrapText="0" indent="0" justifyLastLine="0" shrinkToFit="0" readingOrder="0"/>
    </dxf>
    <dxf>
      <numFmt numFmtId="2" formatCode="0.00"/>
      <border diagonalUp="0" diagonalDown="0">
        <left style="thin">
          <color indexed="64"/>
        </left>
        <right style="thin">
          <color indexed="64"/>
        </right>
        <top style="thin">
          <color indexed="64"/>
        </top>
        <bottom style="thin">
          <color indexed="64"/>
        </bottom>
      </border>
    </dxf>
    <dxf>
      <numFmt numFmtId="2" formatCode="0.00"/>
      <border diagonalUp="0" diagonalDown="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right style="thin">
          <color indexed="64"/>
        </right>
        <top style="thin">
          <color indexed="64"/>
        </top>
        <bottom style="thin">
          <color indexed="64"/>
        </bottom>
      </border>
    </dxf>
    <dxf>
      <numFmt numFmtId="2" formatCode="0.00"/>
      <alignment horizontal="right" vertical="bottom" textRotation="0" wrapText="0" relativeIndent="-1" justifyLastLine="0" shrinkToFit="0" readingOrder="0"/>
      <border diagonalUp="0" diagonalDown="0" outline="0">
        <left style="thin">
          <color indexed="64"/>
        </left>
        <right style="thin">
          <color indexed="64"/>
        </right>
        <top style="thin">
          <color indexed="64"/>
        </top>
        <bottom style="thin">
          <color indexed="64"/>
        </bottom>
      </border>
    </dxf>
    <dxf>
      <numFmt numFmtId="2" formatCode="0.00"/>
      <border diagonalUp="0" diagonalDown="0" outline="0">
        <left style="thin">
          <color indexed="64"/>
        </left>
        <right/>
        <top style="thin">
          <color indexed="64"/>
        </top>
        <bottom style="thin">
          <color indexed="64"/>
        </bottom>
      </border>
    </dxf>
    <dxf>
      <numFmt numFmtId="1" formatCode="0"/>
      <border diagonalUp="0" diagonalDown="0">
        <left style="thin">
          <color indexed="64"/>
        </left>
        <right/>
        <top style="thin">
          <color indexed="64"/>
        </top>
        <bottom/>
        <vertical/>
        <horizontal/>
      </border>
    </dxf>
    <dxf>
      <numFmt numFmtId="1" formatCode="0"/>
      <border diagonalUp="0" diagonalDown="0" outline="0">
        <left style="thin">
          <color indexed="64"/>
        </left>
        <right style="thin">
          <color indexed="64"/>
        </right>
        <top style="thin">
          <color indexed="64"/>
        </top>
        <bottom style="thin">
          <color indexed="64"/>
        </bottom>
      </border>
    </dxf>
    <dxf>
      <numFmt numFmtId="164" formatCode="0.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none"/>
      </font>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none"/>
      </font>
      <alignment horizontal="left"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scheme val="minor"/>
      </font>
      <fill>
        <patternFill patternType="solid">
          <fgColor theme="4" tint="0.79998168889431442"/>
          <bgColor theme="4" tint="0.79998168889431442"/>
        </patternFill>
      </fill>
      <border diagonalUp="0" diagonalDown="0" outline="0">
        <left style="thin">
          <color indexed="64"/>
        </left>
        <right style="thin">
          <color indexed="64"/>
        </right>
        <top/>
        <bottom/>
      </border>
    </dxf>
    <dxf>
      <alignment wrapText="1" readingOrder="0"/>
    </dxf>
    <dxf>
      <numFmt numFmtId="164" formatCode="0.0"/>
    </dxf>
    <dxf>
      <numFmt numFmtId="164" formatCode="0.0"/>
    </dxf>
    <dxf>
      <numFmt numFmtId="164" formatCode="0.0"/>
    </dxf>
    <dxf>
      <numFmt numFmtId="2" formatCode="0.00"/>
    </dxf>
    <dxf>
      <numFmt numFmtId="2" formatCode="0.00"/>
    </dxf>
    <dxf>
      <font>
        <b/>
      </font>
    </dxf>
    <dxf>
      <numFmt numFmtId="2" formatCode="0.00"/>
    </dxf>
    <dxf>
      <numFmt numFmtId="1" formatCode="0"/>
    </dxf>
    <dxf>
      <numFmt numFmtId="164" formatCode="0.0"/>
    </dxf>
    <dxf>
      <numFmt numFmtId="164" formatCode="0.0"/>
    </dxf>
    <dxf>
      <numFmt numFmtId="164" formatCode="0.0"/>
    </dxf>
    <dxf>
      <numFmt numFmtId="164" formatCode="0.0"/>
    </dxf>
    <dxf>
      <numFmt numFmtId="164" formatCode="0.0"/>
    </dxf>
    <dxf>
      <font>
        <b/>
        <i val="0"/>
        <strike val="0"/>
        <condense val="0"/>
        <extend val="0"/>
        <outline val="0"/>
        <shadow val="0"/>
        <u val="none"/>
        <vertAlign val="baseline"/>
        <sz val="11"/>
        <color theme="1"/>
        <name val="Calibri"/>
        <scheme val="minor"/>
      </font>
    </dxf>
    <dxf>
      <numFmt numFmtId="2" formatCode="0.00"/>
    </dxf>
    <dxf>
      <font>
        <b val="0"/>
        <i val="0"/>
        <strike val="0"/>
        <condense val="0"/>
        <extend val="0"/>
        <outline val="0"/>
        <shadow val="0"/>
        <u val="none"/>
        <vertAlign val="baseline"/>
        <sz val="11"/>
        <color rgb="FF000000"/>
        <name val="Calibri"/>
        <scheme val="minor"/>
      </font>
      <fill>
        <patternFill patternType="solid">
          <fgColor indexed="64"/>
          <bgColor theme="0"/>
        </patternFill>
      </fill>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2" formatCode="0.00"/>
      <border diagonalUp="0" diagonalDown="0" outline="0">
        <left style="thin">
          <color indexed="64"/>
        </left>
        <right style="thin">
          <color indexed="64"/>
        </right>
        <top style="thin">
          <color indexed="64"/>
        </top>
        <bottom/>
      </border>
    </dxf>
    <dxf>
      <numFmt numFmtId="2" formatCode="0.00"/>
      <border diagonalUp="0" diagonalDown="0" outline="0">
        <left style="thin">
          <color indexed="64"/>
        </left>
        <right style="thin">
          <color indexed="64"/>
        </right>
        <top style="thin">
          <color indexed="64"/>
        </top>
        <bottom style="thin">
          <color indexed="64"/>
        </bottom>
      </border>
    </dxf>
    <dxf>
      <numFmt numFmtId="1" formatCode="0"/>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numFmt numFmtId="1" formatCode="0"/>
      <border diagonalUp="0" diagonalDown="0" outline="0">
        <left style="thin">
          <color indexed="64"/>
        </left>
        <right style="thin">
          <color indexed="64"/>
        </right>
        <top style="thin">
          <color indexed="64"/>
        </top>
        <bottom/>
      </border>
    </dxf>
    <dxf>
      <numFmt numFmtId="0" formatCode="General"/>
      <border diagonalUp="0" diagonalDown="0">
        <left style="thin">
          <color indexed="64"/>
        </left>
        <right style="thin">
          <color indexed="64"/>
        </right>
        <top style="thin">
          <color indexed="64"/>
        </top>
        <bottom style="thin">
          <color indexed="64"/>
        </bottom>
        <vertical/>
        <horizontal/>
      </border>
    </dxf>
    <dxf>
      <numFmt numFmtId="1" formatCode="0"/>
      <border diagonalUp="0" diagonalDown="0" outline="0">
        <left style="thin">
          <color indexed="64"/>
        </left>
        <right style="thin">
          <color indexed="64"/>
        </right>
        <top style="thin">
          <color indexed="64"/>
        </top>
        <bottom/>
      </border>
    </dxf>
    <dxf>
      <numFmt numFmtId="0" formatCode="General"/>
      <border diagonalUp="0" diagonalDown="0">
        <left style="thin">
          <color indexed="64"/>
        </left>
        <right style="thin">
          <color indexed="64"/>
        </right>
        <top style="thin">
          <color indexed="64"/>
        </top>
        <bottom style="thin">
          <color indexed="64"/>
        </bottom>
        <vertical/>
        <horizontal/>
      </border>
    </dxf>
    <dxf>
      <numFmt numFmtId="1" formatCode="0"/>
      <border diagonalUp="0" diagonalDown="0" outline="0">
        <left style="thin">
          <color indexed="64"/>
        </left>
        <right style="thin">
          <color indexed="64"/>
        </right>
        <top style="thin">
          <color indexed="64"/>
        </top>
        <bottom/>
      </border>
    </dxf>
    <dxf>
      <numFmt numFmtId="0" formatCode="General"/>
      <border diagonalUp="0" diagonalDown="0">
        <left style="thin">
          <color indexed="64"/>
        </left>
        <right style="thin">
          <color indexed="64"/>
        </right>
        <top style="thin">
          <color indexed="64"/>
        </top>
        <bottom style="thin">
          <color indexed="64"/>
        </bottom>
        <vertical/>
        <horizontal/>
      </border>
    </dxf>
    <dxf>
      <numFmt numFmtId="1" formatCode="0"/>
      <border diagonalUp="0" diagonalDown="0" outline="0">
        <left style="thin">
          <color indexed="64"/>
        </left>
        <right style="thin">
          <color indexed="64"/>
        </right>
        <top style="thin">
          <color indexed="64"/>
        </top>
        <bottom/>
      </border>
    </dxf>
    <dxf>
      <numFmt numFmtId="0" formatCode="General"/>
      <border diagonalUp="0" diagonalDown="0">
        <left style="thin">
          <color indexed="64"/>
        </left>
        <right style="thin">
          <color indexed="64"/>
        </right>
        <top style="thin">
          <color indexed="64"/>
        </top>
        <bottom style="thin">
          <color indexed="64"/>
        </bottom>
        <vertical/>
        <horizontal/>
      </border>
    </dxf>
    <dxf>
      <fill>
        <patternFill patternType="solid">
          <fgColor indexed="64"/>
          <bgColor theme="0"/>
        </patternFill>
      </fill>
      <alignment horizontal="left" vertical="bottom" textRotation="0" wrapText="0" indent="0" justifyLastLine="0" shrinkToFit="0" readingOrder="0"/>
      <border diagonalUp="0" diagonalDown="0" outline="0">
        <left style="thin">
          <color indexed="64"/>
        </left>
        <right style="thin">
          <color indexed="64"/>
        </right>
        <top style="thin">
          <color indexed="64"/>
        </top>
        <bottom/>
      </border>
    </dxf>
    <dxf>
      <fill>
        <patternFill patternType="solid">
          <fgColor indexed="64"/>
          <bgColor theme="0"/>
        </patternFill>
      </fill>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1"/>
        <color auto="1"/>
        <name val="Calibri"/>
        <scheme val="minor"/>
      </font>
      <fill>
        <patternFill patternType="solid">
          <fgColor theme="4" tint="0.79998168889431442"/>
          <bgColor theme="4"/>
        </patternFill>
      </fill>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alignment horizontal="center" vertical="bottom" textRotation="0" wrapText="0" indent="0" justifyLastLine="0" shrinkToFit="0" readingOrder="0"/>
    </dxf>
    <dxf>
      <alignment wrapText="1" readingOrder="0"/>
    </dxf>
    <dxf>
      <numFmt numFmtId="164" formatCode="0.0"/>
    </dxf>
    <dxf>
      <numFmt numFmtId="2" formatCode="0.00"/>
    </dxf>
    <dxf>
      <numFmt numFmtId="2" formatCode="0.00"/>
      <fill>
        <patternFill patternType="solid">
          <fgColor theme="8" tint="0.79998168889431442"/>
          <bgColor theme="0"/>
        </patternFill>
      </fill>
      <alignment horizontal="center" vertical="center" textRotation="0" wrapText="0" indent="0" justifyLastLine="0" shrinkToFit="0" readingOrder="0"/>
      <border diagonalUp="0" diagonalDown="0">
        <left style="thin">
          <color theme="0"/>
        </left>
        <right/>
        <top style="thin">
          <color rgb="FF9BC2E6"/>
        </top>
        <bottom style="thin">
          <color rgb="FF9BC2E6"/>
        </bottom>
      </border>
    </dxf>
    <dxf>
      <font>
        <b val="0"/>
        <i val="0"/>
        <strike val="0"/>
        <condense val="0"/>
        <extend val="0"/>
        <outline val="0"/>
        <shadow val="0"/>
        <u val="none"/>
        <vertAlign val="baseline"/>
        <sz val="11"/>
        <color theme="1"/>
        <name val="Calibri"/>
        <scheme val="none"/>
      </font>
      <numFmt numFmtId="1" formatCode="0"/>
      <fill>
        <patternFill patternType="solid">
          <fgColor theme="8" tint="0.79998168889431442"/>
          <bgColor theme="0"/>
        </patternFill>
      </fill>
      <alignment horizontal="center" vertical="center" textRotation="0" wrapText="0" indent="0" justifyLastLine="0" shrinkToFit="0" readingOrder="0"/>
      <border diagonalUp="0" diagonalDown="0">
        <left style="thin">
          <color rgb="FF000000"/>
        </left>
        <right/>
        <top style="thin">
          <color rgb="FF9BC2E6"/>
        </top>
        <bottom style="thin">
          <color rgb="FF9BC2E6"/>
        </bottom>
        <vertical/>
        <horizontal/>
      </border>
    </dxf>
    <dxf>
      <numFmt numFmtId="1" formatCode="0"/>
      <fill>
        <patternFill patternType="solid">
          <fgColor theme="8" tint="0.79998168889431442"/>
          <bgColor theme="0"/>
        </patternFill>
      </fill>
      <alignment horizontal="center" vertical="center" textRotation="0" wrapText="0" indent="0" justifyLastLine="0" shrinkToFit="0" readingOrder="0"/>
      <border diagonalUp="0" diagonalDown="0" outline="0">
        <left style="thin">
          <color theme="0"/>
        </left>
        <right style="thin">
          <color rgb="FF000000"/>
        </right>
        <top style="thin">
          <color rgb="FF9BC2E6"/>
        </top>
        <bottom style="thin">
          <color rgb="FF9BC2E6"/>
        </bottom>
      </border>
    </dxf>
    <dxf>
      <numFmt numFmtId="1" formatCode="0"/>
      <fill>
        <patternFill patternType="solid">
          <fgColor theme="8" tint="0.79998168889431442"/>
          <bgColor theme="0"/>
        </patternFill>
      </fill>
      <alignment horizontal="center" vertical="center" textRotation="0" wrapText="0" indent="0" justifyLastLine="0" shrinkToFit="0" readingOrder="0"/>
      <border diagonalUp="0" diagonalDown="0" outline="0">
        <left style="thin">
          <color theme="0"/>
        </left>
        <right style="thin">
          <color rgb="FF000000"/>
        </right>
        <top style="thin">
          <color rgb="FF9BC2E6"/>
        </top>
        <bottom style="thin">
          <color rgb="FF9BC2E6"/>
        </bottom>
      </border>
    </dxf>
    <dxf>
      <numFmt numFmtId="2" formatCode="0.00"/>
      <fill>
        <patternFill patternType="solid">
          <fgColor theme="8" tint="0.79998168889431442"/>
          <bgColor theme="0"/>
        </patternFill>
      </fill>
      <alignment horizontal="center" vertical="center" textRotation="0" wrapText="0" indent="0" justifyLastLine="0" shrinkToFit="0" readingOrder="0"/>
      <border diagonalUp="0" diagonalDown="0">
        <left style="thin">
          <color theme="0"/>
        </left>
        <right style="thin">
          <color rgb="FF000000"/>
        </right>
        <top style="thin">
          <color rgb="FF9BC2E6"/>
        </top>
        <bottom style="thin">
          <color rgb="FF9BC2E6"/>
        </bottom>
      </border>
    </dxf>
    <dxf>
      <numFmt numFmtId="2" formatCode="0.00"/>
      <fill>
        <patternFill patternType="solid">
          <fgColor theme="8" tint="0.79998168889431442"/>
          <bgColor theme="0"/>
        </patternFill>
      </fill>
      <alignment horizontal="center" vertical="center" textRotation="0" wrapText="0" indent="0" justifyLastLine="0" shrinkToFit="0" readingOrder="0"/>
      <border diagonalUp="0" diagonalDown="0">
        <left style="thin">
          <color theme="0"/>
        </left>
        <right style="thin">
          <color rgb="FF000000"/>
        </right>
        <top style="thin">
          <color rgb="FF9BC2E6"/>
        </top>
        <bottom style="thin">
          <color rgb="FF9BC2E6"/>
        </bottom>
      </border>
    </dxf>
    <dxf>
      <font>
        <b val="0"/>
        <i val="0"/>
        <strike val="0"/>
        <condense val="0"/>
        <extend val="0"/>
        <outline val="0"/>
        <shadow val="0"/>
        <u val="none"/>
        <vertAlign val="baseline"/>
        <sz val="11"/>
        <color theme="1"/>
        <name val="Calibri"/>
        <scheme val="none"/>
      </font>
      <numFmt numFmtId="2" formatCode="0.00"/>
      <fill>
        <patternFill patternType="solid">
          <fgColor theme="8" tint="0.79998168889431442"/>
          <bgColor theme="0"/>
        </patternFill>
      </fill>
      <alignment horizontal="center" vertical="center" textRotation="0" wrapText="0" indent="0" justifyLastLine="0" shrinkToFit="0" readingOrder="0"/>
      <border diagonalUp="0" diagonalDown="0">
        <left style="thin">
          <color theme="0"/>
        </left>
        <right style="thin">
          <color rgb="FF000000"/>
        </right>
        <top style="thin">
          <color rgb="FF9BC2E6"/>
        </top>
        <bottom style="thin">
          <color rgb="FF9BC2E6"/>
        </bottom>
      </border>
    </dxf>
    <dxf>
      <font>
        <b val="0"/>
        <i val="0"/>
        <strike val="0"/>
        <condense val="0"/>
        <extend val="0"/>
        <outline val="0"/>
        <shadow val="0"/>
        <u val="none"/>
        <vertAlign val="baseline"/>
        <sz val="11"/>
        <color theme="1"/>
        <name val="Calibri"/>
        <scheme val="none"/>
      </font>
      <numFmt numFmtId="2" formatCode="0.00"/>
      <fill>
        <patternFill patternType="solid">
          <fgColor theme="8" tint="0.79998168889431442"/>
          <bgColor theme="0"/>
        </patternFill>
      </fill>
      <alignment horizontal="center" vertical="center" textRotation="0" wrapText="0" indent="0" justifyLastLine="0" shrinkToFit="0" readingOrder="0"/>
      <border diagonalUp="0" diagonalDown="0">
        <left style="thin">
          <color rgb="FF000000"/>
        </left>
        <right style="thin">
          <color rgb="FF000000"/>
        </right>
        <top style="thin">
          <color rgb="FF9BC2E6"/>
        </top>
        <bottom style="thin">
          <color rgb="FF9BC2E6"/>
        </bottom>
      </border>
    </dxf>
    <dxf>
      <font>
        <b val="0"/>
        <i val="0"/>
        <strike val="0"/>
        <condense val="0"/>
        <extend val="0"/>
        <outline val="0"/>
        <shadow val="0"/>
        <u val="none"/>
        <vertAlign val="baseline"/>
        <sz val="11"/>
        <color theme="1"/>
        <name val="Calibri"/>
        <scheme val="none"/>
      </font>
      <fill>
        <patternFill patternType="solid">
          <fgColor theme="8" tint="0.79998168889431442"/>
          <bgColor theme="0"/>
        </patternFill>
      </fill>
      <alignment horizontal="general" vertical="center" textRotation="0" wrapText="0" indent="0" justifyLastLine="0" shrinkToFit="0" readingOrder="0"/>
      <border diagonalUp="0" diagonalDown="0">
        <left style="thin">
          <color theme="0"/>
        </left>
        <right style="thin">
          <color rgb="FF000000"/>
        </right>
        <top style="thin">
          <color rgb="FF9BC2E6"/>
        </top>
        <bottom style="thin">
          <color rgb="FF9BC2E6"/>
        </bottom>
      </border>
    </dxf>
    <dxf>
      <font>
        <b val="0"/>
        <i val="0"/>
        <strike val="0"/>
        <condense val="0"/>
        <extend val="0"/>
        <outline val="0"/>
        <shadow val="0"/>
        <u val="none"/>
        <vertAlign val="baseline"/>
        <sz val="11"/>
        <color theme="1"/>
        <name val="Calibri"/>
        <scheme val="none"/>
      </font>
      <fill>
        <patternFill patternType="solid">
          <fgColor theme="8" tint="0.79998168889431442"/>
          <bgColor theme="0"/>
        </patternFill>
      </fill>
      <alignment horizontal="left" vertical="center" textRotation="0" wrapText="0" indent="0" justifyLastLine="0" shrinkToFit="0" readingOrder="0"/>
      <border diagonalUp="0" diagonalDown="0">
        <left/>
        <right style="thin">
          <color theme="0"/>
        </right>
        <top style="thin">
          <color rgb="FF9BC2E6"/>
        </top>
        <bottom style="thin">
          <color rgb="FF9BC2E6"/>
        </bottom>
      </border>
    </dxf>
    <dxf>
      <border diagonalUp="0" diagonalDown="0">
        <left style="thin">
          <color indexed="64"/>
        </left>
        <right style="thin">
          <color indexed="64"/>
        </right>
        <top style="thin">
          <color indexed="64"/>
        </top>
        <bottom style="thin">
          <color indexed="64"/>
        </bottom>
      </border>
    </dxf>
    <dxf>
      <numFmt numFmtId="164" formatCode="0.0"/>
    </dxf>
    <dxf>
      <border>
        <bottom style="medium">
          <color indexed="64"/>
        </bottom>
      </border>
    </dxf>
    <dxf>
      <border>
        <bottom style="medium">
          <color indexed="64"/>
        </bottom>
      </border>
    </dxf>
    <dxf>
      <border>
        <left style="thin">
          <color indexed="64"/>
        </left>
        <right style="thin">
          <color indexed="64"/>
        </right>
        <bottom style="thin">
          <color indexed="64"/>
        </bottom>
        <horizontal style="thin">
          <color indexed="64"/>
        </horizontal>
      </border>
    </dxf>
    <dxf>
      <border>
        <left style="thin">
          <color indexed="64"/>
        </left>
        <right style="thin">
          <color indexed="64"/>
        </right>
        <bottom style="thin">
          <color indexed="64"/>
        </bottom>
        <horizontal style="thin">
          <color indexed="64"/>
        </horizontal>
      </border>
    </dxf>
    <dxf>
      <border>
        <left/>
        <right/>
        <top/>
        <bottom/>
        <vertical/>
      </border>
    </dxf>
    <dxf>
      <border>
        <left/>
        <right/>
        <top/>
        <bottom/>
        <vertical/>
      </border>
    </dxf>
    <dxf>
      <numFmt numFmtId="2" formatCode="0.00"/>
    </dxf>
    <dxf>
      <border>
        <top style="thin">
          <color indexed="64"/>
        </top>
        <horizontal style="thin">
          <color indexed="64"/>
        </horizontal>
      </border>
    </dxf>
    <dxf>
      <border>
        <top style="thin">
          <color indexed="64"/>
        </top>
        <horizontal style="thin">
          <color indexed="64"/>
        </horizontal>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bgColor theme="0"/>
        </patternFill>
      </fill>
    </dxf>
    <dxf>
      <fill>
        <patternFill>
          <bgColor theme="0"/>
        </patternFill>
      </fill>
    </dxf>
    <dxf>
      <fill>
        <patternFill>
          <bgColor theme="0"/>
        </patternFill>
      </fill>
    </dxf>
    <dxf>
      <fill>
        <patternFill patternType="solid">
          <bgColor rgb="FF92D050"/>
        </patternFill>
      </fill>
    </dxf>
    <dxf>
      <fill>
        <patternFill patternType="solid">
          <bgColor rgb="FFFF0000"/>
        </patternFill>
      </fill>
    </dxf>
    <dxf>
      <fill>
        <patternFill patternType="solid">
          <bgColor rgb="FF92D050"/>
        </patternFill>
      </fill>
    </dxf>
    <dxf>
      <fill>
        <patternFill patternType="solid">
          <bgColor rgb="FFFF0000"/>
        </patternFill>
      </fill>
    </dxf>
    <dxf>
      <fill>
        <patternFill patternType="solid">
          <bgColor theme="0"/>
        </patternFill>
      </fill>
    </dxf>
    <dxf>
      <fill>
        <patternFill patternType="solid">
          <bgColor theme="0"/>
        </patternFill>
      </fill>
    </dxf>
    <dxf>
      <fill>
        <patternFill patternType="solid">
          <bgColor rgb="FFFF0000"/>
        </patternFill>
      </fill>
    </dxf>
    <dxf>
      <fill>
        <patternFill patternType="solid">
          <bgColor rgb="FFFF0000"/>
        </patternFill>
      </fill>
    </dxf>
    <dxf>
      <fill>
        <patternFill patternType="solid">
          <bgColor rgb="FF92D050"/>
        </patternFill>
      </fill>
    </dxf>
    <dxf>
      <fill>
        <patternFill patternType="solid">
          <bgColor rgb="FF92D050"/>
        </patternFill>
      </fill>
    </dxf>
    <dxf>
      <fill>
        <patternFill patternType="solid">
          <bgColor rgb="FFFF0000"/>
        </patternFill>
      </fill>
    </dxf>
    <dxf>
      <fill>
        <patternFill patternType="solid">
          <bgColor rgb="FF92D050"/>
        </patternFill>
      </fill>
    </dxf>
    <dxf>
      <numFmt numFmtId="2" formatCode="0.00"/>
    </dxf>
    <dxf>
      <border>
        <top style="thin">
          <color rgb="FF000000"/>
        </top>
      </border>
    </dxf>
    <dxf>
      <border diagonalUp="0" diagonalDown="0">
        <left style="thin">
          <color rgb="FF000000"/>
        </left>
        <right style="thin">
          <color rgb="FF000000"/>
        </right>
        <top style="thin">
          <color rgb="FF000000"/>
        </top>
        <bottom style="thin">
          <color rgb="FF000000"/>
        </bottom>
      </border>
    </dxf>
    <dxf>
      <border>
        <bottom style="thin">
          <color rgb="FF000000"/>
        </bottom>
      </border>
    </dxf>
    <dxf>
      <fill>
        <patternFill patternType="solid">
          <fgColor rgb="FFDDEBF7"/>
          <bgColor rgb="FFDDEBF7"/>
        </patternFill>
      </fill>
    </dxf>
    <dxf>
      <fill>
        <patternFill patternType="solid">
          <fgColor rgb="FFDDEBF7"/>
          <bgColor rgb="FFDDEBF7"/>
        </patternFill>
      </fill>
    </dxf>
    <dxf>
      <font>
        <b/>
        <color rgb="FF000000"/>
      </font>
    </dxf>
    <dxf>
      <font>
        <b/>
        <color rgb="FF000000"/>
      </font>
    </dxf>
    <dxf>
      <font>
        <b/>
        <color rgb="FF000000"/>
      </font>
      <border>
        <top style="double">
          <color rgb="FF5B9BD5"/>
        </top>
      </border>
    </dxf>
    <dxf>
      <font>
        <b/>
        <color rgb="FFFFFFFF"/>
      </font>
      <fill>
        <patternFill patternType="solid">
          <fgColor rgb="FF5B9BD5"/>
          <bgColor rgb="FF5B9BD5"/>
        </patternFill>
      </fill>
    </dxf>
    <dxf>
      <font>
        <color rgb="FF000000"/>
      </font>
      <border>
        <left style="thin">
          <color rgb="FF9BC2E6"/>
        </left>
        <right style="thin">
          <color rgb="FF9BC2E6"/>
        </right>
        <top style="thin">
          <color rgb="FF9BC2E6"/>
        </top>
        <bottom style="thin">
          <color rgb="FF9BC2E6"/>
        </bottom>
        <horizontal style="thin">
          <color rgb="FF9BC2E6"/>
        </horizontal>
      </border>
    </dxf>
  </dxfs>
  <tableStyles count="1" defaultTableStyle="TableStyleMedium2" defaultPivotStyle="PivotStyleLight16">
    <tableStyle name="TableStyleMedium2 2" pivot="0" count="7">
      <tableStyleElement type="wholeTable" dxfId="338"/>
      <tableStyleElement type="headerRow" dxfId="337"/>
      <tableStyleElement type="totalRow" dxfId="336"/>
      <tableStyleElement type="firstColumn" dxfId="335"/>
      <tableStyleElement type="lastColumn" dxfId="334"/>
      <tableStyleElement type="firstRowStripe" dxfId="333"/>
      <tableStyleElement type="firstColumnStripe" dxfId="332"/>
    </tableStyle>
  </tableStyles>
  <colors>
    <mruColors>
      <color rgb="FF00C3FF"/>
      <color rgb="FF8FEB00"/>
      <color rgb="FFFFB900"/>
      <color rgb="FFFF7900"/>
      <color rgb="FFA9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pivotCacheDefinition" Target="pivotCache/pivotCacheDefinition2.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pivotCacheDefinition" Target="pivotCache/pivotCacheDefinition1.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microsoft.com/office/2007/relationships/slicerCache" Target="slicerCaches/slicerCach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32" Type="http://schemas.microsoft.com/office/2007/relationships/slicerCache" Target="slicerCaches/slicerCache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pivotCacheDefinition" Target="pivotCache/pivotCacheDefinition4.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microsoft.com/office/2007/relationships/slicerCache" Target="slicerCaches/slicerCache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pivotCacheDefinition" Target="pivotCache/pivotCacheDefinition3.xml"/><Relationship Id="rId30" Type="http://schemas.microsoft.com/office/2007/relationships/slicerCache" Target="slicerCaches/slicerCache2.xml"/><Relationship Id="rId35" Type="http://schemas.openxmlformats.org/officeDocument/2006/relationships/sharedStrings" Target="sharedStrings.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8.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9.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1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[Final results 2014 ATI - 02.09.2014.xlsx]Overall scores and ranking!PivotTable2</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2014</a:t>
            </a:r>
            <a:r>
              <a:rPr lang="en-US" baseline="0"/>
              <a:t> </a:t>
            </a:r>
            <a:r>
              <a:rPr lang="en-US"/>
              <a:t>Ranking chart</a:t>
            </a:r>
          </a:p>
        </c:rich>
      </c:tx>
      <c:layout>
        <c:manualLayout>
          <c:xMode val="edge"/>
          <c:yMode val="edge"/>
          <c:x val="0.46503303258127238"/>
          <c:y val="6.3794109069699623E-2"/>
        </c:manualLayout>
      </c:layout>
      <c:overlay val="0"/>
      <c:spPr>
        <a:noFill/>
        <a:ln>
          <a:noFill/>
        </a:ln>
        <a:effectLst/>
      </c:spPr>
    </c:title>
    <c:autoTitleDeleted val="0"/>
    <c:pivotFmts>
      <c:pivotFmt>
        <c:idx val="0"/>
        <c:spPr>
          <a:solidFill>
            <a:schemeClr val="accent1"/>
          </a:solidFill>
          <a:ln>
            <a:noFill/>
          </a:ln>
          <a:effectLst/>
        </c:spPr>
        <c:marker>
          <c:symbol val="none"/>
        </c:marker>
      </c:pivotFmt>
    </c:pivotFmts>
    <c:plotArea>
      <c:layout>
        <c:manualLayout>
          <c:layoutTarget val="inner"/>
          <c:xMode val="edge"/>
          <c:yMode val="edge"/>
          <c:x val="5.3455406398110576E-2"/>
          <c:y val="0.17532188684747743"/>
          <c:w val="0.94240373748357764"/>
          <c:h val="0.49907699037620307"/>
        </c:manualLayout>
      </c:layout>
      <c:barChart>
        <c:barDir val="col"/>
        <c:grouping val="clustered"/>
        <c:varyColors val="0"/>
        <c:ser>
          <c:idx val="0"/>
          <c:order val="0"/>
          <c:tx>
            <c:strRef>
              <c:f>'Overall scores and ranking'!$B$3</c:f>
              <c:strCache>
                <c:ptCount val="1"/>
                <c:pt idx="0">
                  <c:v>Total</c:v>
                </c:pt>
              </c:strCache>
            </c:strRef>
          </c:tx>
          <c:spPr>
            <a:solidFill>
              <a:schemeClr val="accent1"/>
            </a:solidFill>
            <a:ln>
              <a:noFill/>
            </a:ln>
            <a:effectLst/>
          </c:spPr>
          <c:invertIfNegative val="0"/>
          <c:cat>
            <c:strRef>
              <c:f>'Overall scores and ranking'!$A$4:$A$71</c:f>
              <c:strCache>
                <c:ptCount val="68"/>
                <c:pt idx="0">
                  <c:v>UNDP</c:v>
                </c:pt>
                <c:pt idx="1">
                  <c:v>UK, DFID</c:v>
                </c:pt>
                <c:pt idx="2">
                  <c:v>U.S., MCC</c:v>
                </c:pt>
                <c:pt idx="3">
                  <c:v>GAVI</c:v>
                </c:pt>
                <c:pt idx="4">
                  <c:v>AsDB</c:v>
                </c:pt>
                <c:pt idx="5">
                  <c:v>Sweden, MFA-Sida</c:v>
                </c:pt>
                <c:pt idx="6">
                  <c:v>World Bank, IDA</c:v>
                </c:pt>
                <c:pt idx="7">
                  <c:v>AfDB</c:v>
                </c:pt>
                <c:pt idx="8">
                  <c:v>IADB</c:v>
                </c:pt>
                <c:pt idx="9">
                  <c:v>Global Fund</c:v>
                </c:pt>
                <c:pt idx="10">
                  <c:v>Canada, DFATD</c:v>
                </c:pt>
                <c:pt idx="11">
                  <c:v>EC, FPI</c:v>
                </c:pt>
                <c:pt idx="12">
                  <c:v>EC, DEVCO</c:v>
                </c:pt>
                <c:pt idx="13">
                  <c:v>UNICEF</c:v>
                </c:pt>
                <c:pt idx="14">
                  <c:v>EC, ELARG</c:v>
                </c:pt>
                <c:pt idx="15">
                  <c:v>EC, ECHO</c:v>
                </c:pt>
                <c:pt idx="16">
                  <c:v>Germany, BMZ-GIZ</c:v>
                </c:pt>
                <c:pt idx="17">
                  <c:v>Switzerland, SDC</c:v>
                </c:pt>
                <c:pt idx="18">
                  <c:v>Netherlands, MFA</c:v>
                </c:pt>
                <c:pt idx="19">
                  <c:v>Germany, BMZ-KFW</c:v>
                </c:pt>
                <c:pt idx="20">
                  <c:v>Spain, MAEC</c:v>
                </c:pt>
                <c:pt idx="21">
                  <c:v>Denmark, MFA</c:v>
                </c:pt>
                <c:pt idx="22">
                  <c:v>Gates Foundation</c:v>
                </c:pt>
                <c:pt idx="23">
                  <c:v>Finland, MFA</c:v>
                </c:pt>
                <c:pt idx="24">
                  <c:v>Australia, DFAT</c:v>
                </c:pt>
                <c:pt idx="25">
                  <c:v>New Zealand, MFAT</c:v>
                </c:pt>
                <c:pt idx="26">
                  <c:v>Ireland, IrishAid</c:v>
                </c:pt>
                <c:pt idx="27">
                  <c:v>France, MAEDI</c:v>
                </c:pt>
                <c:pt idx="28">
                  <c:v>UN OCHA</c:v>
                </c:pt>
                <c:pt idx="29">
                  <c:v>U.S., PEPFAR</c:v>
                </c:pt>
                <c:pt idx="30">
                  <c:v>U.S., USAID</c:v>
                </c:pt>
                <c:pt idx="31">
                  <c:v>U.S., State</c:v>
                </c:pt>
                <c:pt idx="32">
                  <c:v>Japan, JICA</c:v>
                </c:pt>
                <c:pt idx="33">
                  <c:v>Korea, KOICA</c:v>
                </c:pt>
                <c:pt idx="34">
                  <c:v>UK, FCO</c:v>
                </c:pt>
                <c:pt idx="35">
                  <c:v>U.S., Treasury</c:v>
                </c:pt>
                <c:pt idx="36">
                  <c:v>IMF</c:v>
                </c:pt>
                <c:pt idx="37">
                  <c:v>U.S., Defense</c:v>
                </c:pt>
                <c:pt idx="38">
                  <c:v>World Bank, IFC</c:v>
                </c:pt>
                <c:pt idx="39">
                  <c:v>Czech Republic, CzDA</c:v>
                </c:pt>
                <c:pt idx="40">
                  <c:v>Estonia, MFA</c:v>
                </c:pt>
                <c:pt idx="41">
                  <c:v>Norway, MFA</c:v>
                </c:pt>
                <c:pt idx="42">
                  <c:v>Portugal, CICL</c:v>
                </c:pt>
                <c:pt idx="43">
                  <c:v>France, AFD</c:v>
                </c:pt>
                <c:pt idx="44">
                  <c:v>EIB</c:v>
                </c:pt>
                <c:pt idx="45">
                  <c:v>EBRD</c:v>
                </c:pt>
                <c:pt idx="46">
                  <c:v>Austria, ADA</c:v>
                </c:pt>
                <c:pt idx="47">
                  <c:v>Latvia, MFA</c:v>
                </c:pt>
                <c:pt idx="48">
                  <c:v>Belgium, DGCD</c:v>
                </c:pt>
                <c:pt idx="49">
                  <c:v>Luxembourg, MFA</c:v>
                </c:pt>
                <c:pt idx="50">
                  <c:v>Slovakia, SAIDC</c:v>
                </c:pt>
                <c:pt idx="51">
                  <c:v>Slovenia, MFA</c:v>
                </c:pt>
                <c:pt idx="52">
                  <c:v>Japan, MOFA</c:v>
                </c:pt>
                <c:pt idx="53">
                  <c:v>Italy, MAE</c:v>
                </c:pt>
                <c:pt idx="54">
                  <c:v>Poland, MFA</c:v>
                </c:pt>
                <c:pt idx="55">
                  <c:v>Croatia, MFA</c:v>
                </c:pt>
                <c:pt idx="56">
                  <c:v>Romania, MFA</c:v>
                </c:pt>
                <c:pt idx="57">
                  <c:v>France, MINEFI</c:v>
                </c:pt>
                <c:pt idx="58">
                  <c:v>Brazil, ABC</c:v>
                </c:pt>
                <c:pt idx="59">
                  <c:v>UK, MOD</c:v>
                </c:pt>
                <c:pt idx="60">
                  <c:v>Germany, AA</c:v>
                </c:pt>
                <c:pt idx="61">
                  <c:v>Hungary, MFA</c:v>
                </c:pt>
                <c:pt idx="62">
                  <c:v>Bulgaria, MFA</c:v>
                </c:pt>
                <c:pt idx="63">
                  <c:v>Malta, MFA</c:v>
                </c:pt>
                <c:pt idx="64">
                  <c:v>Lithuania, MFA</c:v>
                </c:pt>
                <c:pt idx="65">
                  <c:v>Cyprus, CyprusAid</c:v>
                </c:pt>
                <c:pt idx="66">
                  <c:v>Greece, HellenicAid</c:v>
                </c:pt>
                <c:pt idx="67">
                  <c:v>China, MOFCOM</c:v>
                </c:pt>
              </c:strCache>
            </c:strRef>
          </c:cat>
          <c:val>
            <c:numRef>
              <c:f>'Overall scores and ranking'!$B$4:$B$71</c:f>
              <c:numCache>
                <c:formatCode>0.0</c:formatCode>
                <c:ptCount val="68"/>
                <c:pt idx="0">
                  <c:v>90.637111812083049</c:v>
                </c:pt>
                <c:pt idx="1">
                  <c:v>88.336740299014735</c:v>
                </c:pt>
                <c:pt idx="2">
                  <c:v>86.894622379238967</c:v>
                </c:pt>
                <c:pt idx="3">
                  <c:v>86.745722206106777</c:v>
                </c:pt>
                <c:pt idx="4">
                  <c:v>83.842838162282519</c:v>
                </c:pt>
                <c:pt idx="5">
                  <c:v>83.274009759093047</c:v>
                </c:pt>
                <c:pt idx="6">
                  <c:v>82.268961451623738</c:v>
                </c:pt>
                <c:pt idx="7">
                  <c:v>74.51602883307369</c:v>
                </c:pt>
                <c:pt idx="8">
                  <c:v>73.917398103455028</c:v>
                </c:pt>
                <c:pt idx="9">
                  <c:v>73.298105355600043</c:v>
                </c:pt>
                <c:pt idx="10">
                  <c:v>71.671348938086496</c:v>
                </c:pt>
                <c:pt idx="11">
                  <c:v>69.076054883904291</c:v>
                </c:pt>
                <c:pt idx="12">
                  <c:v>68.230851769636672</c:v>
                </c:pt>
                <c:pt idx="13">
                  <c:v>64.648942945170745</c:v>
                </c:pt>
                <c:pt idx="14">
                  <c:v>61.767921206882917</c:v>
                </c:pt>
                <c:pt idx="15">
                  <c:v>59.913796849686776</c:v>
                </c:pt>
                <c:pt idx="16">
                  <c:v>53.922389450033187</c:v>
                </c:pt>
                <c:pt idx="17">
                  <c:v>53.780289086474419</c:v>
                </c:pt>
                <c:pt idx="18">
                  <c:v>53.764271701626981</c:v>
                </c:pt>
                <c:pt idx="19">
                  <c:v>50.824189529418135</c:v>
                </c:pt>
                <c:pt idx="20">
                  <c:v>50.598212522694539</c:v>
                </c:pt>
                <c:pt idx="21">
                  <c:v>49.639004137678008</c:v>
                </c:pt>
                <c:pt idx="22">
                  <c:v>46.551687042519696</c:v>
                </c:pt>
                <c:pt idx="23">
                  <c:v>46.272840186650129</c:v>
                </c:pt>
                <c:pt idx="24">
                  <c:v>45.912189861504473</c:v>
                </c:pt>
                <c:pt idx="25">
                  <c:v>45.12154717964065</c:v>
                </c:pt>
                <c:pt idx="26">
                  <c:v>42.468069724950233</c:v>
                </c:pt>
                <c:pt idx="27">
                  <c:v>42.402737318470088</c:v>
                </c:pt>
                <c:pt idx="28">
                  <c:v>41.297011839690136</c:v>
                </c:pt>
                <c:pt idx="29">
                  <c:v>40.666519451891098</c:v>
                </c:pt>
                <c:pt idx="30">
                  <c:v>40.312333617246189</c:v>
                </c:pt>
                <c:pt idx="31">
                  <c:v>38.802452131578917</c:v>
                </c:pt>
                <c:pt idx="32">
                  <c:v>37.214129285714243</c:v>
                </c:pt>
                <c:pt idx="33">
                  <c:v>36.894750999999985</c:v>
                </c:pt>
                <c:pt idx="34">
                  <c:v>35.797104351262803</c:v>
                </c:pt>
                <c:pt idx="35">
                  <c:v>34.8284995</c:v>
                </c:pt>
                <c:pt idx="36">
                  <c:v>31.595881999999996</c:v>
                </c:pt>
                <c:pt idx="37">
                  <c:v>30.756310119433174</c:v>
                </c:pt>
                <c:pt idx="38">
                  <c:v>30.617910000000002</c:v>
                </c:pt>
                <c:pt idx="39">
                  <c:v>29.489809999999995</c:v>
                </c:pt>
                <c:pt idx="40">
                  <c:v>28.231219999999993</c:v>
                </c:pt>
                <c:pt idx="41">
                  <c:v>27.648543999999998</c:v>
                </c:pt>
                <c:pt idx="42">
                  <c:v>26.544537499999997</c:v>
                </c:pt>
                <c:pt idx="43">
                  <c:v>24.667978499999986</c:v>
                </c:pt>
                <c:pt idx="44">
                  <c:v>24.577408999999996</c:v>
                </c:pt>
                <c:pt idx="45">
                  <c:v>24.502645999999995</c:v>
                </c:pt>
                <c:pt idx="46">
                  <c:v>19.072684999999986</c:v>
                </c:pt>
                <c:pt idx="47">
                  <c:v>19.032905999999997</c:v>
                </c:pt>
                <c:pt idx="48">
                  <c:v>18.846488999999988</c:v>
                </c:pt>
                <c:pt idx="49">
                  <c:v>18.812663999999987</c:v>
                </c:pt>
                <c:pt idx="50">
                  <c:v>18.250666999999986</c:v>
                </c:pt>
                <c:pt idx="51">
                  <c:v>17.784162999999985</c:v>
                </c:pt>
                <c:pt idx="52">
                  <c:v>17.012573999999987</c:v>
                </c:pt>
                <c:pt idx="53">
                  <c:v>15.646043999999986</c:v>
                </c:pt>
                <c:pt idx="54">
                  <c:v>14.359405999999987</c:v>
                </c:pt>
                <c:pt idx="55">
                  <c:v>11.814868499999999</c:v>
                </c:pt>
                <c:pt idx="56">
                  <c:v>10.551111499999996</c:v>
                </c:pt>
                <c:pt idx="57">
                  <c:v>10.3011585</c:v>
                </c:pt>
                <c:pt idx="58">
                  <c:v>9.6461599999999983</c:v>
                </c:pt>
                <c:pt idx="59">
                  <c:v>9.6282870000000003</c:v>
                </c:pt>
                <c:pt idx="60">
                  <c:v>9.1154984999999993</c:v>
                </c:pt>
                <c:pt idx="61">
                  <c:v>8.3047779999999989</c:v>
                </c:pt>
                <c:pt idx="62">
                  <c:v>8.1649999999999991</c:v>
                </c:pt>
                <c:pt idx="63">
                  <c:v>6.5897159999999975</c:v>
                </c:pt>
                <c:pt idx="64">
                  <c:v>6.5130569999999999</c:v>
                </c:pt>
                <c:pt idx="65">
                  <c:v>5.909658999999988</c:v>
                </c:pt>
                <c:pt idx="66">
                  <c:v>4.7197779999999998</c:v>
                </c:pt>
                <c:pt idx="67">
                  <c:v>2.2197779999999998</c:v>
                </c:pt>
              </c:numCache>
            </c:numRef>
          </c:val>
        </c:ser>
        <c:dLbls>
          <c:showLegendKey val="0"/>
          <c:showVal val="0"/>
          <c:showCatName val="0"/>
          <c:showSerName val="0"/>
          <c:showPercent val="0"/>
          <c:showBubbleSize val="0"/>
        </c:dLbls>
        <c:gapWidth val="219"/>
        <c:axId val="159863584"/>
        <c:axId val="159864336"/>
      </c:barChart>
      <c:catAx>
        <c:axId val="1598635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9864336"/>
        <c:crosses val="autoZero"/>
        <c:auto val="1"/>
        <c:lblAlgn val="ctr"/>
        <c:lblOffset val="100"/>
        <c:noMultiLvlLbl val="0"/>
      </c:catAx>
      <c:valAx>
        <c:axId val="1598643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986358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11" l="0.70000000000000007" r="0.70000000000000007" t="0.75000000000000011" header="0.30000000000000004" footer="0.30000000000000004"/>
    <c:pageSetup/>
  </c:printSettings>
  <c:extLst>
    <c:ext xmlns:c14="http://schemas.microsoft.com/office/drawing/2007/8/2/chart" uri="{781A3756-C4B2-4CAC-9D66-4F8BD8637D16}">
      <c14:pivotOptions>
        <c14:dropZoneFilter val="1"/>
        <c14:dropZoneCategories val="1"/>
        <c14:dropZoneData val="1"/>
        <c14:dropZonesVisible val="1"/>
      </c14:pivotOptions>
    </c:ext>
  </c:extLst>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[Final results 2014 ATI - 02.09.2014.xlsx]Wtd - IATI vs Others!PivotTable2</c:name>
    <c:fmtId val="1"/>
  </c:pivotSource>
  <c:chart>
    <c:autoTitleDeleted val="0"/>
    <c:pivotFmts>
      <c:pivotFmt>
        <c:idx val="0"/>
        <c:spPr>
          <a:solidFill>
            <a:schemeClr val="accent1"/>
          </a:solidFill>
          <a:ln>
            <a:noFill/>
          </a:ln>
          <a:effectLst/>
        </c:spPr>
        <c:marker>
          <c:symbol val="none"/>
        </c:marker>
      </c:pivotFmt>
      <c:pivotFmt>
        <c:idx val="1"/>
        <c:spPr>
          <a:solidFill>
            <a:schemeClr val="accent2"/>
          </a:solidFill>
          <a:ln>
            <a:noFill/>
          </a:ln>
          <a:effectLst/>
        </c:spPr>
        <c:marker>
          <c:symbol val="none"/>
        </c:marker>
      </c:pivotFmt>
    </c:pivotFmts>
    <c:plotArea>
      <c:layout/>
      <c:barChart>
        <c:barDir val="col"/>
        <c:grouping val="stacked"/>
        <c:varyColors val="0"/>
        <c:ser>
          <c:idx val="0"/>
          <c:order val="0"/>
          <c:tx>
            <c:strRef>
              <c:f>'Wtd - IATI vs Others'!$B$3:$B$4</c:f>
              <c:strCache>
                <c:ptCount val="1"/>
                <c:pt idx="0">
                  <c:v>iati</c:v>
                </c:pt>
              </c:strCache>
            </c:strRef>
          </c:tx>
          <c:spPr>
            <a:solidFill>
              <a:schemeClr val="accent1"/>
            </a:solidFill>
            <a:ln>
              <a:noFill/>
            </a:ln>
            <a:effectLst/>
          </c:spPr>
          <c:invertIfNegative val="0"/>
          <c:cat>
            <c:strRef>
              <c:f>'Wtd - IATI vs Others'!$A$5:$A$72</c:f>
              <c:strCache>
                <c:ptCount val="68"/>
                <c:pt idx="0">
                  <c:v>UNDP</c:v>
                </c:pt>
                <c:pt idx="1">
                  <c:v>UK, DFID</c:v>
                </c:pt>
                <c:pt idx="2">
                  <c:v>U.S., MCC</c:v>
                </c:pt>
                <c:pt idx="3">
                  <c:v>GAVI</c:v>
                </c:pt>
                <c:pt idx="4">
                  <c:v>AsDB</c:v>
                </c:pt>
                <c:pt idx="5">
                  <c:v>Sweden, MFA-Sida</c:v>
                </c:pt>
                <c:pt idx="6">
                  <c:v>World Bank, IDA</c:v>
                </c:pt>
                <c:pt idx="7">
                  <c:v>AfDB</c:v>
                </c:pt>
                <c:pt idx="8">
                  <c:v>IADB</c:v>
                </c:pt>
                <c:pt idx="9">
                  <c:v>Global Fund</c:v>
                </c:pt>
                <c:pt idx="10">
                  <c:v>Canada, DFATD</c:v>
                </c:pt>
                <c:pt idx="11">
                  <c:v>EC, FPI</c:v>
                </c:pt>
                <c:pt idx="12">
                  <c:v>EC, DEVCO</c:v>
                </c:pt>
                <c:pt idx="13">
                  <c:v>UNICEF</c:v>
                </c:pt>
                <c:pt idx="14">
                  <c:v>EC, ELARG</c:v>
                </c:pt>
                <c:pt idx="15">
                  <c:v>EC, ECHO</c:v>
                </c:pt>
                <c:pt idx="16">
                  <c:v>Germany, BMZ-GIZ</c:v>
                </c:pt>
                <c:pt idx="17">
                  <c:v>Switzerland, SDC</c:v>
                </c:pt>
                <c:pt idx="18">
                  <c:v>Netherlands, MFA</c:v>
                </c:pt>
                <c:pt idx="19">
                  <c:v>Germany, BMZ-KFW</c:v>
                </c:pt>
                <c:pt idx="20">
                  <c:v>Spain, MAEC</c:v>
                </c:pt>
                <c:pt idx="21">
                  <c:v>Denmark, MFA</c:v>
                </c:pt>
                <c:pt idx="22">
                  <c:v>Gates Foundation</c:v>
                </c:pt>
                <c:pt idx="23">
                  <c:v>Finland, MFA</c:v>
                </c:pt>
                <c:pt idx="24">
                  <c:v>Australia, DFAT</c:v>
                </c:pt>
                <c:pt idx="25">
                  <c:v>New Zealand, MFAT</c:v>
                </c:pt>
                <c:pt idx="26">
                  <c:v>Ireland, IrishAid</c:v>
                </c:pt>
                <c:pt idx="27">
                  <c:v>France, MAEDI</c:v>
                </c:pt>
                <c:pt idx="28">
                  <c:v>UN OCHA</c:v>
                </c:pt>
                <c:pt idx="29">
                  <c:v>U.S., PEPFAR</c:v>
                </c:pt>
                <c:pt idx="30">
                  <c:v>U.S., USAID</c:v>
                </c:pt>
                <c:pt idx="31">
                  <c:v>U.S., State</c:v>
                </c:pt>
                <c:pt idx="32">
                  <c:v>Japan, JICA</c:v>
                </c:pt>
                <c:pt idx="33">
                  <c:v>Korea, KOICA</c:v>
                </c:pt>
                <c:pt idx="34">
                  <c:v>UK, FCO</c:v>
                </c:pt>
                <c:pt idx="35">
                  <c:v>U.S., Treasury</c:v>
                </c:pt>
                <c:pt idx="36">
                  <c:v>IMF</c:v>
                </c:pt>
                <c:pt idx="37">
                  <c:v>U.S., Defense</c:v>
                </c:pt>
                <c:pt idx="38">
                  <c:v>World Bank, IFC</c:v>
                </c:pt>
                <c:pt idx="39">
                  <c:v>Czech Republic, CzDA</c:v>
                </c:pt>
                <c:pt idx="40">
                  <c:v>Estonia, MFA</c:v>
                </c:pt>
                <c:pt idx="41">
                  <c:v>Norway, MFA</c:v>
                </c:pt>
                <c:pt idx="42">
                  <c:v>Portugal, CICL</c:v>
                </c:pt>
                <c:pt idx="43">
                  <c:v>France, AFD</c:v>
                </c:pt>
                <c:pt idx="44">
                  <c:v>EIB</c:v>
                </c:pt>
                <c:pt idx="45">
                  <c:v>EBRD</c:v>
                </c:pt>
                <c:pt idx="46">
                  <c:v>Austria, ADA</c:v>
                </c:pt>
                <c:pt idx="47">
                  <c:v>Latvia, MFA</c:v>
                </c:pt>
                <c:pt idx="48">
                  <c:v>Belgium, DGCD</c:v>
                </c:pt>
                <c:pt idx="49">
                  <c:v>Luxembourg, MFA</c:v>
                </c:pt>
                <c:pt idx="50">
                  <c:v>Slovakia, SAIDC</c:v>
                </c:pt>
                <c:pt idx="51">
                  <c:v>Slovenia, MFA</c:v>
                </c:pt>
                <c:pt idx="52">
                  <c:v>Japan, MOFA</c:v>
                </c:pt>
                <c:pt idx="53">
                  <c:v>Italy, MAE</c:v>
                </c:pt>
                <c:pt idx="54">
                  <c:v>Poland, MFA</c:v>
                </c:pt>
                <c:pt idx="55">
                  <c:v>Croatia, MFA</c:v>
                </c:pt>
                <c:pt idx="56">
                  <c:v>Romania, MFA</c:v>
                </c:pt>
                <c:pt idx="57">
                  <c:v>France, MINEFI</c:v>
                </c:pt>
                <c:pt idx="58">
                  <c:v>Brazil, ABC</c:v>
                </c:pt>
                <c:pt idx="59">
                  <c:v>UK, MOD</c:v>
                </c:pt>
                <c:pt idx="60">
                  <c:v>Germany, AA</c:v>
                </c:pt>
                <c:pt idx="61">
                  <c:v>Hungary, MFA</c:v>
                </c:pt>
                <c:pt idx="62">
                  <c:v>Bulgaria, MFA</c:v>
                </c:pt>
                <c:pt idx="63">
                  <c:v>Malta, MFA</c:v>
                </c:pt>
                <c:pt idx="64">
                  <c:v>Lithuania, MFA</c:v>
                </c:pt>
                <c:pt idx="65">
                  <c:v>Cyprus, CyprusAid</c:v>
                </c:pt>
                <c:pt idx="66">
                  <c:v>Greece, HellenicAid</c:v>
                </c:pt>
                <c:pt idx="67">
                  <c:v>China, MOFCOM</c:v>
                </c:pt>
              </c:strCache>
            </c:strRef>
          </c:cat>
          <c:val>
            <c:numRef>
              <c:f>'Wtd - IATI vs Others'!$B$5:$B$72</c:f>
              <c:numCache>
                <c:formatCode>0.00</c:formatCode>
                <c:ptCount val="68"/>
                <c:pt idx="0">
                  <c:v>81.857233812083038</c:v>
                </c:pt>
                <c:pt idx="1">
                  <c:v>78.746340299014733</c:v>
                </c:pt>
                <c:pt idx="2">
                  <c:v>72.957344379239004</c:v>
                </c:pt>
                <c:pt idx="3">
                  <c:v>78.037433206106783</c:v>
                </c:pt>
                <c:pt idx="4">
                  <c:v>73.092760162282531</c:v>
                </c:pt>
                <c:pt idx="5">
                  <c:v>73.450509759093052</c:v>
                </c:pt>
                <c:pt idx="6">
                  <c:v>74.323759951623742</c:v>
                </c:pt>
                <c:pt idx="7">
                  <c:v>66.429549333073695</c:v>
                </c:pt>
                <c:pt idx="8">
                  <c:v>67.196887603455025</c:v>
                </c:pt>
                <c:pt idx="9">
                  <c:v>61.172525855600043</c:v>
                </c:pt>
                <c:pt idx="10">
                  <c:v>58.496494938086499</c:v>
                </c:pt>
                <c:pt idx="11">
                  <c:v>56.130754883904295</c:v>
                </c:pt>
                <c:pt idx="12">
                  <c:v>55.418751769636678</c:v>
                </c:pt>
                <c:pt idx="13">
                  <c:v>46.784075945170748</c:v>
                </c:pt>
                <c:pt idx="14">
                  <c:v>48.038821206882915</c:v>
                </c:pt>
                <c:pt idx="15">
                  <c:v>44.075817849686779</c:v>
                </c:pt>
                <c:pt idx="16">
                  <c:v>40.630391950033186</c:v>
                </c:pt>
                <c:pt idx="17">
                  <c:v>40.390761086474413</c:v>
                </c:pt>
                <c:pt idx="18">
                  <c:v>37.830636701626986</c:v>
                </c:pt>
                <c:pt idx="19">
                  <c:v>40.347112029418128</c:v>
                </c:pt>
                <c:pt idx="20">
                  <c:v>45.295434522694542</c:v>
                </c:pt>
                <c:pt idx="21">
                  <c:v>28.730117637678006</c:v>
                </c:pt>
                <c:pt idx="22">
                  <c:v>39.851459042519693</c:v>
                </c:pt>
                <c:pt idx="23">
                  <c:v>26.875436186650134</c:v>
                </c:pt>
                <c:pt idx="24">
                  <c:v>33.668786861504472</c:v>
                </c:pt>
                <c:pt idx="25">
                  <c:v>22.520222679640646</c:v>
                </c:pt>
                <c:pt idx="26">
                  <c:v>27.375090724950237</c:v>
                </c:pt>
                <c:pt idx="27">
                  <c:v>33.316778818470091</c:v>
                </c:pt>
                <c:pt idx="28">
                  <c:v>19.458578839690137</c:v>
                </c:pt>
                <c:pt idx="29">
                  <c:v>27.232867451891096</c:v>
                </c:pt>
                <c:pt idx="30">
                  <c:v>20.973896117246191</c:v>
                </c:pt>
                <c:pt idx="31">
                  <c:v>20.733952631578919</c:v>
                </c:pt>
                <c:pt idx="32">
                  <c:v>24.108214285714258</c:v>
                </c:pt>
                <c:pt idx="34">
                  <c:v>18.4825608512628</c:v>
                </c:pt>
                <c:pt idx="35">
                  <c:v>2.78</c:v>
                </c:pt>
                <c:pt idx="37">
                  <c:v>17.554301619433168</c:v>
                </c:pt>
              </c:numCache>
            </c:numRef>
          </c:val>
        </c:ser>
        <c:ser>
          <c:idx val="1"/>
          <c:order val="1"/>
          <c:tx>
            <c:strRef>
              <c:f>'Wtd - IATI vs Others'!$C$3:$C$4</c:f>
              <c:strCache>
                <c:ptCount val="1"/>
                <c:pt idx="0">
                  <c:v>Others</c:v>
                </c:pt>
              </c:strCache>
            </c:strRef>
          </c:tx>
          <c:spPr>
            <a:solidFill>
              <a:schemeClr val="accent2"/>
            </a:solidFill>
            <a:ln>
              <a:noFill/>
            </a:ln>
            <a:effectLst/>
          </c:spPr>
          <c:invertIfNegative val="0"/>
          <c:cat>
            <c:strRef>
              <c:f>'Wtd - IATI vs Others'!$A$5:$A$72</c:f>
              <c:strCache>
                <c:ptCount val="68"/>
                <c:pt idx="0">
                  <c:v>UNDP</c:v>
                </c:pt>
                <c:pt idx="1">
                  <c:v>UK, DFID</c:v>
                </c:pt>
                <c:pt idx="2">
                  <c:v>U.S., MCC</c:v>
                </c:pt>
                <c:pt idx="3">
                  <c:v>GAVI</c:v>
                </c:pt>
                <c:pt idx="4">
                  <c:v>AsDB</c:v>
                </c:pt>
                <c:pt idx="5">
                  <c:v>Sweden, MFA-Sida</c:v>
                </c:pt>
                <c:pt idx="6">
                  <c:v>World Bank, IDA</c:v>
                </c:pt>
                <c:pt idx="7">
                  <c:v>AfDB</c:v>
                </c:pt>
                <c:pt idx="8">
                  <c:v>IADB</c:v>
                </c:pt>
                <c:pt idx="9">
                  <c:v>Global Fund</c:v>
                </c:pt>
                <c:pt idx="10">
                  <c:v>Canada, DFATD</c:v>
                </c:pt>
                <c:pt idx="11">
                  <c:v>EC, FPI</c:v>
                </c:pt>
                <c:pt idx="12">
                  <c:v>EC, DEVCO</c:v>
                </c:pt>
                <c:pt idx="13">
                  <c:v>UNICEF</c:v>
                </c:pt>
                <c:pt idx="14">
                  <c:v>EC, ELARG</c:v>
                </c:pt>
                <c:pt idx="15">
                  <c:v>EC, ECHO</c:v>
                </c:pt>
                <c:pt idx="16">
                  <c:v>Germany, BMZ-GIZ</c:v>
                </c:pt>
                <c:pt idx="17">
                  <c:v>Switzerland, SDC</c:v>
                </c:pt>
                <c:pt idx="18">
                  <c:v>Netherlands, MFA</c:v>
                </c:pt>
                <c:pt idx="19">
                  <c:v>Germany, BMZ-KFW</c:v>
                </c:pt>
                <c:pt idx="20">
                  <c:v>Spain, MAEC</c:v>
                </c:pt>
                <c:pt idx="21">
                  <c:v>Denmark, MFA</c:v>
                </c:pt>
                <c:pt idx="22">
                  <c:v>Gates Foundation</c:v>
                </c:pt>
                <c:pt idx="23">
                  <c:v>Finland, MFA</c:v>
                </c:pt>
                <c:pt idx="24">
                  <c:v>Australia, DFAT</c:v>
                </c:pt>
                <c:pt idx="25">
                  <c:v>New Zealand, MFAT</c:v>
                </c:pt>
                <c:pt idx="26">
                  <c:v>Ireland, IrishAid</c:v>
                </c:pt>
                <c:pt idx="27">
                  <c:v>France, MAEDI</c:v>
                </c:pt>
                <c:pt idx="28">
                  <c:v>UN OCHA</c:v>
                </c:pt>
                <c:pt idx="29">
                  <c:v>U.S., PEPFAR</c:v>
                </c:pt>
                <c:pt idx="30">
                  <c:v>U.S., USAID</c:v>
                </c:pt>
                <c:pt idx="31">
                  <c:v>U.S., State</c:v>
                </c:pt>
                <c:pt idx="32">
                  <c:v>Japan, JICA</c:v>
                </c:pt>
                <c:pt idx="33">
                  <c:v>Korea, KOICA</c:v>
                </c:pt>
                <c:pt idx="34">
                  <c:v>UK, FCO</c:v>
                </c:pt>
                <c:pt idx="35">
                  <c:v>U.S., Treasury</c:v>
                </c:pt>
                <c:pt idx="36">
                  <c:v>IMF</c:v>
                </c:pt>
                <c:pt idx="37">
                  <c:v>U.S., Defense</c:v>
                </c:pt>
                <c:pt idx="38">
                  <c:v>World Bank, IFC</c:v>
                </c:pt>
                <c:pt idx="39">
                  <c:v>Czech Republic, CzDA</c:v>
                </c:pt>
                <c:pt idx="40">
                  <c:v>Estonia, MFA</c:v>
                </c:pt>
                <c:pt idx="41">
                  <c:v>Norway, MFA</c:v>
                </c:pt>
                <c:pt idx="42">
                  <c:v>Portugal, CICL</c:v>
                </c:pt>
                <c:pt idx="43">
                  <c:v>France, AFD</c:v>
                </c:pt>
                <c:pt idx="44">
                  <c:v>EIB</c:v>
                </c:pt>
                <c:pt idx="45">
                  <c:v>EBRD</c:v>
                </c:pt>
                <c:pt idx="46">
                  <c:v>Austria, ADA</c:v>
                </c:pt>
                <c:pt idx="47">
                  <c:v>Latvia, MFA</c:v>
                </c:pt>
                <c:pt idx="48">
                  <c:v>Belgium, DGCD</c:v>
                </c:pt>
                <c:pt idx="49">
                  <c:v>Luxembourg, MFA</c:v>
                </c:pt>
                <c:pt idx="50">
                  <c:v>Slovakia, SAIDC</c:v>
                </c:pt>
                <c:pt idx="51">
                  <c:v>Slovenia, MFA</c:v>
                </c:pt>
                <c:pt idx="52">
                  <c:v>Japan, MOFA</c:v>
                </c:pt>
                <c:pt idx="53">
                  <c:v>Italy, MAE</c:v>
                </c:pt>
                <c:pt idx="54">
                  <c:v>Poland, MFA</c:v>
                </c:pt>
                <c:pt idx="55">
                  <c:v>Croatia, MFA</c:v>
                </c:pt>
                <c:pt idx="56">
                  <c:v>Romania, MFA</c:v>
                </c:pt>
                <c:pt idx="57">
                  <c:v>France, MINEFI</c:v>
                </c:pt>
                <c:pt idx="58">
                  <c:v>Brazil, ABC</c:v>
                </c:pt>
                <c:pt idx="59">
                  <c:v>UK, MOD</c:v>
                </c:pt>
                <c:pt idx="60">
                  <c:v>Germany, AA</c:v>
                </c:pt>
                <c:pt idx="61">
                  <c:v>Hungary, MFA</c:v>
                </c:pt>
                <c:pt idx="62">
                  <c:v>Bulgaria, MFA</c:v>
                </c:pt>
                <c:pt idx="63">
                  <c:v>Malta, MFA</c:v>
                </c:pt>
                <c:pt idx="64">
                  <c:v>Lithuania, MFA</c:v>
                </c:pt>
                <c:pt idx="65">
                  <c:v>Cyprus, CyprusAid</c:v>
                </c:pt>
                <c:pt idx="66">
                  <c:v>Greece, HellenicAid</c:v>
                </c:pt>
                <c:pt idx="67">
                  <c:v>China, MOFCOM</c:v>
                </c:pt>
              </c:strCache>
            </c:strRef>
          </c:cat>
          <c:val>
            <c:numRef>
              <c:f>'Wtd - IATI vs Others'!$C$5:$C$72</c:f>
              <c:numCache>
                <c:formatCode>0.00</c:formatCode>
                <c:ptCount val="68"/>
                <c:pt idx="0">
                  <c:v>8.7798780000000001</c:v>
                </c:pt>
                <c:pt idx="1">
                  <c:v>9.5904000000000007</c:v>
                </c:pt>
                <c:pt idx="2">
                  <c:v>13.937277999999996</c:v>
                </c:pt>
                <c:pt idx="3">
                  <c:v>8.7082890000000006</c:v>
                </c:pt>
                <c:pt idx="4">
                  <c:v>10.750078</c:v>
                </c:pt>
                <c:pt idx="5">
                  <c:v>9.8234999999999992</c:v>
                </c:pt>
                <c:pt idx="6">
                  <c:v>7.9452014999999978</c:v>
                </c:pt>
                <c:pt idx="7">
                  <c:v>8.0864794999999994</c:v>
                </c:pt>
                <c:pt idx="8">
                  <c:v>6.7205104999999996</c:v>
                </c:pt>
                <c:pt idx="9">
                  <c:v>12.125579499999999</c:v>
                </c:pt>
                <c:pt idx="10">
                  <c:v>13.174853999999998</c:v>
                </c:pt>
                <c:pt idx="11">
                  <c:v>12.9453</c:v>
                </c:pt>
                <c:pt idx="12">
                  <c:v>12.812099999999999</c:v>
                </c:pt>
                <c:pt idx="13">
                  <c:v>17.864867</c:v>
                </c:pt>
                <c:pt idx="14">
                  <c:v>13.729099999999999</c:v>
                </c:pt>
                <c:pt idx="15">
                  <c:v>15.837979000000001</c:v>
                </c:pt>
                <c:pt idx="16">
                  <c:v>13.291997499999997</c:v>
                </c:pt>
                <c:pt idx="17">
                  <c:v>13.389527999999999</c:v>
                </c:pt>
                <c:pt idx="18">
                  <c:v>15.933634999999999</c:v>
                </c:pt>
                <c:pt idx="19">
                  <c:v>10.477077499999998</c:v>
                </c:pt>
                <c:pt idx="20">
                  <c:v>5.302778</c:v>
                </c:pt>
                <c:pt idx="21">
                  <c:v>20.908886500000001</c:v>
                </c:pt>
                <c:pt idx="22">
                  <c:v>6.7002279999999983</c:v>
                </c:pt>
                <c:pt idx="23">
                  <c:v>19.397403999999991</c:v>
                </c:pt>
                <c:pt idx="24">
                  <c:v>12.243402999999999</c:v>
                </c:pt>
                <c:pt idx="25">
                  <c:v>22.601324499999997</c:v>
                </c:pt>
                <c:pt idx="26">
                  <c:v>15.092979000000001</c:v>
                </c:pt>
                <c:pt idx="27">
                  <c:v>9.0859584999999985</c:v>
                </c:pt>
                <c:pt idx="28">
                  <c:v>21.838432999999998</c:v>
                </c:pt>
                <c:pt idx="29">
                  <c:v>13.433652</c:v>
                </c:pt>
                <c:pt idx="30">
                  <c:v>19.338437499999998</c:v>
                </c:pt>
                <c:pt idx="31">
                  <c:v>18.068499499999994</c:v>
                </c:pt>
                <c:pt idx="32">
                  <c:v>13.105914999999996</c:v>
                </c:pt>
                <c:pt idx="33">
                  <c:v>36.894750999999985</c:v>
                </c:pt>
                <c:pt idx="34">
                  <c:v>17.314543499999999</c:v>
                </c:pt>
                <c:pt idx="35">
                  <c:v>32.048499499999998</c:v>
                </c:pt>
                <c:pt idx="36">
                  <c:v>31.595881999999996</c:v>
                </c:pt>
                <c:pt idx="37">
                  <c:v>13.2020085</c:v>
                </c:pt>
                <c:pt idx="38">
                  <c:v>30.617910000000002</c:v>
                </c:pt>
                <c:pt idx="39">
                  <c:v>29.489809999999995</c:v>
                </c:pt>
                <c:pt idx="40">
                  <c:v>28.231219999999993</c:v>
                </c:pt>
                <c:pt idx="41">
                  <c:v>27.648543999999998</c:v>
                </c:pt>
                <c:pt idx="42">
                  <c:v>26.544537499999997</c:v>
                </c:pt>
                <c:pt idx="43">
                  <c:v>24.667978499999986</c:v>
                </c:pt>
                <c:pt idx="44">
                  <c:v>24.577408999999996</c:v>
                </c:pt>
                <c:pt idx="45">
                  <c:v>24.502645999999995</c:v>
                </c:pt>
                <c:pt idx="46">
                  <c:v>19.072684999999986</c:v>
                </c:pt>
                <c:pt idx="47">
                  <c:v>19.032905999999997</c:v>
                </c:pt>
                <c:pt idx="48">
                  <c:v>18.846488999999988</c:v>
                </c:pt>
                <c:pt idx="49">
                  <c:v>18.812663999999987</c:v>
                </c:pt>
                <c:pt idx="50">
                  <c:v>18.250666999999986</c:v>
                </c:pt>
                <c:pt idx="51">
                  <c:v>17.784162999999985</c:v>
                </c:pt>
                <c:pt idx="52">
                  <c:v>17.012573999999987</c:v>
                </c:pt>
                <c:pt idx="53">
                  <c:v>15.646043999999986</c:v>
                </c:pt>
                <c:pt idx="54">
                  <c:v>14.359405999999987</c:v>
                </c:pt>
                <c:pt idx="55">
                  <c:v>11.814868499999999</c:v>
                </c:pt>
                <c:pt idx="56">
                  <c:v>10.551111499999996</c:v>
                </c:pt>
                <c:pt idx="57">
                  <c:v>10.3011585</c:v>
                </c:pt>
                <c:pt idx="58">
                  <c:v>9.6461599999999983</c:v>
                </c:pt>
                <c:pt idx="59">
                  <c:v>9.6282870000000003</c:v>
                </c:pt>
                <c:pt idx="60">
                  <c:v>9.1154984999999993</c:v>
                </c:pt>
                <c:pt idx="61">
                  <c:v>8.3047779999999989</c:v>
                </c:pt>
                <c:pt idx="62">
                  <c:v>8.1649999999999991</c:v>
                </c:pt>
                <c:pt idx="63">
                  <c:v>6.5897159999999975</c:v>
                </c:pt>
                <c:pt idx="64">
                  <c:v>6.5130569999999999</c:v>
                </c:pt>
                <c:pt idx="65">
                  <c:v>5.909658999999988</c:v>
                </c:pt>
                <c:pt idx="66">
                  <c:v>4.7197779999999998</c:v>
                </c:pt>
                <c:pt idx="67">
                  <c:v>2.2197779999999998</c:v>
                </c:pt>
              </c:numCache>
            </c:numRef>
          </c:val>
        </c:ser>
        <c:dLbls>
          <c:showLegendKey val="0"/>
          <c:showVal val="0"/>
          <c:showCatName val="0"/>
          <c:showSerName val="0"/>
          <c:showPercent val="0"/>
          <c:showBubbleSize val="0"/>
        </c:dLbls>
        <c:gapWidth val="150"/>
        <c:overlap val="100"/>
        <c:axId val="160157912"/>
        <c:axId val="160158296"/>
      </c:barChart>
      <c:catAx>
        <c:axId val="1601579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158296"/>
        <c:crosses val="autoZero"/>
        <c:auto val="1"/>
        <c:lblAlgn val="ctr"/>
        <c:lblOffset val="100"/>
        <c:noMultiLvlLbl val="0"/>
      </c:catAx>
      <c:valAx>
        <c:axId val="16015829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157912"/>
        <c:crosses val="autoZero"/>
        <c:crossBetween val="between"/>
      </c:valAx>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11" l="0.70000000000000007" r="0.70000000000000007" t="0.75000000000000011" header="0.30000000000000004" footer="0.30000000000000004"/>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No of donors publishing</a:t>
            </a:r>
            <a:r>
              <a:rPr lang="en-US" b="1" baseline="0"/>
              <a:t> the 39 Index indicators</a:t>
            </a:r>
            <a:r>
              <a:rPr lang="en-US" b="1"/>
              <a:t> in 2014</a:t>
            </a:r>
          </a:p>
        </c:rich>
      </c:tx>
      <c:layout>
        <c:manualLayout>
          <c:xMode val="edge"/>
          <c:yMode val="edge"/>
          <c:x val="0.35468176914778865"/>
          <c:y val="3.7037037037037042E-2"/>
        </c:manualLayout>
      </c:layout>
      <c:overlay val="0"/>
      <c:spPr>
        <a:noFill/>
        <a:ln>
          <a:noFill/>
        </a:ln>
        <a:effectLst/>
      </c:spPr>
    </c:title>
    <c:autoTitleDeleted val="0"/>
    <c:plotArea>
      <c:layout/>
      <c:barChart>
        <c:barDir val="col"/>
        <c:grouping val="clustered"/>
        <c:varyColors val="0"/>
        <c:ser>
          <c:idx val="0"/>
          <c:order val="0"/>
          <c:tx>
            <c:strRef>
              <c:f>'Summary - indicator results'!$B$3</c:f>
              <c:strCache>
                <c:ptCount val="1"/>
                <c:pt idx="0">
                  <c:v>No of donors that score in 2014</c:v>
                </c:pt>
              </c:strCache>
            </c:strRef>
          </c:tx>
          <c:spPr>
            <a:solidFill>
              <a:schemeClr val="accent1"/>
            </a:solidFill>
            <a:ln>
              <a:noFill/>
            </a:ln>
            <a:effectLst/>
          </c:spPr>
          <c:invertIfNegative val="0"/>
          <c:cat>
            <c:strRef>
              <c:f>'Summary - indicator results'!$A$4:$A$42</c:f>
              <c:strCache>
                <c:ptCount val="39"/>
                <c:pt idx="0">
                  <c:v>Organisation strategy</c:v>
                </c:pt>
                <c:pt idx="1">
                  <c:v>FOIA</c:v>
                </c:pt>
                <c:pt idx="2">
                  <c:v>Procurement policy</c:v>
                </c:pt>
                <c:pt idx="3">
                  <c:v>Allocation policy</c:v>
                </c:pt>
                <c:pt idx="4">
                  <c:v>Annual report</c:v>
                </c:pt>
                <c:pt idx="5">
                  <c:v>Title</c:v>
                </c:pt>
                <c:pt idx="6">
                  <c:v>Description</c:v>
                </c:pt>
                <c:pt idx="7">
                  <c:v>Commitments</c:v>
                </c:pt>
                <c:pt idx="8">
                  <c:v>Total budget</c:v>
                </c:pt>
                <c:pt idx="9">
                  <c:v>Sector</c:v>
                </c:pt>
                <c:pt idx="10">
                  <c:v>Contact details</c:v>
                </c:pt>
                <c:pt idx="11">
                  <c:v>Tenders</c:v>
                </c:pt>
                <c:pt idx="12">
                  <c:v>Unique ID</c:v>
                </c:pt>
                <c:pt idx="13">
                  <c:v>Implementer</c:v>
                </c:pt>
                <c:pt idx="14">
                  <c:v>Audit</c:v>
                </c:pt>
                <c:pt idx="15">
                  <c:v>Collaboration Type</c:v>
                </c:pt>
                <c:pt idx="16">
                  <c:v>Finance Type</c:v>
                </c:pt>
                <c:pt idx="17">
                  <c:v>Aid Type</c:v>
                </c:pt>
                <c:pt idx="18">
                  <c:v>Flow Type</c:v>
                </c:pt>
                <c:pt idx="19">
                  <c:v>Country strategy</c:v>
                </c:pt>
                <c:pt idx="20">
                  <c:v>Current Status</c:v>
                </c:pt>
                <c:pt idx="21">
                  <c:v>Planned dates</c:v>
                </c:pt>
                <c:pt idx="22">
                  <c:v>Tied Aid Status</c:v>
                </c:pt>
                <c:pt idx="23">
                  <c:v>Implementation schedules</c:v>
                </c:pt>
                <c:pt idx="24">
                  <c:v>Disaggregated budgets</c:v>
                </c:pt>
                <c:pt idx="25">
                  <c:v>Evaluations</c:v>
                </c:pt>
                <c:pt idx="26">
                  <c:v>Accessibility</c:v>
                </c:pt>
                <c:pt idx="27">
                  <c:v>Contracts</c:v>
                </c:pt>
                <c:pt idx="28">
                  <c:v>Disbursements and expenditure</c:v>
                </c:pt>
                <c:pt idx="29">
                  <c:v>Objectives</c:v>
                </c:pt>
                <c:pt idx="30">
                  <c:v>Actual dates</c:v>
                </c:pt>
                <c:pt idx="31">
                  <c:v>Budget</c:v>
                </c:pt>
                <c:pt idx="32">
                  <c:v>Sub-national location</c:v>
                </c:pt>
                <c:pt idx="33">
                  <c:v>Conditions</c:v>
                </c:pt>
                <c:pt idx="34">
                  <c:v>MoU</c:v>
                </c:pt>
                <c:pt idx="35">
                  <c:v>Results</c:v>
                </c:pt>
                <c:pt idx="36">
                  <c:v>Impact Appraisals</c:v>
                </c:pt>
                <c:pt idx="37">
                  <c:v>Budget Docs</c:v>
                </c:pt>
                <c:pt idx="38">
                  <c:v>Budget Identifier</c:v>
                </c:pt>
              </c:strCache>
            </c:strRef>
          </c:cat>
          <c:val>
            <c:numRef>
              <c:f>'Summary - indicator results'!$B$4:$B$42</c:f>
              <c:numCache>
                <c:formatCode>General</c:formatCode>
                <c:ptCount val="39"/>
                <c:pt idx="0">
                  <c:v>65</c:v>
                </c:pt>
                <c:pt idx="1">
                  <c:v>65</c:v>
                </c:pt>
                <c:pt idx="2">
                  <c:v>63</c:v>
                </c:pt>
                <c:pt idx="3">
                  <c:v>63</c:v>
                </c:pt>
                <c:pt idx="4">
                  <c:v>62</c:v>
                </c:pt>
                <c:pt idx="5">
                  <c:v>58</c:v>
                </c:pt>
                <c:pt idx="6">
                  <c:v>54</c:v>
                </c:pt>
                <c:pt idx="7">
                  <c:v>53</c:v>
                </c:pt>
                <c:pt idx="8">
                  <c:v>54</c:v>
                </c:pt>
                <c:pt idx="9">
                  <c:v>53</c:v>
                </c:pt>
                <c:pt idx="10">
                  <c:v>53</c:v>
                </c:pt>
                <c:pt idx="11">
                  <c:v>53</c:v>
                </c:pt>
                <c:pt idx="12">
                  <c:v>51</c:v>
                </c:pt>
                <c:pt idx="13">
                  <c:v>50</c:v>
                </c:pt>
                <c:pt idx="14">
                  <c:v>49</c:v>
                </c:pt>
                <c:pt idx="15">
                  <c:v>46</c:v>
                </c:pt>
                <c:pt idx="16">
                  <c:v>46</c:v>
                </c:pt>
                <c:pt idx="17">
                  <c:v>47</c:v>
                </c:pt>
                <c:pt idx="18">
                  <c:v>44</c:v>
                </c:pt>
                <c:pt idx="19">
                  <c:v>43</c:v>
                </c:pt>
                <c:pt idx="20">
                  <c:v>40</c:v>
                </c:pt>
                <c:pt idx="21">
                  <c:v>42</c:v>
                </c:pt>
                <c:pt idx="22">
                  <c:v>40</c:v>
                </c:pt>
                <c:pt idx="23">
                  <c:v>42</c:v>
                </c:pt>
                <c:pt idx="24">
                  <c:v>40</c:v>
                </c:pt>
                <c:pt idx="25">
                  <c:v>39</c:v>
                </c:pt>
                <c:pt idx="26">
                  <c:v>38</c:v>
                </c:pt>
                <c:pt idx="27">
                  <c:v>37</c:v>
                </c:pt>
                <c:pt idx="28">
                  <c:v>33</c:v>
                </c:pt>
                <c:pt idx="29">
                  <c:v>33</c:v>
                </c:pt>
                <c:pt idx="30">
                  <c:v>29</c:v>
                </c:pt>
                <c:pt idx="31">
                  <c:v>26</c:v>
                </c:pt>
                <c:pt idx="32">
                  <c:v>26</c:v>
                </c:pt>
                <c:pt idx="33">
                  <c:v>18</c:v>
                </c:pt>
                <c:pt idx="34">
                  <c:v>16</c:v>
                </c:pt>
                <c:pt idx="35">
                  <c:v>16</c:v>
                </c:pt>
                <c:pt idx="36">
                  <c:v>16</c:v>
                </c:pt>
                <c:pt idx="37">
                  <c:v>13</c:v>
                </c:pt>
                <c:pt idx="38">
                  <c:v>7</c:v>
                </c:pt>
              </c:numCache>
            </c:numRef>
          </c:val>
        </c:ser>
        <c:dLbls>
          <c:showLegendKey val="0"/>
          <c:showVal val="0"/>
          <c:showCatName val="0"/>
          <c:showSerName val="0"/>
          <c:showPercent val="0"/>
          <c:showBubbleSize val="0"/>
        </c:dLbls>
        <c:gapWidth val="219"/>
        <c:overlap val="-27"/>
        <c:axId val="160372024"/>
        <c:axId val="160266200"/>
      </c:barChart>
      <c:catAx>
        <c:axId val="1603720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266200"/>
        <c:crosses val="autoZero"/>
        <c:auto val="1"/>
        <c:lblAlgn val="ctr"/>
        <c:lblOffset val="100"/>
        <c:noMultiLvlLbl val="0"/>
      </c:catAx>
      <c:valAx>
        <c:axId val="16026620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3720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11" l="0.70000000000000007" r="0.70000000000000007" t="0.75000000000000011" header="0.30000000000000004" footer="0.30000000000000004"/>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[Final results 2014 ATI - 02.09.2014.xlsx]Format by indicator!Format of publication for 22 indicators</c:name>
    <c:fmtId val="0"/>
  </c:pivotSource>
  <c:chart>
    <c:autoTitleDeleted val="0"/>
    <c:pivotFmts>
      <c:pivotFmt>
        <c:idx val="0"/>
        <c:spPr>
          <a:solidFill>
            <a:schemeClr val="accent1"/>
          </a:solidFill>
          <a:ln>
            <a:noFill/>
          </a:ln>
          <a:effectLst/>
        </c:spPr>
        <c:marker>
          <c:symbol val="none"/>
        </c:marker>
      </c:pivotFmt>
      <c:pivotFmt>
        <c:idx val="1"/>
        <c:spPr>
          <a:solidFill>
            <a:schemeClr val="accent2"/>
          </a:solidFill>
          <a:ln>
            <a:noFill/>
          </a:ln>
          <a:effectLst/>
        </c:spPr>
        <c:marker>
          <c:symbol val="none"/>
        </c:marker>
      </c:pivotFmt>
      <c:pivotFmt>
        <c:idx val="2"/>
        <c:spPr>
          <a:solidFill>
            <a:schemeClr val="accent3"/>
          </a:solidFill>
          <a:ln>
            <a:noFill/>
          </a:ln>
          <a:effectLst/>
        </c:spPr>
        <c:marker>
          <c:symbol val="none"/>
        </c:marker>
      </c:pivotFmt>
      <c:pivotFmt>
        <c:idx val="3"/>
        <c:spPr>
          <a:solidFill>
            <a:schemeClr val="accent4"/>
          </a:solidFill>
          <a:ln>
            <a:noFill/>
          </a:ln>
          <a:effectLst/>
        </c:spPr>
        <c:marker>
          <c:symbol val="none"/>
        </c:marker>
      </c:pivotFmt>
      <c:pivotFmt>
        <c:idx val="4"/>
        <c:spPr>
          <a:solidFill>
            <a:schemeClr val="accent1"/>
          </a:solidFill>
          <a:ln>
            <a:noFill/>
          </a:ln>
          <a:effectLst/>
        </c:spPr>
        <c:marker>
          <c:symbol val="none"/>
        </c:marker>
      </c:pivotFmt>
    </c:pivotFmts>
    <c:plotArea>
      <c:layout/>
      <c:barChart>
        <c:barDir val="col"/>
        <c:grouping val="percentStacked"/>
        <c:varyColors val="0"/>
        <c:ser>
          <c:idx val="0"/>
          <c:order val="0"/>
          <c:tx>
            <c:strRef>
              <c:f>'Format by indicator'!$B$4:$B$5</c:f>
              <c:strCache>
                <c:ptCount val="1"/>
                <c:pt idx="0">
                  <c:v>iati</c:v>
                </c:pt>
              </c:strCache>
            </c:strRef>
          </c:tx>
          <c:spPr>
            <a:solidFill>
              <a:schemeClr val="accent1"/>
            </a:solidFill>
            <a:ln>
              <a:noFill/>
            </a:ln>
            <a:effectLst/>
          </c:spPr>
          <c:invertIfNegative val="0"/>
          <c:cat>
            <c:strRef>
              <c:f>'Format by indicator'!$A$6:$A$28</c:f>
              <c:strCache>
                <c:ptCount val="22"/>
                <c:pt idx="0">
                  <c:v>Actual dates</c:v>
                </c:pt>
                <c:pt idx="1">
                  <c:v>Aid Type</c:v>
                </c:pt>
                <c:pt idx="2">
                  <c:v>Budget</c:v>
                </c:pt>
                <c:pt idx="3">
                  <c:v>Budget Identifier</c:v>
                </c:pt>
                <c:pt idx="4">
                  <c:v>Collaboration Type</c:v>
                </c:pt>
                <c:pt idx="5">
                  <c:v>Commitments</c:v>
                </c:pt>
                <c:pt idx="6">
                  <c:v>Contact details</c:v>
                </c:pt>
                <c:pt idx="7">
                  <c:v>Current Status</c:v>
                </c:pt>
                <c:pt idx="8">
                  <c:v>Description</c:v>
                </c:pt>
                <c:pt idx="9">
                  <c:v>Disaggregated budgets</c:v>
                </c:pt>
                <c:pt idx="10">
                  <c:v>Disbursements and expenditure</c:v>
                </c:pt>
                <c:pt idx="11">
                  <c:v>Finance Type</c:v>
                </c:pt>
                <c:pt idx="12">
                  <c:v>Flow Type</c:v>
                </c:pt>
                <c:pt idx="13">
                  <c:v>Implementer</c:v>
                </c:pt>
                <c:pt idx="14">
                  <c:v>Planned dates</c:v>
                </c:pt>
                <c:pt idx="15">
                  <c:v>Results</c:v>
                </c:pt>
                <c:pt idx="16">
                  <c:v>Sector</c:v>
                </c:pt>
                <c:pt idx="17">
                  <c:v>Sub-national location</c:v>
                </c:pt>
                <c:pt idx="18">
                  <c:v>Tied Aid Status</c:v>
                </c:pt>
                <c:pt idx="19">
                  <c:v>Title</c:v>
                </c:pt>
                <c:pt idx="20">
                  <c:v>Total budget</c:v>
                </c:pt>
                <c:pt idx="21">
                  <c:v>Unique ID</c:v>
                </c:pt>
              </c:strCache>
            </c:strRef>
          </c:cat>
          <c:val>
            <c:numRef>
              <c:f>'Format by indicator'!$B$6:$B$28</c:f>
              <c:numCache>
                <c:formatCode>General</c:formatCode>
                <c:ptCount val="22"/>
                <c:pt idx="0">
                  <c:v>28</c:v>
                </c:pt>
                <c:pt idx="1">
                  <c:v>29</c:v>
                </c:pt>
                <c:pt idx="2">
                  <c:v>15</c:v>
                </c:pt>
                <c:pt idx="3">
                  <c:v>7</c:v>
                </c:pt>
                <c:pt idx="4">
                  <c:v>27</c:v>
                </c:pt>
                <c:pt idx="5">
                  <c:v>29</c:v>
                </c:pt>
                <c:pt idx="6">
                  <c:v>26</c:v>
                </c:pt>
                <c:pt idx="7">
                  <c:v>26</c:v>
                </c:pt>
                <c:pt idx="8">
                  <c:v>34</c:v>
                </c:pt>
                <c:pt idx="9">
                  <c:v>17</c:v>
                </c:pt>
                <c:pt idx="10">
                  <c:v>32</c:v>
                </c:pt>
                <c:pt idx="11">
                  <c:v>29</c:v>
                </c:pt>
                <c:pt idx="12">
                  <c:v>32</c:v>
                </c:pt>
                <c:pt idx="13">
                  <c:v>29</c:v>
                </c:pt>
                <c:pt idx="14">
                  <c:v>31</c:v>
                </c:pt>
                <c:pt idx="15">
                  <c:v>14</c:v>
                </c:pt>
                <c:pt idx="16">
                  <c:v>35</c:v>
                </c:pt>
                <c:pt idx="17">
                  <c:v>14</c:v>
                </c:pt>
                <c:pt idx="18">
                  <c:v>27</c:v>
                </c:pt>
                <c:pt idx="19">
                  <c:v>35</c:v>
                </c:pt>
                <c:pt idx="20">
                  <c:v>21</c:v>
                </c:pt>
                <c:pt idx="21">
                  <c:v>35</c:v>
                </c:pt>
              </c:numCache>
            </c:numRef>
          </c:val>
        </c:ser>
        <c:ser>
          <c:idx val="1"/>
          <c:order val="1"/>
          <c:tx>
            <c:strRef>
              <c:f>'Format by indicator'!$C$4:$C$5</c:f>
              <c:strCache>
                <c:ptCount val="1"/>
                <c:pt idx="0">
                  <c:v>machine-readable</c:v>
                </c:pt>
              </c:strCache>
            </c:strRef>
          </c:tx>
          <c:spPr>
            <a:solidFill>
              <a:schemeClr val="accent2"/>
            </a:solidFill>
            <a:ln>
              <a:noFill/>
            </a:ln>
            <a:effectLst/>
          </c:spPr>
          <c:invertIfNegative val="0"/>
          <c:cat>
            <c:strRef>
              <c:f>'Format by indicator'!$A$6:$A$28</c:f>
              <c:strCache>
                <c:ptCount val="22"/>
                <c:pt idx="0">
                  <c:v>Actual dates</c:v>
                </c:pt>
                <c:pt idx="1">
                  <c:v>Aid Type</c:v>
                </c:pt>
                <c:pt idx="2">
                  <c:v>Budget</c:v>
                </c:pt>
                <c:pt idx="3">
                  <c:v>Budget Identifier</c:v>
                </c:pt>
                <c:pt idx="4">
                  <c:v>Collaboration Type</c:v>
                </c:pt>
                <c:pt idx="5">
                  <c:v>Commitments</c:v>
                </c:pt>
                <c:pt idx="6">
                  <c:v>Contact details</c:v>
                </c:pt>
                <c:pt idx="7">
                  <c:v>Current Status</c:v>
                </c:pt>
                <c:pt idx="8">
                  <c:v>Description</c:v>
                </c:pt>
                <c:pt idx="9">
                  <c:v>Disaggregated budgets</c:v>
                </c:pt>
                <c:pt idx="10">
                  <c:v>Disbursements and expenditure</c:v>
                </c:pt>
                <c:pt idx="11">
                  <c:v>Finance Type</c:v>
                </c:pt>
                <c:pt idx="12">
                  <c:v>Flow Type</c:v>
                </c:pt>
                <c:pt idx="13">
                  <c:v>Implementer</c:v>
                </c:pt>
                <c:pt idx="14">
                  <c:v>Planned dates</c:v>
                </c:pt>
                <c:pt idx="15">
                  <c:v>Results</c:v>
                </c:pt>
                <c:pt idx="16">
                  <c:v>Sector</c:v>
                </c:pt>
                <c:pt idx="17">
                  <c:v>Sub-national location</c:v>
                </c:pt>
                <c:pt idx="18">
                  <c:v>Tied Aid Status</c:v>
                </c:pt>
                <c:pt idx="19">
                  <c:v>Title</c:v>
                </c:pt>
                <c:pt idx="20">
                  <c:v>Total budget</c:v>
                </c:pt>
                <c:pt idx="21">
                  <c:v>Unique ID</c:v>
                </c:pt>
              </c:strCache>
            </c:strRef>
          </c:cat>
          <c:val>
            <c:numRef>
              <c:f>'Format by indicator'!$C$6:$C$28</c:f>
              <c:numCache>
                <c:formatCode>General</c:formatCode>
                <c:ptCount val="22"/>
                <c:pt idx="0">
                  <c:v>1</c:v>
                </c:pt>
                <c:pt idx="1">
                  <c:v>11</c:v>
                </c:pt>
                <c:pt idx="2">
                  <c:v>6</c:v>
                </c:pt>
                <c:pt idx="4">
                  <c:v>9</c:v>
                </c:pt>
                <c:pt idx="5">
                  <c:v>11</c:v>
                </c:pt>
                <c:pt idx="6">
                  <c:v>1</c:v>
                </c:pt>
                <c:pt idx="7">
                  <c:v>7</c:v>
                </c:pt>
                <c:pt idx="8">
                  <c:v>6</c:v>
                </c:pt>
                <c:pt idx="9">
                  <c:v>12</c:v>
                </c:pt>
                <c:pt idx="10">
                  <c:v>1</c:v>
                </c:pt>
                <c:pt idx="11">
                  <c:v>9</c:v>
                </c:pt>
                <c:pt idx="12">
                  <c:v>4</c:v>
                </c:pt>
                <c:pt idx="13">
                  <c:v>8</c:v>
                </c:pt>
                <c:pt idx="14">
                  <c:v>6</c:v>
                </c:pt>
                <c:pt idx="16">
                  <c:v>10</c:v>
                </c:pt>
                <c:pt idx="17">
                  <c:v>3</c:v>
                </c:pt>
                <c:pt idx="18">
                  <c:v>5</c:v>
                </c:pt>
                <c:pt idx="19">
                  <c:v>9</c:v>
                </c:pt>
                <c:pt idx="20">
                  <c:v>3</c:v>
                </c:pt>
                <c:pt idx="21">
                  <c:v>5</c:v>
                </c:pt>
              </c:numCache>
            </c:numRef>
          </c:val>
        </c:ser>
        <c:ser>
          <c:idx val="2"/>
          <c:order val="2"/>
          <c:tx>
            <c:strRef>
              <c:f>'Format by indicator'!$D$4:$D$5</c:f>
              <c:strCache>
                <c:ptCount val="1"/>
                <c:pt idx="0">
                  <c:v>website</c:v>
                </c:pt>
              </c:strCache>
            </c:strRef>
          </c:tx>
          <c:spPr>
            <a:solidFill>
              <a:schemeClr val="accent3"/>
            </a:solidFill>
            <a:ln>
              <a:noFill/>
            </a:ln>
            <a:effectLst/>
          </c:spPr>
          <c:invertIfNegative val="0"/>
          <c:cat>
            <c:strRef>
              <c:f>'Format by indicator'!$A$6:$A$28</c:f>
              <c:strCache>
                <c:ptCount val="22"/>
                <c:pt idx="0">
                  <c:v>Actual dates</c:v>
                </c:pt>
                <c:pt idx="1">
                  <c:v>Aid Type</c:v>
                </c:pt>
                <c:pt idx="2">
                  <c:v>Budget</c:v>
                </c:pt>
                <c:pt idx="3">
                  <c:v>Budget Identifier</c:v>
                </c:pt>
                <c:pt idx="4">
                  <c:v>Collaboration Type</c:v>
                </c:pt>
                <c:pt idx="5">
                  <c:v>Commitments</c:v>
                </c:pt>
                <c:pt idx="6">
                  <c:v>Contact details</c:v>
                </c:pt>
                <c:pt idx="7">
                  <c:v>Current Status</c:v>
                </c:pt>
                <c:pt idx="8">
                  <c:v>Description</c:v>
                </c:pt>
                <c:pt idx="9">
                  <c:v>Disaggregated budgets</c:v>
                </c:pt>
                <c:pt idx="10">
                  <c:v>Disbursements and expenditure</c:v>
                </c:pt>
                <c:pt idx="11">
                  <c:v>Finance Type</c:v>
                </c:pt>
                <c:pt idx="12">
                  <c:v>Flow Type</c:v>
                </c:pt>
                <c:pt idx="13">
                  <c:v>Implementer</c:v>
                </c:pt>
                <c:pt idx="14">
                  <c:v>Planned dates</c:v>
                </c:pt>
                <c:pt idx="15">
                  <c:v>Results</c:v>
                </c:pt>
                <c:pt idx="16">
                  <c:v>Sector</c:v>
                </c:pt>
                <c:pt idx="17">
                  <c:v>Sub-national location</c:v>
                </c:pt>
                <c:pt idx="18">
                  <c:v>Tied Aid Status</c:v>
                </c:pt>
                <c:pt idx="19">
                  <c:v>Title</c:v>
                </c:pt>
                <c:pt idx="20">
                  <c:v>Total budget</c:v>
                </c:pt>
                <c:pt idx="21">
                  <c:v>Unique ID</c:v>
                </c:pt>
              </c:strCache>
            </c:strRef>
          </c:cat>
          <c:val>
            <c:numRef>
              <c:f>'Format by indicator'!$D$6:$D$28</c:f>
              <c:numCache>
                <c:formatCode>General</c:formatCode>
                <c:ptCount val="22"/>
                <c:pt idx="1">
                  <c:v>5</c:v>
                </c:pt>
                <c:pt idx="2">
                  <c:v>1</c:v>
                </c:pt>
                <c:pt idx="4">
                  <c:v>8</c:v>
                </c:pt>
                <c:pt idx="5">
                  <c:v>10</c:v>
                </c:pt>
                <c:pt idx="6">
                  <c:v>26</c:v>
                </c:pt>
                <c:pt idx="7">
                  <c:v>6</c:v>
                </c:pt>
                <c:pt idx="8">
                  <c:v>13</c:v>
                </c:pt>
                <c:pt idx="9">
                  <c:v>4</c:v>
                </c:pt>
                <c:pt idx="11">
                  <c:v>7</c:v>
                </c:pt>
                <c:pt idx="12">
                  <c:v>6</c:v>
                </c:pt>
                <c:pt idx="13">
                  <c:v>12</c:v>
                </c:pt>
                <c:pt idx="14">
                  <c:v>4</c:v>
                </c:pt>
                <c:pt idx="15">
                  <c:v>1</c:v>
                </c:pt>
                <c:pt idx="16">
                  <c:v>8</c:v>
                </c:pt>
                <c:pt idx="17">
                  <c:v>7</c:v>
                </c:pt>
                <c:pt idx="18">
                  <c:v>5</c:v>
                </c:pt>
                <c:pt idx="19">
                  <c:v>12</c:v>
                </c:pt>
                <c:pt idx="20">
                  <c:v>4</c:v>
                </c:pt>
                <c:pt idx="21">
                  <c:v>11</c:v>
                </c:pt>
              </c:numCache>
            </c:numRef>
          </c:val>
        </c:ser>
        <c:ser>
          <c:idx val="3"/>
          <c:order val="3"/>
          <c:tx>
            <c:strRef>
              <c:f>'Format by indicator'!$E$4:$E$5</c:f>
              <c:strCache>
                <c:ptCount val="1"/>
                <c:pt idx="0">
                  <c:v>pdf</c:v>
                </c:pt>
              </c:strCache>
            </c:strRef>
          </c:tx>
          <c:spPr>
            <a:solidFill>
              <a:schemeClr val="accent4"/>
            </a:solidFill>
            <a:ln>
              <a:noFill/>
            </a:ln>
            <a:effectLst/>
          </c:spPr>
          <c:invertIfNegative val="0"/>
          <c:cat>
            <c:strRef>
              <c:f>'Format by indicator'!$A$6:$A$28</c:f>
              <c:strCache>
                <c:ptCount val="22"/>
                <c:pt idx="0">
                  <c:v>Actual dates</c:v>
                </c:pt>
                <c:pt idx="1">
                  <c:v>Aid Type</c:v>
                </c:pt>
                <c:pt idx="2">
                  <c:v>Budget</c:v>
                </c:pt>
                <c:pt idx="3">
                  <c:v>Budget Identifier</c:v>
                </c:pt>
                <c:pt idx="4">
                  <c:v>Collaboration Type</c:v>
                </c:pt>
                <c:pt idx="5">
                  <c:v>Commitments</c:v>
                </c:pt>
                <c:pt idx="6">
                  <c:v>Contact details</c:v>
                </c:pt>
                <c:pt idx="7">
                  <c:v>Current Status</c:v>
                </c:pt>
                <c:pt idx="8">
                  <c:v>Description</c:v>
                </c:pt>
                <c:pt idx="9">
                  <c:v>Disaggregated budgets</c:v>
                </c:pt>
                <c:pt idx="10">
                  <c:v>Disbursements and expenditure</c:v>
                </c:pt>
                <c:pt idx="11">
                  <c:v>Finance Type</c:v>
                </c:pt>
                <c:pt idx="12">
                  <c:v>Flow Type</c:v>
                </c:pt>
                <c:pt idx="13">
                  <c:v>Implementer</c:v>
                </c:pt>
                <c:pt idx="14">
                  <c:v>Planned dates</c:v>
                </c:pt>
                <c:pt idx="15">
                  <c:v>Results</c:v>
                </c:pt>
                <c:pt idx="16">
                  <c:v>Sector</c:v>
                </c:pt>
                <c:pt idx="17">
                  <c:v>Sub-national location</c:v>
                </c:pt>
                <c:pt idx="18">
                  <c:v>Tied Aid Status</c:v>
                </c:pt>
                <c:pt idx="19">
                  <c:v>Title</c:v>
                </c:pt>
                <c:pt idx="20">
                  <c:v>Total budget</c:v>
                </c:pt>
                <c:pt idx="21">
                  <c:v>Unique ID</c:v>
                </c:pt>
              </c:strCache>
            </c:strRef>
          </c:cat>
          <c:val>
            <c:numRef>
              <c:f>'Format by indicator'!$E$6:$E$28</c:f>
              <c:numCache>
                <c:formatCode>General</c:formatCode>
                <c:ptCount val="22"/>
                <c:pt idx="1">
                  <c:v>2</c:v>
                </c:pt>
                <c:pt idx="2">
                  <c:v>4</c:v>
                </c:pt>
                <c:pt idx="4">
                  <c:v>2</c:v>
                </c:pt>
                <c:pt idx="5">
                  <c:v>3</c:v>
                </c:pt>
                <c:pt idx="7">
                  <c:v>1</c:v>
                </c:pt>
                <c:pt idx="8">
                  <c:v>1</c:v>
                </c:pt>
                <c:pt idx="9">
                  <c:v>7</c:v>
                </c:pt>
                <c:pt idx="11">
                  <c:v>1</c:v>
                </c:pt>
                <c:pt idx="12">
                  <c:v>2</c:v>
                </c:pt>
                <c:pt idx="13">
                  <c:v>1</c:v>
                </c:pt>
                <c:pt idx="14">
                  <c:v>1</c:v>
                </c:pt>
                <c:pt idx="15">
                  <c:v>1</c:v>
                </c:pt>
                <c:pt idx="17">
                  <c:v>2</c:v>
                </c:pt>
                <c:pt idx="18">
                  <c:v>3</c:v>
                </c:pt>
                <c:pt idx="19">
                  <c:v>2</c:v>
                </c:pt>
                <c:pt idx="20">
                  <c:v>26</c:v>
                </c:pt>
              </c:numCache>
            </c:numRef>
          </c:val>
        </c:ser>
        <c:dLbls>
          <c:showLegendKey val="0"/>
          <c:showVal val="0"/>
          <c:showCatName val="0"/>
          <c:showSerName val="0"/>
          <c:showPercent val="0"/>
          <c:showBubbleSize val="0"/>
        </c:dLbls>
        <c:gapWidth val="150"/>
        <c:overlap val="100"/>
        <c:axId val="202299328"/>
        <c:axId val="202354080"/>
      </c:barChart>
      <c:catAx>
        <c:axId val="2022993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2354080"/>
        <c:crosses val="autoZero"/>
        <c:auto val="1"/>
        <c:lblAlgn val="ctr"/>
        <c:lblOffset val="100"/>
        <c:noMultiLvlLbl val="0"/>
      </c:catAx>
      <c:valAx>
        <c:axId val="20235408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2299328"/>
        <c:crosses val="autoZero"/>
        <c:crossBetween val="between"/>
      </c:valAx>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11" l="0.70000000000000007" r="0.70000000000000007" t="0.75000000000000011" header="0.30000000000000004" footer="0.30000000000000004"/>
    <c:pageSetup paperSize="9" orientation="landscape"/>
  </c:printSettings>
  <c:userShapes r:id="rId1"/>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b="1"/>
              <a:t>Format of publication for 22 indicators</a:t>
            </a:r>
            <a:r>
              <a:rPr lang="en-GB" b="1" baseline="0"/>
              <a:t> scored on format (by donor)</a:t>
            </a:r>
            <a:endParaRPr lang="en-GB" b="1"/>
          </a:p>
        </c:rich>
      </c:tx>
      <c:layout/>
      <c:overlay val="0"/>
      <c:spPr>
        <a:noFill/>
        <a:ln>
          <a:noFill/>
        </a:ln>
        <a:effectLst/>
      </c:spPr>
    </c:title>
    <c:autoTitleDeleted val="0"/>
    <c:plotArea>
      <c:layout/>
      <c:barChart>
        <c:barDir val="col"/>
        <c:grouping val="percentStacked"/>
        <c:varyColors val="0"/>
        <c:ser>
          <c:idx val="0"/>
          <c:order val="0"/>
          <c:tx>
            <c:strRef>
              <c:f>'Format by donor'!$J$6</c:f>
              <c:strCache>
                <c:ptCount val="1"/>
                <c:pt idx="0">
                  <c:v>IATI</c:v>
                </c:pt>
              </c:strCache>
            </c:strRef>
          </c:tx>
          <c:spPr>
            <a:solidFill>
              <a:schemeClr val="accent1"/>
            </a:solidFill>
            <a:ln>
              <a:noFill/>
            </a:ln>
            <a:effectLst/>
          </c:spPr>
          <c:invertIfNegative val="0"/>
          <c:cat>
            <c:strRef>
              <c:f>'Format by donor'!$I$7:$I$75</c:f>
              <c:strCache>
                <c:ptCount val="69"/>
                <c:pt idx="0">
                  <c:v>UNDP</c:v>
                </c:pt>
                <c:pt idx="1">
                  <c:v>UK, DFID</c:v>
                </c:pt>
                <c:pt idx="2">
                  <c:v>GAVI</c:v>
                </c:pt>
                <c:pt idx="3">
                  <c:v>AsDB</c:v>
                </c:pt>
                <c:pt idx="4">
                  <c:v>Sweden, MFA-Sida</c:v>
                </c:pt>
                <c:pt idx="5">
                  <c:v>U.S., MCC</c:v>
                </c:pt>
                <c:pt idx="6">
                  <c:v>World Bank, IDA</c:v>
                </c:pt>
                <c:pt idx="7">
                  <c:v>AfDB</c:v>
                </c:pt>
                <c:pt idx="8">
                  <c:v>IADB</c:v>
                </c:pt>
                <c:pt idx="9">
                  <c:v>Global Fund</c:v>
                </c:pt>
                <c:pt idx="10">
                  <c:v>Canada, DFATD</c:v>
                </c:pt>
                <c:pt idx="11">
                  <c:v>EC, FPI</c:v>
                </c:pt>
                <c:pt idx="12">
                  <c:v>EC, DEVCO</c:v>
                </c:pt>
                <c:pt idx="13">
                  <c:v>UNICEF</c:v>
                </c:pt>
                <c:pt idx="14">
                  <c:v>EC, ELARG</c:v>
                </c:pt>
                <c:pt idx="15">
                  <c:v>EC, ECHO</c:v>
                </c:pt>
                <c:pt idx="16">
                  <c:v>Germany, BMZ-GIZ</c:v>
                </c:pt>
                <c:pt idx="17">
                  <c:v>Netherlands, MFA</c:v>
                </c:pt>
                <c:pt idx="18">
                  <c:v>Switzerland, SDC</c:v>
                </c:pt>
                <c:pt idx="19">
                  <c:v>Spain, MAEC</c:v>
                </c:pt>
                <c:pt idx="20">
                  <c:v>Germany, BMZ-KFW</c:v>
                </c:pt>
                <c:pt idx="21">
                  <c:v>Denmark, MFA</c:v>
                </c:pt>
                <c:pt idx="22">
                  <c:v>Japan, JICA</c:v>
                </c:pt>
                <c:pt idx="23">
                  <c:v>Gates Foundation</c:v>
                </c:pt>
                <c:pt idx="24">
                  <c:v>Finland, MFA</c:v>
                </c:pt>
                <c:pt idx="25">
                  <c:v>Australia, DFAT</c:v>
                </c:pt>
                <c:pt idx="26">
                  <c:v>New Zealand, MFAT</c:v>
                </c:pt>
                <c:pt idx="27">
                  <c:v>France, MAEDI</c:v>
                </c:pt>
                <c:pt idx="28">
                  <c:v>Ireland, IrishAid</c:v>
                </c:pt>
                <c:pt idx="29">
                  <c:v>UN OCHA</c:v>
                </c:pt>
                <c:pt idx="30">
                  <c:v>U.S., PEPFAR</c:v>
                </c:pt>
                <c:pt idx="31">
                  <c:v>U.S., USAID</c:v>
                </c:pt>
                <c:pt idx="32">
                  <c:v>U.S., State</c:v>
                </c:pt>
                <c:pt idx="33">
                  <c:v>Korea, KOICA</c:v>
                </c:pt>
                <c:pt idx="34">
                  <c:v>UK, FCO</c:v>
                </c:pt>
                <c:pt idx="35">
                  <c:v>U.S., Treasury</c:v>
                </c:pt>
                <c:pt idx="36">
                  <c:v>IMF</c:v>
                </c:pt>
                <c:pt idx="37">
                  <c:v>U.S., Defense</c:v>
                </c:pt>
                <c:pt idx="38">
                  <c:v>World Bank, IFC</c:v>
                </c:pt>
                <c:pt idx="39">
                  <c:v>Czech Republic, CzDA</c:v>
                </c:pt>
                <c:pt idx="40">
                  <c:v>Estonia, MFA</c:v>
                </c:pt>
                <c:pt idx="41">
                  <c:v>Norway, MFA</c:v>
                </c:pt>
                <c:pt idx="42">
                  <c:v>Portugal, CICL</c:v>
                </c:pt>
                <c:pt idx="43">
                  <c:v>France, AFD</c:v>
                </c:pt>
                <c:pt idx="44">
                  <c:v>EIB</c:v>
                </c:pt>
                <c:pt idx="45">
                  <c:v>EBRD</c:v>
                </c:pt>
                <c:pt idx="46">
                  <c:v>Austria, ADA</c:v>
                </c:pt>
                <c:pt idx="47">
                  <c:v>Latvia, MFA</c:v>
                </c:pt>
                <c:pt idx="48">
                  <c:v>Belgium, DGCD</c:v>
                </c:pt>
                <c:pt idx="49">
                  <c:v>Luxembourg, MFA</c:v>
                </c:pt>
                <c:pt idx="50">
                  <c:v>Slovakia, SAIDC</c:v>
                </c:pt>
                <c:pt idx="51">
                  <c:v>Slovenia, MFA</c:v>
                </c:pt>
                <c:pt idx="52">
                  <c:v>Japan, MOFA</c:v>
                </c:pt>
                <c:pt idx="53">
                  <c:v>Italy, MAE</c:v>
                </c:pt>
                <c:pt idx="54">
                  <c:v>Poland, MFA</c:v>
                </c:pt>
                <c:pt idx="55">
                  <c:v>Croatia, MFA</c:v>
                </c:pt>
                <c:pt idx="56">
                  <c:v>Romania, MFA</c:v>
                </c:pt>
                <c:pt idx="57">
                  <c:v>Brazil, ABC</c:v>
                </c:pt>
                <c:pt idx="58">
                  <c:v>France, MINEFI</c:v>
                </c:pt>
                <c:pt idx="59">
                  <c:v>UK, MOD</c:v>
                </c:pt>
                <c:pt idx="60">
                  <c:v>Germany, AA</c:v>
                </c:pt>
                <c:pt idx="61">
                  <c:v>Hungary, MFA</c:v>
                </c:pt>
                <c:pt idx="62">
                  <c:v>Bulgaria, MFA</c:v>
                </c:pt>
                <c:pt idx="63">
                  <c:v>Malta, MFA</c:v>
                </c:pt>
                <c:pt idx="64">
                  <c:v>Lithuania, MFA</c:v>
                </c:pt>
                <c:pt idx="65">
                  <c:v>Cyprus, CyprusAid</c:v>
                </c:pt>
                <c:pt idx="66">
                  <c:v>Greece, HellenicAid</c:v>
                </c:pt>
                <c:pt idx="67">
                  <c:v>China, MOFCOM</c:v>
                </c:pt>
                <c:pt idx="68">
                  <c:v>SUM</c:v>
                </c:pt>
              </c:strCache>
            </c:strRef>
          </c:cat>
          <c:val>
            <c:numRef>
              <c:f>'Format by donor'!$J$7:$J$75</c:f>
              <c:numCache>
                <c:formatCode>General</c:formatCode>
                <c:ptCount val="69"/>
                <c:pt idx="0">
                  <c:v>22</c:v>
                </c:pt>
                <c:pt idx="1">
                  <c:v>22</c:v>
                </c:pt>
                <c:pt idx="2">
                  <c:v>22</c:v>
                </c:pt>
                <c:pt idx="3">
                  <c:v>20</c:v>
                </c:pt>
                <c:pt idx="4">
                  <c:v>22</c:v>
                </c:pt>
                <c:pt idx="5">
                  <c:v>18</c:v>
                </c:pt>
                <c:pt idx="6">
                  <c:v>20</c:v>
                </c:pt>
                <c:pt idx="7">
                  <c:v>20</c:v>
                </c:pt>
                <c:pt idx="8">
                  <c:v>17</c:v>
                </c:pt>
                <c:pt idx="9">
                  <c:v>17</c:v>
                </c:pt>
                <c:pt idx="10">
                  <c:v>18</c:v>
                </c:pt>
                <c:pt idx="11">
                  <c:v>20</c:v>
                </c:pt>
                <c:pt idx="12">
                  <c:v>20</c:v>
                </c:pt>
                <c:pt idx="13">
                  <c:v>19</c:v>
                </c:pt>
                <c:pt idx="14">
                  <c:v>17</c:v>
                </c:pt>
                <c:pt idx="15">
                  <c:v>16</c:v>
                </c:pt>
                <c:pt idx="16">
                  <c:v>14</c:v>
                </c:pt>
                <c:pt idx="17">
                  <c:v>19</c:v>
                </c:pt>
                <c:pt idx="18">
                  <c:v>17</c:v>
                </c:pt>
                <c:pt idx="19">
                  <c:v>17</c:v>
                </c:pt>
                <c:pt idx="20">
                  <c:v>14</c:v>
                </c:pt>
                <c:pt idx="21">
                  <c:v>17</c:v>
                </c:pt>
                <c:pt idx="22">
                  <c:v>7</c:v>
                </c:pt>
                <c:pt idx="23">
                  <c:v>17</c:v>
                </c:pt>
                <c:pt idx="24">
                  <c:v>14</c:v>
                </c:pt>
                <c:pt idx="25">
                  <c:v>13</c:v>
                </c:pt>
                <c:pt idx="26">
                  <c:v>13</c:v>
                </c:pt>
                <c:pt idx="27">
                  <c:v>16</c:v>
                </c:pt>
                <c:pt idx="28">
                  <c:v>16</c:v>
                </c:pt>
                <c:pt idx="29">
                  <c:v>10</c:v>
                </c:pt>
                <c:pt idx="30">
                  <c:v>15</c:v>
                </c:pt>
                <c:pt idx="31">
                  <c:v>11</c:v>
                </c:pt>
                <c:pt idx="32">
                  <c:v>11</c:v>
                </c:pt>
                <c:pt idx="33">
                  <c:v>0</c:v>
                </c:pt>
                <c:pt idx="34">
                  <c:v>11</c:v>
                </c:pt>
                <c:pt idx="35">
                  <c:v>1</c:v>
                </c:pt>
                <c:pt idx="36">
                  <c:v>0</c:v>
                </c:pt>
                <c:pt idx="37">
                  <c:v>9</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572</c:v>
                </c:pt>
              </c:numCache>
            </c:numRef>
          </c:val>
        </c:ser>
        <c:ser>
          <c:idx val="1"/>
          <c:order val="1"/>
          <c:tx>
            <c:strRef>
              <c:f>'Format by donor'!$K$6</c:f>
              <c:strCache>
                <c:ptCount val="1"/>
                <c:pt idx="0">
                  <c:v>Machine-readable</c:v>
                </c:pt>
              </c:strCache>
            </c:strRef>
          </c:tx>
          <c:spPr>
            <a:solidFill>
              <a:schemeClr val="accent2"/>
            </a:solidFill>
            <a:ln>
              <a:noFill/>
            </a:ln>
            <a:effectLst/>
          </c:spPr>
          <c:invertIfNegative val="0"/>
          <c:cat>
            <c:strRef>
              <c:f>'Format by donor'!$I$7:$I$75</c:f>
              <c:strCache>
                <c:ptCount val="69"/>
                <c:pt idx="0">
                  <c:v>UNDP</c:v>
                </c:pt>
                <c:pt idx="1">
                  <c:v>UK, DFID</c:v>
                </c:pt>
                <c:pt idx="2">
                  <c:v>GAVI</c:v>
                </c:pt>
                <c:pt idx="3">
                  <c:v>AsDB</c:v>
                </c:pt>
                <c:pt idx="4">
                  <c:v>Sweden, MFA-Sida</c:v>
                </c:pt>
                <c:pt idx="5">
                  <c:v>U.S., MCC</c:v>
                </c:pt>
                <c:pt idx="6">
                  <c:v>World Bank, IDA</c:v>
                </c:pt>
                <c:pt idx="7">
                  <c:v>AfDB</c:v>
                </c:pt>
                <c:pt idx="8">
                  <c:v>IADB</c:v>
                </c:pt>
                <c:pt idx="9">
                  <c:v>Global Fund</c:v>
                </c:pt>
                <c:pt idx="10">
                  <c:v>Canada, DFATD</c:v>
                </c:pt>
                <c:pt idx="11">
                  <c:v>EC, FPI</c:v>
                </c:pt>
                <c:pt idx="12">
                  <c:v>EC, DEVCO</c:v>
                </c:pt>
                <c:pt idx="13">
                  <c:v>UNICEF</c:v>
                </c:pt>
                <c:pt idx="14">
                  <c:v>EC, ELARG</c:v>
                </c:pt>
                <c:pt idx="15">
                  <c:v>EC, ECHO</c:v>
                </c:pt>
                <c:pt idx="16">
                  <c:v>Germany, BMZ-GIZ</c:v>
                </c:pt>
                <c:pt idx="17">
                  <c:v>Netherlands, MFA</c:v>
                </c:pt>
                <c:pt idx="18">
                  <c:v>Switzerland, SDC</c:v>
                </c:pt>
                <c:pt idx="19">
                  <c:v>Spain, MAEC</c:v>
                </c:pt>
                <c:pt idx="20">
                  <c:v>Germany, BMZ-KFW</c:v>
                </c:pt>
                <c:pt idx="21">
                  <c:v>Denmark, MFA</c:v>
                </c:pt>
                <c:pt idx="22">
                  <c:v>Japan, JICA</c:v>
                </c:pt>
                <c:pt idx="23">
                  <c:v>Gates Foundation</c:v>
                </c:pt>
                <c:pt idx="24">
                  <c:v>Finland, MFA</c:v>
                </c:pt>
                <c:pt idx="25">
                  <c:v>Australia, DFAT</c:v>
                </c:pt>
                <c:pt idx="26">
                  <c:v>New Zealand, MFAT</c:v>
                </c:pt>
                <c:pt idx="27">
                  <c:v>France, MAEDI</c:v>
                </c:pt>
                <c:pt idx="28">
                  <c:v>Ireland, IrishAid</c:v>
                </c:pt>
                <c:pt idx="29">
                  <c:v>UN OCHA</c:v>
                </c:pt>
                <c:pt idx="30">
                  <c:v>U.S., PEPFAR</c:v>
                </c:pt>
                <c:pt idx="31">
                  <c:v>U.S., USAID</c:v>
                </c:pt>
                <c:pt idx="32">
                  <c:v>U.S., State</c:v>
                </c:pt>
                <c:pt idx="33">
                  <c:v>Korea, KOICA</c:v>
                </c:pt>
                <c:pt idx="34">
                  <c:v>UK, FCO</c:v>
                </c:pt>
                <c:pt idx="35">
                  <c:v>U.S., Treasury</c:v>
                </c:pt>
                <c:pt idx="36">
                  <c:v>IMF</c:v>
                </c:pt>
                <c:pt idx="37">
                  <c:v>U.S., Defense</c:v>
                </c:pt>
                <c:pt idx="38">
                  <c:v>World Bank, IFC</c:v>
                </c:pt>
                <c:pt idx="39">
                  <c:v>Czech Republic, CzDA</c:v>
                </c:pt>
                <c:pt idx="40">
                  <c:v>Estonia, MFA</c:v>
                </c:pt>
                <c:pt idx="41">
                  <c:v>Norway, MFA</c:v>
                </c:pt>
                <c:pt idx="42">
                  <c:v>Portugal, CICL</c:v>
                </c:pt>
                <c:pt idx="43">
                  <c:v>France, AFD</c:v>
                </c:pt>
                <c:pt idx="44">
                  <c:v>EIB</c:v>
                </c:pt>
                <c:pt idx="45">
                  <c:v>EBRD</c:v>
                </c:pt>
                <c:pt idx="46">
                  <c:v>Austria, ADA</c:v>
                </c:pt>
                <c:pt idx="47">
                  <c:v>Latvia, MFA</c:v>
                </c:pt>
                <c:pt idx="48">
                  <c:v>Belgium, DGCD</c:v>
                </c:pt>
                <c:pt idx="49">
                  <c:v>Luxembourg, MFA</c:v>
                </c:pt>
                <c:pt idx="50">
                  <c:v>Slovakia, SAIDC</c:v>
                </c:pt>
                <c:pt idx="51">
                  <c:v>Slovenia, MFA</c:v>
                </c:pt>
                <c:pt idx="52">
                  <c:v>Japan, MOFA</c:v>
                </c:pt>
                <c:pt idx="53">
                  <c:v>Italy, MAE</c:v>
                </c:pt>
                <c:pt idx="54">
                  <c:v>Poland, MFA</c:v>
                </c:pt>
                <c:pt idx="55">
                  <c:v>Croatia, MFA</c:v>
                </c:pt>
                <c:pt idx="56">
                  <c:v>Romania, MFA</c:v>
                </c:pt>
                <c:pt idx="57">
                  <c:v>Brazil, ABC</c:v>
                </c:pt>
                <c:pt idx="58">
                  <c:v>France, MINEFI</c:v>
                </c:pt>
                <c:pt idx="59">
                  <c:v>UK, MOD</c:v>
                </c:pt>
                <c:pt idx="60">
                  <c:v>Germany, AA</c:v>
                </c:pt>
                <c:pt idx="61">
                  <c:v>Hungary, MFA</c:v>
                </c:pt>
                <c:pt idx="62">
                  <c:v>Bulgaria, MFA</c:v>
                </c:pt>
                <c:pt idx="63">
                  <c:v>Malta, MFA</c:v>
                </c:pt>
                <c:pt idx="64">
                  <c:v>Lithuania, MFA</c:v>
                </c:pt>
                <c:pt idx="65">
                  <c:v>Cyprus, CyprusAid</c:v>
                </c:pt>
                <c:pt idx="66">
                  <c:v>Greece, HellenicAid</c:v>
                </c:pt>
                <c:pt idx="67">
                  <c:v>China, MOFCOM</c:v>
                </c:pt>
                <c:pt idx="68">
                  <c:v>SUM</c:v>
                </c:pt>
              </c:strCache>
            </c:strRef>
          </c:cat>
          <c:val>
            <c:numRef>
              <c:f>'Format by donor'!$K$7:$K$75</c:f>
              <c:numCache>
                <c:formatCode>General</c:formatCode>
                <c:ptCount val="69"/>
                <c:pt idx="0">
                  <c:v>0</c:v>
                </c:pt>
                <c:pt idx="1">
                  <c:v>0</c:v>
                </c:pt>
                <c:pt idx="2">
                  <c:v>0</c:v>
                </c:pt>
                <c:pt idx="3">
                  <c:v>0</c:v>
                </c:pt>
                <c:pt idx="4">
                  <c:v>0</c:v>
                </c:pt>
                <c:pt idx="5">
                  <c:v>4</c:v>
                </c:pt>
                <c:pt idx="6">
                  <c:v>0</c:v>
                </c:pt>
                <c:pt idx="7">
                  <c:v>0</c:v>
                </c:pt>
                <c:pt idx="8">
                  <c:v>1</c:v>
                </c:pt>
                <c:pt idx="9">
                  <c:v>2</c:v>
                </c:pt>
                <c:pt idx="10">
                  <c:v>0</c:v>
                </c:pt>
                <c:pt idx="11">
                  <c:v>0</c:v>
                </c:pt>
                <c:pt idx="12">
                  <c:v>0</c:v>
                </c:pt>
                <c:pt idx="13">
                  <c:v>1</c:v>
                </c:pt>
                <c:pt idx="14">
                  <c:v>0</c:v>
                </c:pt>
                <c:pt idx="15">
                  <c:v>0</c:v>
                </c:pt>
                <c:pt idx="16">
                  <c:v>3</c:v>
                </c:pt>
                <c:pt idx="17">
                  <c:v>0</c:v>
                </c:pt>
                <c:pt idx="18">
                  <c:v>0</c:v>
                </c:pt>
                <c:pt idx="19">
                  <c:v>0</c:v>
                </c:pt>
                <c:pt idx="20">
                  <c:v>2</c:v>
                </c:pt>
                <c:pt idx="21">
                  <c:v>1</c:v>
                </c:pt>
                <c:pt idx="22">
                  <c:v>0</c:v>
                </c:pt>
                <c:pt idx="23">
                  <c:v>1</c:v>
                </c:pt>
                <c:pt idx="24">
                  <c:v>1</c:v>
                </c:pt>
                <c:pt idx="25">
                  <c:v>0</c:v>
                </c:pt>
                <c:pt idx="26">
                  <c:v>1</c:v>
                </c:pt>
                <c:pt idx="27">
                  <c:v>0</c:v>
                </c:pt>
                <c:pt idx="28">
                  <c:v>0</c:v>
                </c:pt>
                <c:pt idx="29">
                  <c:v>1</c:v>
                </c:pt>
                <c:pt idx="30">
                  <c:v>0</c:v>
                </c:pt>
                <c:pt idx="31">
                  <c:v>3</c:v>
                </c:pt>
                <c:pt idx="32">
                  <c:v>2</c:v>
                </c:pt>
                <c:pt idx="33">
                  <c:v>11</c:v>
                </c:pt>
                <c:pt idx="34">
                  <c:v>3</c:v>
                </c:pt>
                <c:pt idx="35">
                  <c:v>15</c:v>
                </c:pt>
                <c:pt idx="36">
                  <c:v>7</c:v>
                </c:pt>
                <c:pt idx="37">
                  <c:v>0</c:v>
                </c:pt>
                <c:pt idx="38">
                  <c:v>9</c:v>
                </c:pt>
                <c:pt idx="39">
                  <c:v>8</c:v>
                </c:pt>
                <c:pt idx="40">
                  <c:v>11</c:v>
                </c:pt>
                <c:pt idx="41">
                  <c:v>8</c:v>
                </c:pt>
                <c:pt idx="42">
                  <c:v>12</c:v>
                </c:pt>
                <c:pt idx="43">
                  <c:v>0</c:v>
                </c:pt>
                <c:pt idx="44">
                  <c:v>4</c:v>
                </c:pt>
                <c:pt idx="45">
                  <c:v>5</c:v>
                </c:pt>
                <c:pt idx="46">
                  <c:v>1</c:v>
                </c:pt>
                <c:pt idx="47">
                  <c:v>8</c:v>
                </c:pt>
                <c:pt idx="48">
                  <c:v>1</c:v>
                </c:pt>
                <c:pt idx="49">
                  <c:v>1</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127</c:v>
                </c:pt>
              </c:numCache>
            </c:numRef>
          </c:val>
        </c:ser>
        <c:ser>
          <c:idx val="2"/>
          <c:order val="2"/>
          <c:tx>
            <c:strRef>
              <c:f>'Format by donor'!$L$6</c:f>
              <c:strCache>
                <c:ptCount val="1"/>
                <c:pt idx="0">
                  <c:v>Website</c:v>
                </c:pt>
              </c:strCache>
            </c:strRef>
          </c:tx>
          <c:spPr>
            <a:solidFill>
              <a:schemeClr val="accent3"/>
            </a:solidFill>
            <a:ln>
              <a:noFill/>
            </a:ln>
            <a:effectLst/>
          </c:spPr>
          <c:invertIfNegative val="0"/>
          <c:cat>
            <c:strRef>
              <c:f>'Format by donor'!$I$7:$I$75</c:f>
              <c:strCache>
                <c:ptCount val="69"/>
                <c:pt idx="0">
                  <c:v>UNDP</c:v>
                </c:pt>
                <c:pt idx="1">
                  <c:v>UK, DFID</c:v>
                </c:pt>
                <c:pt idx="2">
                  <c:v>GAVI</c:v>
                </c:pt>
                <c:pt idx="3">
                  <c:v>AsDB</c:v>
                </c:pt>
                <c:pt idx="4">
                  <c:v>Sweden, MFA-Sida</c:v>
                </c:pt>
                <c:pt idx="5">
                  <c:v>U.S., MCC</c:v>
                </c:pt>
                <c:pt idx="6">
                  <c:v>World Bank, IDA</c:v>
                </c:pt>
                <c:pt idx="7">
                  <c:v>AfDB</c:v>
                </c:pt>
                <c:pt idx="8">
                  <c:v>IADB</c:v>
                </c:pt>
                <c:pt idx="9">
                  <c:v>Global Fund</c:v>
                </c:pt>
                <c:pt idx="10">
                  <c:v>Canada, DFATD</c:v>
                </c:pt>
                <c:pt idx="11">
                  <c:v>EC, FPI</c:v>
                </c:pt>
                <c:pt idx="12">
                  <c:v>EC, DEVCO</c:v>
                </c:pt>
                <c:pt idx="13">
                  <c:v>UNICEF</c:v>
                </c:pt>
                <c:pt idx="14">
                  <c:v>EC, ELARG</c:v>
                </c:pt>
                <c:pt idx="15">
                  <c:v>EC, ECHO</c:v>
                </c:pt>
                <c:pt idx="16">
                  <c:v>Germany, BMZ-GIZ</c:v>
                </c:pt>
                <c:pt idx="17">
                  <c:v>Netherlands, MFA</c:v>
                </c:pt>
                <c:pt idx="18">
                  <c:v>Switzerland, SDC</c:v>
                </c:pt>
                <c:pt idx="19">
                  <c:v>Spain, MAEC</c:v>
                </c:pt>
                <c:pt idx="20">
                  <c:v>Germany, BMZ-KFW</c:v>
                </c:pt>
                <c:pt idx="21">
                  <c:v>Denmark, MFA</c:v>
                </c:pt>
                <c:pt idx="22">
                  <c:v>Japan, JICA</c:v>
                </c:pt>
                <c:pt idx="23">
                  <c:v>Gates Foundation</c:v>
                </c:pt>
                <c:pt idx="24">
                  <c:v>Finland, MFA</c:v>
                </c:pt>
                <c:pt idx="25">
                  <c:v>Australia, DFAT</c:v>
                </c:pt>
                <c:pt idx="26">
                  <c:v>New Zealand, MFAT</c:v>
                </c:pt>
                <c:pt idx="27">
                  <c:v>France, MAEDI</c:v>
                </c:pt>
                <c:pt idx="28">
                  <c:v>Ireland, IrishAid</c:v>
                </c:pt>
                <c:pt idx="29">
                  <c:v>UN OCHA</c:v>
                </c:pt>
                <c:pt idx="30">
                  <c:v>U.S., PEPFAR</c:v>
                </c:pt>
                <c:pt idx="31">
                  <c:v>U.S., USAID</c:v>
                </c:pt>
                <c:pt idx="32">
                  <c:v>U.S., State</c:v>
                </c:pt>
                <c:pt idx="33">
                  <c:v>Korea, KOICA</c:v>
                </c:pt>
                <c:pt idx="34">
                  <c:v>UK, FCO</c:v>
                </c:pt>
                <c:pt idx="35">
                  <c:v>U.S., Treasury</c:v>
                </c:pt>
                <c:pt idx="36">
                  <c:v>IMF</c:v>
                </c:pt>
                <c:pt idx="37">
                  <c:v>U.S., Defense</c:v>
                </c:pt>
                <c:pt idx="38">
                  <c:v>World Bank, IFC</c:v>
                </c:pt>
                <c:pt idx="39">
                  <c:v>Czech Republic, CzDA</c:v>
                </c:pt>
                <c:pt idx="40">
                  <c:v>Estonia, MFA</c:v>
                </c:pt>
                <c:pt idx="41">
                  <c:v>Norway, MFA</c:v>
                </c:pt>
                <c:pt idx="42">
                  <c:v>Portugal, CICL</c:v>
                </c:pt>
                <c:pt idx="43">
                  <c:v>France, AFD</c:v>
                </c:pt>
                <c:pt idx="44">
                  <c:v>EIB</c:v>
                </c:pt>
                <c:pt idx="45">
                  <c:v>EBRD</c:v>
                </c:pt>
                <c:pt idx="46">
                  <c:v>Austria, ADA</c:v>
                </c:pt>
                <c:pt idx="47">
                  <c:v>Latvia, MFA</c:v>
                </c:pt>
                <c:pt idx="48">
                  <c:v>Belgium, DGCD</c:v>
                </c:pt>
                <c:pt idx="49">
                  <c:v>Luxembourg, MFA</c:v>
                </c:pt>
                <c:pt idx="50">
                  <c:v>Slovakia, SAIDC</c:v>
                </c:pt>
                <c:pt idx="51">
                  <c:v>Slovenia, MFA</c:v>
                </c:pt>
                <c:pt idx="52">
                  <c:v>Japan, MOFA</c:v>
                </c:pt>
                <c:pt idx="53">
                  <c:v>Italy, MAE</c:v>
                </c:pt>
                <c:pt idx="54">
                  <c:v>Poland, MFA</c:v>
                </c:pt>
                <c:pt idx="55">
                  <c:v>Croatia, MFA</c:v>
                </c:pt>
                <c:pt idx="56">
                  <c:v>Romania, MFA</c:v>
                </c:pt>
                <c:pt idx="57">
                  <c:v>Brazil, ABC</c:v>
                </c:pt>
                <c:pt idx="58">
                  <c:v>France, MINEFI</c:v>
                </c:pt>
                <c:pt idx="59">
                  <c:v>UK, MOD</c:v>
                </c:pt>
                <c:pt idx="60">
                  <c:v>Germany, AA</c:v>
                </c:pt>
                <c:pt idx="61">
                  <c:v>Hungary, MFA</c:v>
                </c:pt>
                <c:pt idx="62">
                  <c:v>Bulgaria, MFA</c:v>
                </c:pt>
                <c:pt idx="63">
                  <c:v>Malta, MFA</c:v>
                </c:pt>
                <c:pt idx="64">
                  <c:v>Lithuania, MFA</c:v>
                </c:pt>
                <c:pt idx="65">
                  <c:v>Cyprus, CyprusAid</c:v>
                </c:pt>
                <c:pt idx="66">
                  <c:v>Greece, HellenicAid</c:v>
                </c:pt>
                <c:pt idx="67">
                  <c:v>China, MOFCOM</c:v>
                </c:pt>
                <c:pt idx="68">
                  <c:v>SUM</c:v>
                </c:pt>
              </c:strCache>
            </c:strRef>
          </c:cat>
          <c:val>
            <c:numRef>
              <c:f>'Format by donor'!$L$7:$L$75</c:f>
              <c:numCache>
                <c:formatCode>General</c:formatCode>
                <c:ptCount val="69"/>
                <c:pt idx="0">
                  <c:v>0</c:v>
                </c:pt>
                <c:pt idx="1">
                  <c:v>0</c:v>
                </c:pt>
                <c:pt idx="2">
                  <c:v>0</c:v>
                </c:pt>
                <c:pt idx="3">
                  <c:v>0</c:v>
                </c:pt>
                <c:pt idx="4">
                  <c:v>0</c:v>
                </c:pt>
                <c:pt idx="5">
                  <c:v>0</c:v>
                </c:pt>
                <c:pt idx="6">
                  <c:v>0</c:v>
                </c:pt>
                <c:pt idx="7">
                  <c:v>0</c:v>
                </c:pt>
                <c:pt idx="8">
                  <c:v>0</c:v>
                </c:pt>
                <c:pt idx="9">
                  <c:v>0</c:v>
                </c:pt>
                <c:pt idx="10">
                  <c:v>2</c:v>
                </c:pt>
                <c:pt idx="11">
                  <c:v>0</c:v>
                </c:pt>
                <c:pt idx="12">
                  <c:v>0</c:v>
                </c:pt>
                <c:pt idx="13">
                  <c:v>0</c:v>
                </c:pt>
                <c:pt idx="14">
                  <c:v>0</c:v>
                </c:pt>
                <c:pt idx="15">
                  <c:v>1</c:v>
                </c:pt>
                <c:pt idx="16">
                  <c:v>0</c:v>
                </c:pt>
                <c:pt idx="17">
                  <c:v>1</c:v>
                </c:pt>
                <c:pt idx="18">
                  <c:v>1</c:v>
                </c:pt>
                <c:pt idx="19">
                  <c:v>0</c:v>
                </c:pt>
                <c:pt idx="20">
                  <c:v>0</c:v>
                </c:pt>
                <c:pt idx="21">
                  <c:v>0</c:v>
                </c:pt>
                <c:pt idx="22">
                  <c:v>7</c:v>
                </c:pt>
                <c:pt idx="23">
                  <c:v>0</c:v>
                </c:pt>
                <c:pt idx="24">
                  <c:v>2</c:v>
                </c:pt>
                <c:pt idx="25">
                  <c:v>2</c:v>
                </c:pt>
                <c:pt idx="26">
                  <c:v>3</c:v>
                </c:pt>
                <c:pt idx="27">
                  <c:v>0</c:v>
                </c:pt>
                <c:pt idx="28">
                  <c:v>1</c:v>
                </c:pt>
                <c:pt idx="29">
                  <c:v>3</c:v>
                </c:pt>
                <c:pt idx="30">
                  <c:v>0</c:v>
                </c:pt>
                <c:pt idx="31">
                  <c:v>1</c:v>
                </c:pt>
                <c:pt idx="32">
                  <c:v>0</c:v>
                </c:pt>
                <c:pt idx="33">
                  <c:v>5</c:v>
                </c:pt>
                <c:pt idx="34">
                  <c:v>0</c:v>
                </c:pt>
                <c:pt idx="35">
                  <c:v>0</c:v>
                </c:pt>
                <c:pt idx="36">
                  <c:v>2</c:v>
                </c:pt>
                <c:pt idx="37">
                  <c:v>0</c:v>
                </c:pt>
                <c:pt idx="38">
                  <c:v>2</c:v>
                </c:pt>
                <c:pt idx="39">
                  <c:v>5</c:v>
                </c:pt>
                <c:pt idx="40">
                  <c:v>3</c:v>
                </c:pt>
                <c:pt idx="41">
                  <c:v>2</c:v>
                </c:pt>
                <c:pt idx="42">
                  <c:v>4</c:v>
                </c:pt>
                <c:pt idx="43">
                  <c:v>9</c:v>
                </c:pt>
                <c:pt idx="44">
                  <c:v>6</c:v>
                </c:pt>
                <c:pt idx="45">
                  <c:v>8</c:v>
                </c:pt>
                <c:pt idx="46">
                  <c:v>6</c:v>
                </c:pt>
                <c:pt idx="47">
                  <c:v>2</c:v>
                </c:pt>
                <c:pt idx="48">
                  <c:v>5</c:v>
                </c:pt>
                <c:pt idx="49">
                  <c:v>9</c:v>
                </c:pt>
                <c:pt idx="50">
                  <c:v>10</c:v>
                </c:pt>
                <c:pt idx="51">
                  <c:v>12</c:v>
                </c:pt>
                <c:pt idx="52">
                  <c:v>6</c:v>
                </c:pt>
                <c:pt idx="53">
                  <c:v>8</c:v>
                </c:pt>
                <c:pt idx="54">
                  <c:v>5</c:v>
                </c:pt>
                <c:pt idx="55">
                  <c:v>1</c:v>
                </c:pt>
                <c:pt idx="56">
                  <c:v>2</c:v>
                </c:pt>
                <c:pt idx="57">
                  <c:v>7</c:v>
                </c:pt>
                <c:pt idx="58">
                  <c:v>0</c:v>
                </c:pt>
                <c:pt idx="59">
                  <c:v>0</c:v>
                </c:pt>
                <c:pt idx="60">
                  <c:v>1</c:v>
                </c:pt>
                <c:pt idx="61">
                  <c:v>0</c:v>
                </c:pt>
                <c:pt idx="62">
                  <c:v>0</c:v>
                </c:pt>
                <c:pt idx="63">
                  <c:v>0</c:v>
                </c:pt>
                <c:pt idx="64">
                  <c:v>1</c:v>
                </c:pt>
                <c:pt idx="65">
                  <c:v>5</c:v>
                </c:pt>
                <c:pt idx="66">
                  <c:v>0</c:v>
                </c:pt>
                <c:pt idx="67">
                  <c:v>0</c:v>
                </c:pt>
                <c:pt idx="68">
                  <c:v>150</c:v>
                </c:pt>
              </c:numCache>
            </c:numRef>
          </c:val>
        </c:ser>
        <c:ser>
          <c:idx val="3"/>
          <c:order val="3"/>
          <c:tx>
            <c:strRef>
              <c:f>'Format by donor'!$M$6</c:f>
              <c:strCache>
                <c:ptCount val="1"/>
                <c:pt idx="0">
                  <c:v>PDF</c:v>
                </c:pt>
              </c:strCache>
            </c:strRef>
          </c:tx>
          <c:spPr>
            <a:solidFill>
              <a:schemeClr val="accent4"/>
            </a:solidFill>
            <a:ln>
              <a:noFill/>
            </a:ln>
            <a:effectLst/>
          </c:spPr>
          <c:invertIfNegative val="0"/>
          <c:cat>
            <c:strRef>
              <c:f>'Format by donor'!$I$7:$I$75</c:f>
              <c:strCache>
                <c:ptCount val="69"/>
                <c:pt idx="0">
                  <c:v>UNDP</c:v>
                </c:pt>
                <c:pt idx="1">
                  <c:v>UK, DFID</c:v>
                </c:pt>
                <c:pt idx="2">
                  <c:v>GAVI</c:v>
                </c:pt>
                <c:pt idx="3">
                  <c:v>AsDB</c:v>
                </c:pt>
                <c:pt idx="4">
                  <c:v>Sweden, MFA-Sida</c:v>
                </c:pt>
                <c:pt idx="5">
                  <c:v>U.S., MCC</c:v>
                </c:pt>
                <c:pt idx="6">
                  <c:v>World Bank, IDA</c:v>
                </c:pt>
                <c:pt idx="7">
                  <c:v>AfDB</c:v>
                </c:pt>
                <c:pt idx="8">
                  <c:v>IADB</c:v>
                </c:pt>
                <c:pt idx="9">
                  <c:v>Global Fund</c:v>
                </c:pt>
                <c:pt idx="10">
                  <c:v>Canada, DFATD</c:v>
                </c:pt>
                <c:pt idx="11">
                  <c:v>EC, FPI</c:v>
                </c:pt>
                <c:pt idx="12">
                  <c:v>EC, DEVCO</c:v>
                </c:pt>
                <c:pt idx="13">
                  <c:v>UNICEF</c:v>
                </c:pt>
                <c:pt idx="14">
                  <c:v>EC, ELARG</c:v>
                </c:pt>
                <c:pt idx="15">
                  <c:v>EC, ECHO</c:v>
                </c:pt>
                <c:pt idx="16">
                  <c:v>Germany, BMZ-GIZ</c:v>
                </c:pt>
                <c:pt idx="17">
                  <c:v>Netherlands, MFA</c:v>
                </c:pt>
                <c:pt idx="18">
                  <c:v>Switzerland, SDC</c:v>
                </c:pt>
                <c:pt idx="19">
                  <c:v>Spain, MAEC</c:v>
                </c:pt>
                <c:pt idx="20">
                  <c:v>Germany, BMZ-KFW</c:v>
                </c:pt>
                <c:pt idx="21">
                  <c:v>Denmark, MFA</c:v>
                </c:pt>
                <c:pt idx="22">
                  <c:v>Japan, JICA</c:v>
                </c:pt>
                <c:pt idx="23">
                  <c:v>Gates Foundation</c:v>
                </c:pt>
                <c:pt idx="24">
                  <c:v>Finland, MFA</c:v>
                </c:pt>
                <c:pt idx="25">
                  <c:v>Australia, DFAT</c:v>
                </c:pt>
                <c:pt idx="26">
                  <c:v>New Zealand, MFAT</c:v>
                </c:pt>
                <c:pt idx="27">
                  <c:v>France, MAEDI</c:v>
                </c:pt>
                <c:pt idx="28">
                  <c:v>Ireland, IrishAid</c:v>
                </c:pt>
                <c:pt idx="29">
                  <c:v>UN OCHA</c:v>
                </c:pt>
                <c:pt idx="30">
                  <c:v>U.S., PEPFAR</c:v>
                </c:pt>
                <c:pt idx="31">
                  <c:v>U.S., USAID</c:v>
                </c:pt>
                <c:pt idx="32">
                  <c:v>U.S., State</c:v>
                </c:pt>
                <c:pt idx="33">
                  <c:v>Korea, KOICA</c:v>
                </c:pt>
                <c:pt idx="34">
                  <c:v>UK, FCO</c:v>
                </c:pt>
                <c:pt idx="35">
                  <c:v>U.S., Treasury</c:v>
                </c:pt>
                <c:pt idx="36">
                  <c:v>IMF</c:v>
                </c:pt>
                <c:pt idx="37">
                  <c:v>U.S., Defense</c:v>
                </c:pt>
                <c:pt idx="38">
                  <c:v>World Bank, IFC</c:v>
                </c:pt>
                <c:pt idx="39">
                  <c:v>Czech Republic, CzDA</c:v>
                </c:pt>
                <c:pt idx="40">
                  <c:v>Estonia, MFA</c:v>
                </c:pt>
                <c:pt idx="41">
                  <c:v>Norway, MFA</c:v>
                </c:pt>
                <c:pt idx="42">
                  <c:v>Portugal, CICL</c:v>
                </c:pt>
                <c:pt idx="43">
                  <c:v>France, AFD</c:v>
                </c:pt>
                <c:pt idx="44">
                  <c:v>EIB</c:v>
                </c:pt>
                <c:pt idx="45">
                  <c:v>EBRD</c:v>
                </c:pt>
                <c:pt idx="46">
                  <c:v>Austria, ADA</c:v>
                </c:pt>
                <c:pt idx="47">
                  <c:v>Latvia, MFA</c:v>
                </c:pt>
                <c:pt idx="48">
                  <c:v>Belgium, DGCD</c:v>
                </c:pt>
                <c:pt idx="49">
                  <c:v>Luxembourg, MFA</c:v>
                </c:pt>
                <c:pt idx="50">
                  <c:v>Slovakia, SAIDC</c:v>
                </c:pt>
                <c:pt idx="51">
                  <c:v>Slovenia, MFA</c:v>
                </c:pt>
                <c:pt idx="52">
                  <c:v>Japan, MOFA</c:v>
                </c:pt>
                <c:pt idx="53">
                  <c:v>Italy, MAE</c:v>
                </c:pt>
                <c:pt idx="54">
                  <c:v>Poland, MFA</c:v>
                </c:pt>
                <c:pt idx="55">
                  <c:v>Croatia, MFA</c:v>
                </c:pt>
                <c:pt idx="56">
                  <c:v>Romania, MFA</c:v>
                </c:pt>
                <c:pt idx="57">
                  <c:v>Brazil, ABC</c:v>
                </c:pt>
                <c:pt idx="58">
                  <c:v>France, MINEFI</c:v>
                </c:pt>
                <c:pt idx="59">
                  <c:v>UK, MOD</c:v>
                </c:pt>
                <c:pt idx="60">
                  <c:v>Germany, AA</c:v>
                </c:pt>
                <c:pt idx="61">
                  <c:v>Hungary, MFA</c:v>
                </c:pt>
                <c:pt idx="62">
                  <c:v>Bulgaria, MFA</c:v>
                </c:pt>
                <c:pt idx="63">
                  <c:v>Malta, MFA</c:v>
                </c:pt>
                <c:pt idx="64">
                  <c:v>Lithuania, MFA</c:v>
                </c:pt>
                <c:pt idx="65">
                  <c:v>Cyprus, CyprusAid</c:v>
                </c:pt>
                <c:pt idx="66">
                  <c:v>Greece, HellenicAid</c:v>
                </c:pt>
                <c:pt idx="67">
                  <c:v>China, MOFCOM</c:v>
                </c:pt>
                <c:pt idx="68">
                  <c:v>SUM</c:v>
                </c:pt>
              </c:strCache>
            </c:strRef>
          </c:cat>
          <c:val>
            <c:numRef>
              <c:f>'Format by donor'!$M$7:$M$75</c:f>
              <c:numCache>
                <c:formatCode>General</c:formatCode>
                <c:ptCount val="69"/>
                <c:pt idx="0">
                  <c:v>0</c:v>
                </c:pt>
                <c:pt idx="1">
                  <c:v>0</c:v>
                </c:pt>
                <c:pt idx="2">
                  <c:v>0</c:v>
                </c:pt>
                <c:pt idx="3">
                  <c:v>0</c:v>
                </c:pt>
                <c:pt idx="4">
                  <c:v>0</c:v>
                </c:pt>
                <c:pt idx="5">
                  <c:v>0</c:v>
                </c:pt>
                <c:pt idx="6">
                  <c:v>1</c:v>
                </c:pt>
                <c:pt idx="7">
                  <c:v>1</c:v>
                </c:pt>
                <c:pt idx="8">
                  <c:v>1</c:v>
                </c:pt>
                <c:pt idx="9">
                  <c:v>1</c:v>
                </c:pt>
                <c:pt idx="10">
                  <c:v>0</c:v>
                </c:pt>
                <c:pt idx="11">
                  <c:v>0</c:v>
                </c:pt>
                <c:pt idx="12">
                  <c:v>0</c:v>
                </c:pt>
                <c:pt idx="13">
                  <c:v>0</c:v>
                </c:pt>
                <c:pt idx="14">
                  <c:v>0</c:v>
                </c:pt>
                <c:pt idx="15">
                  <c:v>0</c:v>
                </c:pt>
                <c:pt idx="16">
                  <c:v>1</c:v>
                </c:pt>
                <c:pt idx="17">
                  <c:v>0</c:v>
                </c:pt>
                <c:pt idx="18">
                  <c:v>0</c:v>
                </c:pt>
                <c:pt idx="19">
                  <c:v>0</c:v>
                </c:pt>
                <c:pt idx="20">
                  <c:v>2</c:v>
                </c:pt>
                <c:pt idx="21">
                  <c:v>1</c:v>
                </c:pt>
                <c:pt idx="22">
                  <c:v>0</c:v>
                </c:pt>
                <c:pt idx="23">
                  <c:v>0</c:v>
                </c:pt>
                <c:pt idx="24">
                  <c:v>0</c:v>
                </c:pt>
                <c:pt idx="25">
                  <c:v>0</c:v>
                </c:pt>
                <c:pt idx="26">
                  <c:v>1</c:v>
                </c:pt>
                <c:pt idx="27">
                  <c:v>1</c:v>
                </c:pt>
                <c:pt idx="28">
                  <c:v>0</c:v>
                </c:pt>
                <c:pt idx="29">
                  <c:v>1</c:v>
                </c:pt>
                <c:pt idx="30">
                  <c:v>2</c:v>
                </c:pt>
                <c:pt idx="31">
                  <c:v>1</c:v>
                </c:pt>
                <c:pt idx="32">
                  <c:v>1</c:v>
                </c:pt>
                <c:pt idx="33">
                  <c:v>0</c:v>
                </c:pt>
                <c:pt idx="34">
                  <c:v>1</c:v>
                </c:pt>
                <c:pt idx="35">
                  <c:v>1</c:v>
                </c:pt>
                <c:pt idx="36">
                  <c:v>7</c:v>
                </c:pt>
                <c:pt idx="37">
                  <c:v>1</c:v>
                </c:pt>
                <c:pt idx="38">
                  <c:v>2</c:v>
                </c:pt>
                <c:pt idx="39">
                  <c:v>1</c:v>
                </c:pt>
                <c:pt idx="40">
                  <c:v>1</c:v>
                </c:pt>
                <c:pt idx="41">
                  <c:v>0</c:v>
                </c:pt>
                <c:pt idx="42">
                  <c:v>1</c:v>
                </c:pt>
                <c:pt idx="43">
                  <c:v>3</c:v>
                </c:pt>
                <c:pt idx="44">
                  <c:v>2</c:v>
                </c:pt>
                <c:pt idx="45">
                  <c:v>1</c:v>
                </c:pt>
                <c:pt idx="46">
                  <c:v>1</c:v>
                </c:pt>
                <c:pt idx="47">
                  <c:v>3</c:v>
                </c:pt>
                <c:pt idx="48">
                  <c:v>0</c:v>
                </c:pt>
                <c:pt idx="49">
                  <c:v>0</c:v>
                </c:pt>
                <c:pt idx="50">
                  <c:v>1</c:v>
                </c:pt>
                <c:pt idx="51">
                  <c:v>2</c:v>
                </c:pt>
                <c:pt idx="52">
                  <c:v>1</c:v>
                </c:pt>
                <c:pt idx="53">
                  <c:v>0</c:v>
                </c:pt>
                <c:pt idx="54">
                  <c:v>2</c:v>
                </c:pt>
                <c:pt idx="55">
                  <c:v>1</c:v>
                </c:pt>
                <c:pt idx="56">
                  <c:v>7</c:v>
                </c:pt>
                <c:pt idx="57">
                  <c:v>0</c:v>
                </c:pt>
                <c:pt idx="58">
                  <c:v>1</c:v>
                </c:pt>
                <c:pt idx="59">
                  <c:v>1</c:v>
                </c:pt>
                <c:pt idx="60">
                  <c:v>1</c:v>
                </c:pt>
                <c:pt idx="61">
                  <c:v>0</c:v>
                </c:pt>
                <c:pt idx="62">
                  <c:v>0</c:v>
                </c:pt>
                <c:pt idx="63">
                  <c:v>2</c:v>
                </c:pt>
                <c:pt idx="64">
                  <c:v>0</c:v>
                </c:pt>
                <c:pt idx="65">
                  <c:v>0</c:v>
                </c:pt>
                <c:pt idx="66">
                  <c:v>0</c:v>
                </c:pt>
                <c:pt idx="67">
                  <c:v>0</c:v>
                </c:pt>
                <c:pt idx="68">
                  <c:v>59</c:v>
                </c:pt>
              </c:numCache>
            </c:numRef>
          </c:val>
        </c:ser>
        <c:ser>
          <c:idx val="4"/>
          <c:order val="4"/>
          <c:tx>
            <c:strRef>
              <c:f>'Format by donor'!$N$6</c:f>
              <c:strCache>
                <c:ptCount val="1"/>
                <c:pt idx="0">
                  <c:v>Not published</c:v>
                </c:pt>
              </c:strCache>
            </c:strRef>
          </c:tx>
          <c:spPr>
            <a:solidFill>
              <a:schemeClr val="accent5"/>
            </a:solidFill>
            <a:ln>
              <a:noFill/>
            </a:ln>
            <a:effectLst/>
          </c:spPr>
          <c:invertIfNegative val="0"/>
          <c:cat>
            <c:strRef>
              <c:f>'Format by donor'!$I$7:$I$75</c:f>
              <c:strCache>
                <c:ptCount val="69"/>
                <c:pt idx="0">
                  <c:v>UNDP</c:v>
                </c:pt>
                <c:pt idx="1">
                  <c:v>UK, DFID</c:v>
                </c:pt>
                <c:pt idx="2">
                  <c:v>GAVI</c:v>
                </c:pt>
                <c:pt idx="3">
                  <c:v>AsDB</c:v>
                </c:pt>
                <c:pt idx="4">
                  <c:v>Sweden, MFA-Sida</c:v>
                </c:pt>
                <c:pt idx="5">
                  <c:v>U.S., MCC</c:v>
                </c:pt>
                <c:pt idx="6">
                  <c:v>World Bank, IDA</c:v>
                </c:pt>
                <c:pt idx="7">
                  <c:v>AfDB</c:v>
                </c:pt>
                <c:pt idx="8">
                  <c:v>IADB</c:v>
                </c:pt>
                <c:pt idx="9">
                  <c:v>Global Fund</c:v>
                </c:pt>
                <c:pt idx="10">
                  <c:v>Canada, DFATD</c:v>
                </c:pt>
                <c:pt idx="11">
                  <c:v>EC, FPI</c:v>
                </c:pt>
                <c:pt idx="12">
                  <c:v>EC, DEVCO</c:v>
                </c:pt>
                <c:pt idx="13">
                  <c:v>UNICEF</c:v>
                </c:pt>
                <c:pt idx="14">
                  <c:v>EC, ELARG</c:v>
                </c:pt>
                <c:pt idx="15">
                  <c:v>EC, ECHO</c:v>
                </c:pt>
                <c:pt idx="16">
                  <c:v>Germany, BMZ-GIZ</c:v>
                </c:pt>
                <c:pt idx="17">
                  <c:v>Netherlands, MFA</c:v>
                </c:pt>
                <c:pt idx="18">
                  <c:v>Switzerland, SDC</c:v>
                </c:pt>
                <c:pt idx="19">
                  <c:v>Spain, MAEC</c:v>
                </c:pt>
                <c:pt idx="20">
                  <c:v>Germany, BMZ-KFW</c:v>
                </c:pt>
                <c:pt idx="21">
                  <c:v>Denmark, MFA</c:v>
                </c:pt>
                <c:pt idx="22">
                  <c:v>Japan, JICA</c:v>
                </c:pt>
                <c:pt idx="23">
                  <c:v>Gates Foundation</c:v>
                </c:pt>
                <c:pt idx="24">
                  <c:v>Finland, MFA</c:v>
                </c:pt>
                <c:pt idx="25">
                  <c:v>Australia, DFAT</c:v>
                </c:pt>
                <c:pt idx="26">
                  <c:v>New Zealand, MFAT</c:v>
                </c:pt>
                <c:pt idx="27">
                  <c:v>France, MAEDI</c:v>
                </c:pt>
                <c:pt idx="28">
                  <c:v>Ireland, IrishAid</c:v>
                </c:pt>
                <c:pt idx="29">
                  <c:v>UN OCHA</c:v>
                </c:pt>
                <c:pt idx="30">
                  <c:v>U.S., PEPFAR</c:v>
                </c:pt>
                <c:pt idx="31">
                  <c:v>U.S., USAID</c:v>
                </c:pt>
                <c:pt idx="32">
                  <c:v>U.S., State</c:v>
                </c:pt>
                <c:pt idx="33">
                  <c:v>Korea, KOICA</c:v>
                </c:pt>
                <c:pt idx="34">
                  <c:v>UK, FCO</c:v>
                </c:pt>
                <c:pt idx="35">
                  <c:v>U.S., Treasury</c:v>
                </c:pt>
                <c:pt idx="36">
                  <c:v>IMF</c:v>
                </c:pt>
                <c:pt idx="37">
                  <c:v>U.S., Defense</c:v>
                </c:pt>
                <c:pt idx="38">
                  <c:v>World Bank, IFC</c:v>
                </c:pt>
                <c:pt idx="39">
                  <c:v>Czech Republic, CzDA</c:v>
                </c:pt>
                <c:pt idx="40">
                  <c:v>Estonia, MFA</c:v>
                </c:pt>
                <c:pt idx="41">
                  <c:v>Norway, MFA</c:v>
                </c:pt>
                <c:pt idx="42">
                  <c:v>Portugal, CICL</c:v>
                </c:pt>
                <c:pt idx="43">
                  <c:v>France, AFD</c:v>
                </c:pt>
                <c:pt idx="44">
                  <c:v>EIB</c:v>
                </c:pt>
                <c:pt idx="45">
                  <c:v>EBRD</c:v>
                </c:pt>
                <c:pt idx="46">
                  <c:v>Austria, ADA</c:v>
                </c:pt>
                <c:pt idx="47">
                  <c:v>Latvia, MFA</c:v>
                </c:pt>
                <c:pt idx="48">
                  <c:v>Belgium, DGCD</c:v>
                </c:pt>
                <c:pt idx="49">
                  <c:v>Luxembourg, MFA</c:v>
                </c:pt>
                <c:pt idx="50">
                  <c:v>Slovakia, SAIDC</c:v>
                </c:pt>
                <c:pt idx="51">
                  <c:v>Slovenia, MFA</c:v>
                </c:pt>
                <c:pt idx="52">
                  <c:v>Japan, MOFA</c:v>
                </c:pt>
                <c:pt idx="53">
                  <c:v>Italy, MAE</c:v>
                </c:pt>
                <c:pt idx="54">
                  <c:v>Poland, MFA</c:v>
                </c:pt>
                <c:pt idx="55">
                  <c:v>Croatia, MFA</c:v>
                </c:pt>
                <c:pt idx="56">
                  <c:v>Romania, MFA</c:v>
                </c:pt>
                <c:pt idx="57">
                  <c:v>Brazil, ABC</c:v>
                </c:pt>
                <c:pt idx="58">
                  <c:v>France, MINEFI</c:v>
                </c:pt>
                <c:pt idx="59">
                  <c:v>UK, MOD</c:v>
                </c:pt>
                <c:pt idx="60">
                  <c:v>Germany, AA</c:v>
                </c:pt>
                <c:pt idx="61">
                  <c:v>Hungary, MFA</c:v>
                </c:pt>
                <c:pt idx="62">
                  <c:v>Bulgaria, MFA</c:v>
                </c:pt>
                <c:pt idx="63">
                  <c:v>Malta, MFA</c:v>
                </c:pt>
                <c:pt idx="64">
                  <c:v>Lithuania, MFA</c:v>
                </c:pt>
                <c:pt idx="65">
                  <c:v>Cyprus, CyprusAid</c:v>
                </c:pt>
                <c:pt idx="66">
                  <c:v>Greece, HellenicAid</c:v>
                </c:pt>
                <c:pt idx="67">
                  <c:v>China, MOFCOM</c:v>
                </c:pt>
                <c:pt idx="68">
                  <c:v>SUM</c:v>
                </c:pt>
              </c:strCache>
            </c:strRef>
          </c:cat>
          <c:val>
            <c:numRef>
              <c:f>'Format by donor'!$N$7:$N$75</c:f>
              <c:numCache>
                <c:formatCode>General</c:formatCode>
                <c:ptCount val="69"/>
                <c:pt idx="0">
                  <c:v>0</c:v>
                </c:pt>
                <c:pt idx="1">
                  <c:v>0</c:v>
                </c:pt>
                <c:pt idx="2">
                  <c:v>0</c:v>
                </c:pt>
                <c:pt idx="3">
                  <c:v>2</c:v>
                </c:pt>
                <c:pt idx="4">
                  <c:v>0</c:v>
                </c:pt>
                <c:pt idx="5">
                  <c:v>0</c:v>
                </c:pt>
                <c:pt idx="6">
                  <c:v>1</c:v>
                </c:pt>
                <c:pt idx="7">
                  <c:v>1</c:v>
                </c:pt>
                <c:pt idx="8">
                  <c:v>3</c:v>
                </c:pt>
                <c:pt idx="9">
                  <c:v>2</c:v>
                </c:pt>
                <c:pt idx="10">
                  <c:v>2</c:v>
                </c:pt>
                <c:pt idx="11">
                  <c:v>2</c:v>
                </c:pt>
                <c:pt idx="12">
                  <c:v>2</c:v>
                </c:pt>
                <c:pt idx="13">
                  <c:v>2</c:v>
                </c:pt>
                <c:pt idx="14">
                  <c:v>5</c:v>
                </c:pt>
                <c:pt idx="15">
                  <c:v>5</c:v>
                </c:pt>
                <c:pt idx="16">
                  <c:v>4</c:v>
                </c:pt>
                <c:pt idx="17">
                  <c:v>2</c:v>
                </c:pt>
                <c:pt idx="18">
                  <c:v>4</c:v>
                </c:pt>
                <c:pt idx="19">
                  <c:v>5</c:v>
                </c:pt>
                <c:pt idx="20">
                  <c:v>4</c:v>
                </c:pt>
                <c:pt idx="21">
                  <c:v>3</c:v>
                </c:pt>
                <c:pt idx="22">
                  <c:v>8</c:v>
                </c:pt>
                <c:pt idx="23">
                  <c:v>4</c:v>
                </c:pt>
                <c:pt idx="24">
                  <c:v>5</c:v>
                </c:pt>
                <c:pt idx="25">
                  <c:v>7</c:v>
                </c:pt>
                <c:pt idx="26">
                  <c:v>4</c:v>
                </c:pt>
                <c:pt idx="27">
                  <c:v>5</c:v>
                </c:pt>
                <c:pt idx="28">
                  <c:v>5</c:v>
                </c:pt>
                <c:pt idx="29">
                  <c:v>7</c:v>
                </c:pt>
                <c:pt idx="30">
                  <c:v>5</c:v>
                </c:pt>
                <c:pt idx="31">
                  <c:v>6</c:v>
                </c:pt>
                <c:pt idx="32">
                  <c:v>8</c:v>
                </c:pt>
                <c:pt idx="33">
                  <c:v>6</c:v>
                </c:pt>
                <c:pt idx="34">
                  <c:v>7</c:v>
                </c:pt>
                <c:pt idx="35">
                  <c:v>5</c:v>
                </c:pt>
                <c:pt idx="36">
                  <c:v>6</c:v>
                </c:pt>
                <c:pt idx="37">
                  <c:v>12</c:v>
                </c:pt>
                <c:pt idx="38">
                  <c:v>9</c:v>
                </c:pt>
                <c:pt idx="39">
                  <c:v>8</c:v>
                </c:pt>
                <c:pt idx="40">
                  <c:v>7</c:v>
                </c:pt>
                <c:pt idx="41">
                  <c:v>12</c:v>
                </c:pt>
                <c:pt idx="42">
                  <c:v>5</c:v>
                </c:pt>
                <c:pt idx="43">
                  <c:v>10</c:v>
                </c:pt>
                <c:pt idx="44">
                  <c:v>10</c:v>
                </c:pt>
                <c:pt idx="45">
                  <c:v>8</c:v>
                </c:pt>
                <c:pt idx="46">
                  <c:v>14</c:v>
                </c:pt>
                <c:pt idx="47">
                  <c:v>9</c:v>
                </c:pt>
                <c:pt idx="48">
                  <c:v>16</c:v>
                </c:pt>
                <c:pt idx="49">
                  <c:v>12</c:v>
                </c:pt>
                <c:pt idx="50">
                  <c:v>11</c:v>
                </c:pt>
                <c:pt idx="51">
                  <c:v>8</c:v>
                </c:pt>
                <c:pt idx="52">
                  <c:v>15</c:v>
                </c:pt>
                <c:pt idx="53">
                  <c:v>14</c:v>
                </c:pt>
                <c:pt idx="54">
                  <c:v>15</c:v>
                </c:pt>
                <c:pt idx="55">
                  <c:v>20</c:v>
                </c:pt>
                <c:pt idx="56">
                  <c:v>13</c:v>
                </c:pt>
                <c:pt idx="57">
                  <c:v>15</c:v>
                </c:pt>
                <c:pt idx="58">
                  <c:v>21</c:v>
                </c:pt>
                <c:pt idx="59">
                  <c:v>21</c:v>
                </c:pt>
                <c:pt idx="60">
                  <c:v>20</c:v>
                </c:pt>
                <c:pt idx="61">
                  <c:v>22</c:v>
                </c:pt>
                <c:pt idx="62">
                  <c:v>22</c:v>
                </c:pt>
                <c:pt idx="63">
                  <c:v>20</c:v>
                </c:pt>
                <c:pt idx="64">
                  <c:v>21</c:v>
                </c:pt>
                <c:pt idx="65">
                  <c:v>17</c:v>
                </c:pt>
                <c:pt idx="66">
                  <c:v>22</c:v>
                </c:pt>
                <c:pt idx="67">
                  <c:v>22</c:v>
                </c:pt>
                <c:pt idx="68">
                  <c:v>588</c:v>
                </c:pt>
              </c:numCache>
            </c:numRef>
          </c:val>
        </c:ser>
        <c:dLbls>
          <c:showLegendKey val="0"/>
          <c:showVal val="0"/>
          <c:showCatName val="0"/>
          <c:showSerName val="0"/>
          <c:showPercent val="0"/>
          <c:showBubbleSize val="0"/>
        </c:dLbls>
        <c:gapWidth val="150"/>
        <c:overlap val="100"/>
        <c:axId val="202710256"/>
        <c:axId val="202412456"/>
      </c:barChart>
      <c:catAx>
        <c:axId val="2027102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2412456"/>
        <c:crosses val="autoZero"/>
        <c:auto val="1"/>
        <c:lblAlgn val="ctr"/>
        <c:lblOffset val="100"/>
        <c:noMultiLvlLbl val="0"/>
      </c:catAx>
      <c:valAx>
        <c:axId val="20241245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2710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11" l="0.70000000000000007" r="0.70000000000000007" t="0.75000000000000011" header="0.30000000000000004" footer="0.30000000000000004"/>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200" b="1"/>
              <a:t>Format of publication for 22 indicators scored on format</a:t>
            </a:r>
          </a:p>
        </c:rich>
      </c:tx>
      <c:layout>
        <c:manualLayout>
          <c:xMode val="edge"/>
          <c:yMode val="edge"/>
          <c:x val="7.5791557305336849E-2"/>
          <c:y val="3.7037037037037042E-2"/>
        </c:manualLayout>
      </c:layout>
      <c:overlay val="0"/>
      <c:spPr>
        <a:noFill/>
        <a:ln>
          <a:noFill/>
        </a:ln>
        <a:effectLst/>
      </c:sp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'Format by donor'!$J$6</c:f>
              <c:strCache>
                <c:ptCount val="1"/>
                <c:pt idx="0">
                  <c:v>IATI</c:v>
                </c:pt>
              </c:strCache>
            </c:strRef>
          </c:tx>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dPt>
            <c:idx val="4"/>
            <c:bubble3D val="0"/>
            <c:spPr>
              <a:solidFill>
                <a:schemeClr val="accent5"/>
              </a:solidFill>
              <a:ln w="25400">
                <a:solidFill>
                  <a:schemeClr val="lt1"/>
                </a:solidFill>
              </a:ln>
              <a:effectLst/>
              <a:sp3d contourW="25400">
                <a:contourClr>
                  <a:schemeClr val="lt1"/>
                </a:contourClr>
              </a:sp3d>
            </c:spPr>
          </c:dPt>
          <c:dLbls>
            <c:dLbl>
              <c:idx val="1"/>
              <c:layout/>
              <c:tx>
                <c:rich>
                  <a:bodyPr/>
                  <a:lstStyle/>
                  <a:p>
                    <a:r>
                      <a:rPr lang="en-US"/>
                      <a:t>8%</a:t>
                    </a:r>
                  </a:p>
                </c:rich>
              </c:tx>
              <c:showLegendKey val="0"/>
              <c:showVal val="0"/>
              <c:showCatName val="0"/>
              <c:showSerName val="0"/>
              <c:showPercent val="1"/>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1"/>
            <c:showBubbleSize val="0"/>
            <c:showLeaderLines val="0"/>
            <c:extLst>
              <c:ext xmlns:c15="http://schemas.microsoft.com/office/drawing/2012/chart" uri="{CE6537A1-D6FC-4f65-9D91-7224C49458BB}">
                <c15:layout/>
              </c:ext>
            </c:extLst>
          </c:dLbls>
          <c:cat>
            <c:strRef>
              <c:f>'Format by donor'!$J$6:$N$6</c:f>
              <c:strCache>
                <c:ptCount val="5"/>
                <c:pt idx="0">
                  <c:v>IATI</c:v>
                </c:pt>
                <c:pt idx="1">
                  <c:v>Machine-readable</c:v>
                </c:pt>
                <c:pt idx="2">
                  <c:v>Website</c:v>
                </c:pt>
                <c:pt idx="3">
                  <c:v>PDF</c:v>
                </c:pt>
                <c:pt idx="4">
                  <c:v>Not published</c:v>
                </c:pt>
              </c:strCache>
            </c:strRef>
          </c:cat>
          <c:val>
            <c:numRef>
              <c:f>'Format by donor'!$J$75:$N$75</c:f>
              <c:numCache>
                <c:formatCode>General</c:formatCode>
                <c:ptCount val="5"/>
                <c:pt idx="0">
                  <c:v>572</c:v>
                </c:pt>
                <c:pt idx="1">
                  <c:v>127</c:v>
                </c:pt>
                <c:pt idx="2">
                  <c:v>150</c:v>
                </c:pt>
                <c:pt idx="3">
                  <c:v>59</c:v>
                </c:pt>
                <c:pt idx="4">
                  <c:v>588</c:v>
                </c:pt>
              </c:numCache>
            </c:numRef>
          </c:val>
        </c:ser>
        <c:ser>
          <c:idx val="1"/>
          <c:order val="1"/>
          <c:tx>
            <c:strRef>
              <c:f>'Format by donor'!$K$6</c:f>
              <c:strCache>
                <c:ptCount val="1"/>
                <c:pt idx="0">
                  <c:v>Machine-readable</c:v>
                </c:pt>
              </c:strCache>
            </c:strRef>
          </c:tx>
          <c:dPt>
            <c:idx val="0"/>
            <c:bubble3D val="0"/>
            <c:spPr>
              <a:solidFill>
                <a:schemeClr val="accent1"/>
              </a:solidFill>
              <a:ln w="25400">
                <a:solidFill>
                  <a:schemeClr val="lt1"/>
                </a:solidFill>
              </a:ln>
              <a:effectLst/>
              <a:sp3d contourW="25400">
                <a:contourClr>
                  <a:schemeClr val="lt1"/>
                </a:contourClr>
              </a:sp3d>
            </c:spPr>
          </c:dPt>
          <c:cat>
            <c:strRef>
              <c:f>'Format by donor'!$J$6:$N$6</c:f>
              <c:strCache>
                <c:ptCount val="5"/>
                <c:pt idx="0">
                  <c:v>IATI</c:v>
                </c:pt>
                <c:pt idx="1">
                  <c:v>Machine-readable</c:v>
                </c:pt>
                <c:pt idx="2">
                  <c:v>Website</c:v>
                </c:pt>
                <c:pt idx="3">
                  <c:v>PDF</c:v>
                </c:pt>
                <c:pt idx="4">
                  <c:v>Not published</c:v>
                </c:pt>
              </c:strCache>
            </c:strRef>
          </c:cat>
          <c:val>
            <c:numRef>
              <c:f>'Format by donor'!$K$75</c:f>
              <c:numCache>
                <c:formatCode>General</c:formatCode>
                <c:ptCount val="1"/>
                <c:pt idx="0">
                  <c:v>127</c:v>
                </c:pt>
              </c:numCache>
            </c:numRef>
          </c:val>
        </c:ser>
        <c:ser>
          <c:idx val="2"/>
          <c:order val="2"/>
          <c:tx>
            <c:strRef>
              <c:f>'Format by donor'!$L$6</c:f>
              <c:strCache>
                <c:ptCount val="1"/>
                <c:pt idx="0">
                  <c:v>Website</c:v>
                </c:pt>
              </c:strCache>
            </c:strRef>
          </c:tx>
          <c:dPt>
            <c:idx val="0"/>
            <c:bubble3D val="0"/>
            <c:spPr>
              <a:solidFill>
                <a:schemeClr val="accent1"/>
              </a:solidFill>
              <a:ln w="25400">
                <a:solidFill>
                  <a:schemeClr val="lt1"/>
                </a:solidFill>
              </a:ln>
              <a:effectLst/>
              <a:sp3d contourW="25400">
                <a:contourClr>
                  <a:schemeClr val="lt1"/>
                </a:contourClr>
              </a:sp3d>
            </c:spPr>
          </c:dPt>
          <c:cat>
            <c:strRef>
              <c:f>'Format by donor'!$J$6:$N$6</c:f>
              <c:strCache>
                <c:ptCount val="5"/>
                <c:pt idx="0">
                  <c:v>IATI</c:v>
                </c:pt>
                <c:pt idx="1">
                  <c:v>Machine-readable</c:v>
                </c:pt>
                <c:pt idx="2">
                  <c:v>Website</c:v>
                </c:pt>
                <c:pt idx="3">
                  <c:v>PDF</c:v>
                </c:pt>
                <c:pt idx="4">
                  <c:v>Not published</c:v>
                </c:pt>
              </c:strCache>
            </c:strRef>
          </c:cat>
          <c:val>
            <c:numRef>
              <c:f>'Format by donor'!$L$75</c:f>
              <c:numCache>
                <c:formatCode>General</c:formatCode>
                <c:ptCount val="1"/>
                <c:pt idx="0">
                  <c:v>150</c:v>
                </c:pt>
              </c:numCache>
            </c:numRef>
          </c:val>
        </c:ser>
        <c:ser>
          <c:idx val="3"/>
          <c:order val="3"/>
          <c:tx>
            <c:strRef>
              <c:f>'Format by donor'!$M$6</c:f>
              <c:strCache>
                <c:ptCount val="1"/>
                <c:pt idx="0">
                  <c:v>PDF</c:v>
                </c:pt>
              </c:strCache>
            </c:strRef>
          </c:tx>
          <c:dPt>
            <c:idx val="0"/>
            <c:bubble3D val="0"/>
            <c:spPr>
              <a:solidFill>
                <a:schemeClr val="accent1"/>
              </a:solidFill>
              <a:ln w="25400">
                <a:solidFill>
                  <a:schemeClr val="lt1"/>
                </a:solidFill>
              </a:ln>
              <a:effectLst/>
              <a:sp3d contourW="25400">
                <a:contourClr>
                  <a:schemeClr val="lt1"/>
                </a:contourClr>
              </a:sp3d>
            </c:spPr>
          </c:dPt>
          <c:cat>
            <c:strRef>
              <c:f>'Format by donor'!$J$6:$N$6</c:f>
              <c:strCache>
                <c:ptCount val="5"/>
                <c:pt idx="0">
                  <c:v>IATI</c:v>
                </c:pt>
                <c:pt idx="1">
                  <c:v>Machine-readable</c:v>
                </c:pt>
                <c:pt idx="2">
                  <c:v>Website</c:v>
                </c:pt>
                <c:pt idx="3">
                  <c:v>PDF</c:v>
                </c:pt>
                <c:pt idx="4">
                  <c:v>Not published</c:v>
                </c:pt>
              </c:strCache>
            </c:strRef>
          </c:cat>
          <c:val>
            <c:numRef>
              <c:f>'Format by donor'!$M$75</c:f>
              <c:numCache>
                <c:formatCode>General</c:formatCode>
                <c:ptCount val="1"/>
                <c:pt idx="0">
                  <c:v>59</c:v>
                </c:pt>
              </c:numCache>
            </c:numRef>
          </c:val>
        </c:ser>
        <c:ser>
          <c:idx val="4"/>
          <c:order val="4"/>
          <c:tx>
            <c:strRef>
              <c:f>'Format by donor'!$N$6</c:f>
              <c:strCache>
                <c:ptCount val="1"/>
                <c:pt idx="0">
                  <c:v>Not published</c:v>
                </c:pt>
              </c:strCache>
            </c:strRef>
          </c:tx>
          <c:dPt>
            <c:idx val="0"/>
            <c:bubble3D val="0"/>
            <c:spPr>
              <a:solidFill>
                <a:schemeClr val="accent1"/>
              </a:solidFill>
              <a:ln w="25400">
                <a:solidFill>
                  <a:schemeClr val="lt1"/>
                </a:solidFill>
              </a:ln>
              <a:effectLst/>
              <a:sp3d contourW="25400">
                <a:contourClr>
                  <a:schemeClr val="lt1"/>
                </a:contourClr>
              </a:sp3d>
            </c:spPr>
          </c:dPt>
          <c:cat>
            <c:strRef>
              <c:f>'Format by donor'!$J$6:$N$6</c:f>
              <c:strCache>
                <c:ptCount val="5"/>
                <c:pt idx="0">
                  <c:v>IATI</c:v>
                </c:pt>
                <c:pt idx="1">
                  <c:v>Machine-readable</c:v>
                </c:pt>
                <c:pt idx="2">
                  <c:v>Website</c:v>
                </c:pt>
                <c:pt idx="3">
                  <c:v>PDF</c:v>
                </c:pt>
                <c:pt idx="4">
                  <c:v>Not published</c:v>
                </c:pt>
              </c:strCache>
            </c:strRef>
          </c:cat>
          <c:val>
            <c:numRef>
              <c:f>'Format by donor'!$N$75</c:f>
              <c:numCache>
                <c:formatCode>General</c:formatCode>
                <c:ptCount val="1"/>
                <c:pt idx="0">
                  <c:v>588</c:v>
                </c:pt>
              </c:numCache>
            </c:numRef>
          </c:val>
        </c:ser>
        <c:dLbls>
          <c:showLegendKey val="0"/>
          <c:showVal val="0"/>
          <c:showCatName val="0"/>
          <c:showSerName val="0"/>
          <c:showPercent val="0"/>
          <c:showBubbleSize val="0"/>
          <c:showLeaderLines val="0"/>
        </c:dLbls>
      </c:pie3DChart>
      <c:spPr>
        <a:noFill/>
        <a:ln>
          <a:noFill/>
        </a:ln>
        <a:effectLst/>
      </c:spPr>
    </c:plotArea>
    <c:legend>
      <c:legendPos val="b"/>
      <c:layout>
        <c:manualLayout>
          <c:xMode val="edge"/>
          <c:yMode val="edge"/>
          <c:x val="0.18271478565179358"/>
          <c:y val="0.84780037911927675"/>
          <c:w val="0.77839632545931758"/>
          <c:h val="0.1383107319918343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zero"/>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11" l="0.70000000000000007" r="0.70000000000000007" t="0.75000000000000011" header="0.30000000000000004" footer="0.30000000000000004"/>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[Final results 2014 ATI - 02.09.2014.xlsx]Weighted scores -3 categories!PivotTable7</c:name>
    <c:fmtId val="0"/>
  </c:pivotSource>
  <c:chart>
    <c:autoTitleDeleted val="0"/>
    <c:pivotFmts>
      <c:pivotFmt>
        <c:idx val="0"/>
        <c:spPr>
          <a:solidFill>
            <a:schemeClr val="accent1"/>
          </a:solidFill>
          <a:ln>
            <a:noFill/>
          </a:ln>
          <a:effectLst/>
        </c:spPr>
        <c:marker>
          <c:symbol val="none"/>
        </c:marker>
      </c:pivotFmt>
      <c:pivotFmt>
        <c:idx val="1"/>
        <c:spPr>
          <a:solidFill>
            <a:schemeClr val="accent2"/>
          </a:solidFill>
          <a:ln>
            <a:noFill/>
          </a:ln>
          <a:effectLst/>
        </c:spPr>
        <c:marker>
          <c:symbol val="none"/>
        </c:marker>
      </c:pivotFmt>
      <c:pivotFmt>
        <c:idx val="2"/>
        <c:spPr>
          <a:solidFill>
            <a:schemeClr val="accent3"/>
          </a:solidFill>
          <a:ln>
            <a:noFill/>
          </a:ln>
          <a:effectLst/>
        </c:spPr>
        <c:marker>
          <c:symbol val="none"/>
        </c:marker>
      </c:pivotFmt>
    </c:pivotFmts>
    <c:plotArea>
      <c:layout/>
      <c:barChart>
        <c:barDir val="col"/>
        <c:grouping val="stacked"/>
        <c:varyColors val="0"/>
        <c:ser>
          <c:idx val="0"/>
          <c:order val="0"/>
          <c:tx>
            <c:strRef>
              <c:f>'Weighted scores -3 categories'!$B$3:$B$4</c:f>
              <c:strCache>
                <c:ptCount val="1"/>
                <c:pt idx="0">
                  <c:v>commitment</c:v>
                </c:pt>
              </c:strCache>
            </c:strRef>
          </c:tx>
          <c:spPr>
            <a:solidFill>
              <a:schemeClr val="accent1"/>
            </a:solidFill>
            <a:ln>
              <a:noFill/>
            </a:ln>
            <a:effectLst/>
          </c:spPr>
          <c:invertIfNegative val="0"/>
          <c:cat>
            <c:strRef>
              <c:f>'Weighted scores -3 categories'!$A$5:$A$72</c:f>
              <c:strCache>
                <c:ptCount val="68"/>
                <c:pt idx="0">
                  <c:v>UNDP</c:v>
                </c:pt>
                <c:pt idx="1">
                  <c:v>UK, DFID</c:v>
                </c:pt>
                <c:pt idx="2">
                  <c:v>U.S., MCC</c:v>
                </c:pt>
                <c:pt idx="3">
                  <c:v>GAVI</c:v>
                </c:pt>
                <c:pt idx="4">
                  <c:v>AsDB</c:v>
                </c:pt>
                <c:pt idx="5">
                  <c:v>Sweden, MFA-Sida</c:v>
                </c:pt>
                <c:pt idx="6">
                  <c:v>World Bank, IDA</c:v>
                </c:pt>
                <c:pt idx="7">
                  <c:v>AfDB</c:v>
                </c:pt>
                <c:pt idx="8">
                  <c:v>IADB</c:v>
                </c:pt>
                <c:pt idx="9">
                  <c:v>Global Fund</c:v>
                </c:pt>
                <c:pt idx="10">
                  <c:v>Canada, DFATD</c:v>
                </c:pt>
                <c:pt idx="11">
                  <c:v>EC, FPI</c:v>
                </c:pt>
                <c:pt idx="12">
                  <c:v>EC, DEVCO</c:v>
                </c:pt>
                <c:pt idx="13">
                  <c:v>UNICEF</c:v>
                </c:pt>
                <c:pt idx="14">
                  <c:v>EC, ELARG</c:v>
                </c:pt>
                <c:pt idx="15">
                  <c:v>EC, ECHO</c:v>
                </c:pt>
                <c:pt idx="16">
                  <c:v>Germany, BMZ-GIZ</c:v>
                </c:pt>
                <c:pt idx="17">
                  <c:v>Switzerland, SDC</c:v>
                </c:pt>
                <c:pt idx="18">
                  <c:v>Netherlands, MFA</c:v>
                </c:pt>
                <c:pt idx="19">
                  <c:v>Germany, BMZ-KFW</c:v>
                </c:pt>
                <c:pt idx="20">
                  <c:v>Spain, MAEC</c:v>
                </c:pt>
                <c:pt idx="21">
                  <c:v>Denmark, MFA</c:v>
                </c:pt>
                <c:pt idx="22">
                  <c:v>Gates Foundation</c:v>
                </c:pt>
                <c:pt idx="23">
                  <c:v>Finland, MFA</c:v>
                </c:pt>
                <c:pt idx="24">
                  <c:v>Australia, DFAT</c:v>
                </c:pt>
                <c:pt idx="25">
                  <c:v>New Zealand, MFAT</c:v>
                </c:pt>
                <c:pt idx="26">
                  <c:v>Ireland, IrishAid</c:v>
                </c:pt>
                <c:pt idx="27">
                  <c:v>France, MAEDI</c:v>
                </c:pt>
                <c:pt idx="28">
                  <c:v>UN OCHA</c:v>
                </c:pt>
                <c:pt idx="29">
                  <c:v>U.S., PEPFAR</c:v>
                </c:pt>
                <c:pt idx="30">
                  <c:v>U.S., USAID</c:v>
                </c:pt>
                <c:pt idx="31">
                  <c:v>U.S., State</c:v>
                </c:pt>
                <c:pt idx="32">
                  <c:v>Japan, JICA</c:v>
                </c:pt>
                <c:pt idx="33">
                  <c:v>Korea, KOICA</c:v>
                </c:pt>
                <c:pt idx="34">
                  <c:v>UK, FCO</c:v>
                </c:pt>
                <c:pt idx="35">
                  <c:v>U.S., Treasury</c:v>
                </c:pt>
                <c:pt idx="36">
                  <c:v>IMF</c:v>
                </c:pt>
                <c:pt idx="37">
                  <c:v>U.S., Defense</c:v>
                </c:pt>
                <c:pt idx="38">
                  <c:v>World Bank, IFC</c:v>
                </c:pt>
                <c:pt idx="39">
                  <c:v>Czech Republic, CzDA</c:v>
                </c:pt>
                <c:pt idx="40">
                  <c:v>Estonia, MFA</c:v>
                </c:pt>
                <c:pt idx="41">
                  <c:v>Norway, MFA</c:v>
                </c:pt>
                <c:pt idx="42">
                  <c:v>Portugal, CICL</c:v>
                </c:pt>
                <c:pt idx="43">
                  <c:v>France, AFD</c:v>
                </c:pt>
                <c:pt idx="44">
                  <c:v>EIB</c:v>
                </c:pt>
                <c:pt idx="45">
                  <c:v>EBRD</c:v>
                </c:pt>
                <c:pt idx="46">
                  <c:v>Austria, ADA</c:v>
                </c:pt>
                <c:pt idx="47">
                  <c:v>Latvia, MFA</c:v>
                </c:pt>
                <c:pt idx="48">
                  <c:v>Belgium, DGCD</c:v>
                </c:pt>
                <c:pt idx="49">
                  <c:v>Luxembourg, MFA</c:v>
                </c:pt>
                <c:pt idx="50">
                  <c:v>Slovakia, SAIDC</c:v>
                </c:pt>
                <c:pt idx="51">
                  <c:v>Slovenia, MFA</c:v>
                </c:pt>
                <c:pt idx="52">
                  <c:v>Japan, MOFA</c:v>
                </c:pt>
                <c:pt idx="53">
                  <c:v>Italy, MAE</c:v>
                </c:pt>
                <c:pt idx="54">
                  <c:v>Poland, MFA</c:v>
                </c:pt>
                <c:pt idx="55">
                  <c:v>Croatia, MFA</c:v>
                </c:pt>
                <c:pt idx="56">
                  <c:v>Romania, MFA</c:v>
                </c:pt>
                <c:pt idx="57">
                  <c:v>France, MINEFI</c:v>
                </c:pt>
                <c:pt idx="58">
                  <c:v>Brazil, ABC</c:v>
                </c:pt>
                <c:pt idx="59">
                  <c:v>UK, MOD</c:v>
                </c:pt>
                <c:pt idx="60">
                  <c:v>Germany, AA</c:v>
                </c:pt>
                <c:pt idx="61">
                  <c:v>Hungary, MFA</c:v>
                </c:pt>
                <c:pt idx="62">
                  <c:v>Bulgaria, MFA</c:v>
                </c:pt>
                <c:pt idx="63">
                  <c:v>Malta, MFA</c:v>
                </c:pt>
                <c:pt idx="64">
                  <c:v>Lithuania, MFA</c:v>
                </c:pt>
                <c:pt idx="65">
                  <c:v>Cyprus, CyprusAid</c:v>
                </c:pt>
                <c:pt idx="66">
                  <c:v>Greece, HellenicAid</c:v>
                </c:pt>
                <c:pt idx="67">
                  <c:v>China, MOFCOM</c:v>
                </c:pt>
              </c:strCache>
            </c:strRef>
          </c:cat>
          <c:val>
            <c:numRef>
              <c:f>'Weighted scores -3 categories'!$B$5:$B$72</c:f>
              <c:numCache>
                <c:formatCode>0.00</c:formatCode>
                <c:ptCount val="68"/>
                <c:pt idx="0">
                  <c:v>8.7798780000000001</c:v>
                </c:pt>
                <c:pt idx="1">
                  <c:v>9.5904000000000007</c:v>
                </c:pt>
                <c:pt idx="2">
                  <c:v>8.0472780000000004</c:v>
                </c:pt>
                <c:pt idx="3">
                  <c:v>4.3732889999999998</c:v>
                </c:pt>
                <c:pt idx="4">
                  <c:v>8.5800780000000003</c:v>
                </c:pt>
                <c:pt idx="5">
                  <c:v>9.8234999999999992</c:v>
                </c:pt>
                <c:pt idx="6">
                  <c:v>7.4035890000000002</c:v>
                </c:pt>
                <c:pt idx="7">
                  <c:v>6.4598669999999991</c:v>
                </c:pt>
                <c:pt idx="8">
                  <c:v>5.7938669999999997</c:v>
                </c:pt>
                <c:pt idx="9">
                  <c:v>5.6939669999999998</c:v>
                </c:pt>
                <c:pt idx="10">
                  <c:v>8.6799780000000002</c:v>
                </c:pt>
                <c:pt idx="11">
                  <c:v>9.6903000000000006</c:v>
                </c:pt>
                <c:pt idx="12">
                  <c:v>9.5571000000000002</c:v>
                </c:pt>
                <c:pt idx="13">
                  <c:v>6.4598669999999991</c:v>
                </c:pt>
                <c:pt idx="14">
                  <c:v>9.2241</c:v>
                </c:pt>
                <c:pt idx="15">
                  <c:v>8.6247000000000007</c:v>
                </c:pt>
                <c:pt idx="16">
                  <c:v>4.262067</c:v>
                </c:pt>
                <c:pt idx="17">
                  <c:v>4.9946669999999997</c:v>
                </c:pt>
                <c:pt idx="18">
                  <c:v>6.9703559999999998</c:v>
                </c:pt>
                <c:pt idx="19">
                  <c:v>3.1521779999999997</c:v>
                </c:pt>
                <c:pt idx="20">
                  <c:v>4.217778</c:v>
                </c:pt>
                <c:pt idx="21">
                  <c:v>6.7039559999999998</c:v>
                </c:pt>
                <c:pt idx="22">
                  <c:v>3.4352279999999995</c:v>
                </c:pt>
                <c:pt idx="23">
                  <c:v>4.0959000000000003</c:v>
                </c:pt>
                <c:pt idx="24">
                  <c:v>3.4851779999999999</c:v>
                </c:pt>
                <c:pt idx="25">
                  <c:v>5.1281999999999996</c:v>
                </c:pt>
                <c:pt idx="26">
                  <c:v>5.2946999999999997</c:v>
                </c:pt>
                <c:pt idx="27">
                  <c:v>2.6360279999999996</c:v>
                </c:pt>
                <c:pt idx="28">
                  <c:v>3.2853779999999997</c:v>
                </c:pt>
                <c:pt idx="29">
                  <c:v>3.252078</c:v>
                </c:pt>
                <c:pt idx="30">
                  <c:v>5.4718559999999998</c:v>
                </c:pt>
                <c:pt idx="31">
                  <c:v>5.4718559999999998</c:v>
                </c:pt>
                <c:pt idx="32">
                  <c:v>3.3296669999999997</c:v>
                </c:pt>
                <c:pt idx="33">
                  <c:v>3.5351279999999998</c:v>
                </c:pt>
                <c:pt idx="34">
                  <c:v>5.4279000000000002</c:v>
                </c:pt>
                <c:pt idx="35">
                  <c:v>5.4718559999999998</c:v>
                </c:pt>
                <c:pt idx="36">
                  <c:v>3.3296669999999997</c:v>
                </c:pt>
                <c:pt idx="37">
                  <c:v>3.252078</c:v>
                </c:pt>
                <c:pt idx="38">
                  <c:v>5.5497779999999999</c:v>
                </c:pt>
                <c:pt idx="39">
                  <c:v>3.5351279999999998</c:v>
                </c:pt>
                <c:pt idx="40">
                  <c:v>5.5497779999999999</c:v>
                </c:pt>
                <c:pt idx="41">
                  <c:v>6.681978</c:v>
                </c:pt>
                <c:pt idx="42">
                  <c:v>2.2197779999999998</c:v>
                </c:pt>
                <c:pt idx="43">
                  <c:v>4.3619669999999999</c:v>
                </c:pt>
                <c:pt idx="44">
                  <c:v>4.4395559999999996</c:v>
                </c:pt>
                <c:pt idx="45">
                  <c:v>2.2197779999999998</c:v>
                </c:pt>
                <c:pt idx="46">
                  <c:v>2.2197779999999998</c:v>
                </c:pt>
                <c:pt idx="47">
                  <c:v>2.2197779999999998</c:v>
                </c:pt>
                <c:pt idx="48">
                  <c:v>4.173489</c:v>
                </c:pt>
                <c:pt idx="49">
                  <c:v>1.1098889999999999</c:v>
                </c:pt>
                <c:pt idx="50">
                  <c:v>3.3296669999999997</c:v>
                </c:pt>
                <c:pt idx="51">
                  <c:v>3.33</c:v>
                </c:pt>
                <c:pt idx="52">
                  <c:v>3.3296669999999997</c:v>
                </c:pt>
                <c:pt idx="53">
                  <c:v>1.1098889999999999</c:v>
                </c:pt>
                <c:pt idx="54">
                  <c:v>2.2197779999999998</c:v>
                </c:pt>
                <c:pt idx="55">
                  <c:v>3.33</c:v>
                </c:pt>
                <c:pt idx="56">
                  <c:v>2.2197779999999998</c:v>
                </c:pt>
                <c:pt idx="57">
                  <c:v>2.4362279999999998</c:v>
                </c:pt>
                <c:pt idx="58">
                  <c:v>4.439889</c:v>
                </c:pt>
                <c:pt idx="59">
                  <c:v>3.33</c:v>
                </c:pt>
                <c:pt idx="60">
                  <c:v>2.0422889999999998</c:v>
                </c:pt>
                <c:pt idx="61">
                  <c:v>2.2197779999999998</c:v>
                </c:pt>
                <c:pt idx="62">
                  <c:v>3.33</c:v>
                </c:pt>
                <c:pt idx="63">
                  <c:v>2.2197779999999998</c:v>
                </c:pt>
                <c:pt idx="64">
                  <c:v>2.2197779999999998</c:v>
                </c:pt>
                <c:pt idx="65">
                  <c:v>0</c:v>
                </c:pt>
                <c:pt idx="66">
                  <c:v>2.2197779999999998</c:v>
                </c:pt>
                <c:pt idx="67">
                  <c:v>2.2197779999999998</c:v>
                </c:pt>
              </c:numCache>
            </c:numRef>
          </c:val>
        </c:ser>
        <c:ser>
          <c:idx val="1"/>
          <c:order val="1"/>
          <c:tx>
            <c:strRef>
              <c:f>'Weighted scores -3 categories'!$C$3:$C$4</c:f>
              <c:strCache>
                <c:ptCount val="1"/>
                <c:pt idx="0">
                  <c:v>organisation</c:v>
                </c:pt>
              </c:strCache>
            </c:strRef>
          </c:tx>
          <c:spPr>
            <a:solidFill>
              <a:schemeClr val="accent2"/>
            </a:solidFill>
            <a:ln>
              <a:noFill/>
            </a:ln>
            <a:effectLst/>
          </c:spPr>
          <c:invertIfNegative val="0"/>
          <c:cat>
            <c:strRef>
              <c:f>'Weighted scores -3 categories'!$A$5:$A$72</c:f>
              <c:strCache>
                <c:ptCount val="68"/>
                <c:pt idx="0">
                  <c:v>UNDP</c:v>
                </c:pt>
                <c:pt idx="1">
                  <c:v>UK, DFID</c:v>
                </c:pt>
                <c:pt idx="2">
                  <c:v>U.S., MCC</c:v>
                </c:pt>
                <c:pt idx="3">
                  <c:v>GAVI</c:v>
                </c:pt>
                <c:pt idx="4">
                  <c:v>AsDB</c:v>
                </c:pt>
                <c:pt idx="5">
                  <c:v>Sweden, MFA-Sida</c:v>
                </c:pt>
                <c:pt idx="6">
                  <c:v>World Bank, IDA</c:v>
                </c:pt>
                <c:pt idx="7">
                  <c:v>AfDB</c:v>
                </c:pt>
                <c:pt idx="8">
                  <c:v>IADB</c:v>
                </c:pt>
                <c:pt idx="9">
                  <c:v>Global Fund</c:v>
                </c:pt>
                <c:pt idx="10">
                  <c:v>Canada, DFATD</c:v>
                </c:pt>
                <c:pt idx="11">
                  <c:v>EC, FPI</c:v>
                </c:pt>
                <c:pt idx="12">
                  <c:v>EC, DEVCO</c:v>
                </c:pt>
                <c:pt idx="13">
                  <c:v>UNICEF</c:v>
                </c:pt>
                <c:pt idx="14">
                  <c:v>EC, ELARG</c:v>
                </c:pt>
                <c:pt idx="15">
                  <c:v>EC, ECHO</c:v>
                </c:pt>
                <c:pt idx="16">
                  <c:v>Germany, BMZ-GIZ</c:v>
                </c:pt>
                <c:pt idx="17">
                  <c:v>Switzerland, SDC</c:v>
                </c:pt>
                <c:pt idx="18">
                  <c:v>Netherlands, MFA</c:v>
                </c:pt>
                <c:pt idx="19">
                  <c:v>Germany, BMZ-KFW</c:v>
                </c:pt>
                <c:pt idx="20">
                  <c:v>Spain, MAEC</c:v>
                </c:pt>
                <c:pt idx="21">
                  <c:v>Denmark, MFA</c:v>
                </c:pt>
                <c:pt idx="22">
                  <c:v>Gates Foundation</c:v>
                </c:pt>
                <c:pt idx="23">
                  <c:v>Finland, MFA</c:v>
                </c:pt>
                <c:pt idx="24">
                  <c:v>Australia, DFAT</c:v>
                </c:pt>
                <c:pt idx="25">
                  <c:v>New Zealand, MFAT</c:v>
                </c:pt>
                <c:pt idx="26">
                  <c:v>Ireland, IrishAid</c:v>
                </c:pt>
                <c:pt idx="27">
                  <c:v>France, MAEDI</c:v>
                </c:pt>
                <c:pt idx="28">
                  <c:v>UN OCHA</c:v>
                </c:pt>
                <c:pt idx="29">
                  <c:v>U.S., PEPFAR</c:v>
                </c:pt>
                <c:pt idx="30">
                  <c:v>U.S., USAID</c:v>
                </c:pt>
                <c:pt idx="31">
                  <c:v>U.S., State</c:v>
                </c:pt>
                <c:pt idx="32">
                  <c:v>Japan, JICA</c:v>
                </c:pt>
                <c:pt idx="33">
                  <c:v>Korea, KOICA</c:v>
                </c:pt>
                <c:pt idx="34">
                  <c:v>UK, FCO</c:v>
                </c:pt>
                <c:pt idx="35">
                  <c:v>U.S., Treasury</c:v>
                </c:pt>
                <c:pt idx="36">
                  <c:v>IMF</c:v>
                </c:pt>
                <c:pt idx="37">
                  <c:v>U.S., Defense</c:v>
                </c:pt>
                <c:pt idx="38">
                  <c:v>World Bank, IFC</c:v>
                </c:pt>
                <c:pt idx="39">
                  <c:v>Czech Republic, CzDA</c:v>
                </c:pt>
                <c:pt idx="40">
                  <c:v>Estonia, MFA</c:v>
                </c:pt>
                <c:pt idx="41">
                  <c:v>Norway, MFA</c:v>
                </c:pt>
                <c:pt idx="42">
                  <c:v>Portugal, CICL</c:v>
                </c:pt>
                <c:pt idx="43">
                  <c:v>France, AFD</c:v>
                </c:pt>
                <c:pt idx="44">
                  <c:v>EIB</c:v>
                </c:pt>
                <c:pt idx="45">
                  <c:v>EBRD</c:v>
                </c:pt>
                <c:pt idx="46">
                  <c:v>Austria, ADA</c:v>
                </c:pt>
                <c:pt idx="47">
                  <c:v>Latvia, MFA</c:v>
                </c:pt>
                <c:pt idx="48">
                  <c:v>Belgium, DGCD</c:v>
                </c:pt>
                <c:pt idx="49">
                  <c:v>Luxembourg, MFA</c:v>
                </c:pt>
                <c:pt idx="50">
                  <c:v>Slovakia, SAIDC</c:v>
                </c:pt>
                <c:pt idx="51">
                  <c:v>Slovenia, MFA</c:v>
                </c:pt>
                <c:pt idx="52">
                  <c:v>Japan, MOFA</c:v>
                </c:pt>
                <c:pt idx="53">
                  <c:v>Italy, MAE</c:v>
                </c:pt>
                <c:pt idx="54">
                  <c:v>Poland, MFA</c:v>
                </c:pt>
                <c:pt idx="55">
                  <c:v>Croatia, MFA</c:v>
                </c:pt>
                <c:pt idx="56">
                  <c:v>Romania, MFA</c:v>
                </c:pt>
                <c:pt idx="57">
                  <c:v>France, MINEFI</c:v>
                </c:pt>
                <c:pt idx="58">
                  <c:v>Brazil, ABC</c:v>
                </c:pt>
                <c:pt idx="59">
                  <c:v>UK, MOD</c:v>
                </c:pt>
                <c:pt idx="60">
                  <c:v>Germany, AA</c:v>
                </c:pt>
                <c:pt idx="61">
                  <c:v>Hungary, MFA</c:v>
                </c:pt>
                <c:pt idx="62">
                  <c:v>Bulgaria, MFA</c:v>
                </c:pt>
                <c:pt idx="63">
                  <c:v>Malta, MFA</c:v>
                </c:pt>
                <c:pt idx="64">
                  <c:v>Lithuania, MFA</c:v>
                </c:pt>
                <c:pt idx="65">
                  <c:v>Cyprus, CyprusAid</c:v>
                </c:pt>
                <c:pt idx="66">
                  <c:v>Greece, HellenicAid</c:v>
                </c:pt>
                <c:pt idx="67">
                  <c:v>China, MOFCOM</c:v>
                </c:pt>
              </c:strCache>
            </c:strRef>
          </c:cat>
          <c:val>
            <c:numRef>
              <c:f>'Weighted scores -3 categories'!$C$5:$C$72</c:f>
              <c:numCache>
                <c:formatCode>0.00</c:formatCode>
                <c:ptCount val="68"/>
                <c:pt idx="0">
                  <c:v>25.001883116883107</c:v>
                </c:pt>
                <c:pt idx="1">
                  <c:v>22.229999999999997</c:v>
                </c:pt>
                <c:pt idx="2">
                  <c:v>23.506363636363627</c:v>
                </c:pt>
                <c:pt idx="3">
                  <c:v>25.009999999999998</c:v>
                </c:pt>
                <c:pt idx="4">
                  <c:v>24.853749999999998</c:v>
                </c:pt>
                <c:pt idx="5">
                  <c:v>24.819892647902069</c:v>
                </c:pt>
                <c:pt idx="6">
                  <c:v>21.801467793872249</c:v>
                </c:pt>
                <c:pt idx="7">
                  <c:v>24.959999999999997</c:v>
                </c:pt>
                <c:pt idx="8">
                  <c:v>17.596643500000003</c:v>
                </c:pt>
                <c:pt idx="9">
                  <c:v>14.31</c:v>
                </c:pt>
                <c:pt idx="10">
                  <c:v>24.266756756756749</c:v>
                </c:pt>
                <c:pt idx="11">
                  <c:v>23.286666666666658</c:v>
                </c:pt>
                <c:pt idx="12">
                  <c:v>22.838749999999997</c:v>
                </c:pt>
                <c:pt idx="13">
                  <c:v>16.75468152866242</c:v>
                </c:pt>
                <c:pt idx="14">
                  <c:v>19.59</c:v>
                </c:pt>
                <c:pt idx="15">
                  <c:v>22.369999999999997</c:v>
                </c:pt>
                <c:pt idx="16">
                  <c:v>17.000333725806449</c:v>
                </c:pt>
                <c:pt idx="17">
                  <c:v>14.309861</c:v>
                </c:pt>
                <c:pt idx="18">
                  <c:v>11.753433513354029</c:v>
                </c:pt>
                <c:pt idx="19">
                  <c:v>17.000333725806449</c:v>
                </c:pt>
                <c:pt idx="20">
                  <c:v>17.116122448979588</c:v>
                </c:pt>
                <c:pt idx="21">
                  <c:v>9.8649304999999998</c:v>
                </c:pt>
                <c:pt idx="22">
                  <c:v>15.42</c:v>
                </c:pt>
                <c:pt idx="23">
                  <c:v>13.2</c:v>
                </c:pt>
                <c:pt idx="24">
                  <c:v>16.578286999999996</c:v>
                </c:pt>
                <c:pt idx="25">
                  <c:v>9.2615739999999995</c:v>
                </c:pt>
                <c:pt idx="26">
                  <c:v>15.145</c:v>
                </c:pt>
                <c:pt idx="27">
                  <c:v>8.1949304999999999</c:v>
                </c:pt>
                <c:pt idx="28">
                  <c:v>10.188148</c:v>
                </c:pt>
                <c:pt idx="29">
                  <c:v>8.0115739999999995</c:v>
                </c:pt>
                <c:pt idx="30">
                  <c:v>7.3166434999999996</c:v>
                </c:pt>
                <c:pt idx="31">
                  <c:v>8.5666434999999996</c:v>
                </c:pt>
                <c:pt idx="32">
                  <c:v>18.2</c:v>
                </c:pt>
                <c:pt idx="33">
                  <c:v>11.115</c:v>
                </c:pt>
                <c:pt idx="34">
                  <c:v>7.3166434999999996</c:v>
                </c:pt>
                <c:pt idx="35">
                  <c:v>10.096643499999999</c:v>
                </c:pt>
                <c:pt idx="36">
                  <c:v>9.029930499999999</c:v>
                </c:pt>
                <c:pt idx="37">
                  <c:v>7.7799304999999999</c:v>
                </c:pt>
                <c:pt idx="38">
                  <c:v>9.2615739999999995</c:v>
                </c:pt>
                <c:pt idx="39">
                  <c:v>12.504999999999999</c:v>
                </c:pt>
                <c:pt idx="40">
                  <c:v>6.7132870000000002</c:v>
                </c:pt>
                <c:pt idx="41">
                  <c:v>8.7982870000000002</c:v>
                </c:pt>
                <c:pt idx="42">
                  <c:v>9.4016435000000005</c:v>
                </c:pt>
                <c:pt idx="43">
                  <c:v>8.3350000000000009</c:v>
                </c:pt>
                <c:pt idx="44">
                  <c:v>8.4748610000000006</c:v>
                </c:pt>
                <c:pt idx="45">
                  <c:v>8.7982870000000002</c:v>
                </c:pt>
                <c:pt idx="46">
                  <c:v>10.883286999999999</c:v>
                </c:pt>
                <c:pt idx="47">
                  <c:v>7.7799305000000007</c:v>
                </c:pt>
                <c:pt idx="48">
                  <c:v>9.17</c:v>
                </c:pt>
                <c:pt idx="49">
                  <c:v>7.7799999999999994</c:v>
                </c:pt>
                <c:pt idx="50">
                  <c:v>5.4632870000000002</c:v>
                </c:pt>
                <c:pt idx="51">
                  <c:v>5.9265740000000005</c:v>
                </c:pt>
                <c:pt idx="52">
                  <c:v>8.3350000000000009</c:v>
                </c:pt>
                <c:pt idx="53">
                  <c:v>8.3350000000000009</c:v>
                </c:pt>
                <c:pt idx="54">
                  <c:v>6.7132870000000002</c:v>
                </c:pt>
                <c:pt idx="55">
                  <c:v>5.6949304999999999</c:v>
                </c:pt>
                <c:pt idx="56">
                  <c:v>5.4632870000000002</c:v>
                </c:pt>
                <c:pt idx="57">
                  <c:v>5.6949304999999999</c:v>
                </c:pt>
                <c:pt idx="58">
                  <c:v>1.25</c:v>
                </c:pt>
                <c:pt idx="59">
                  <c:v>6.2982870000000002</c:v>
                </c:pt>
                <c:pt idx="60">
                  <c:v>6.5299304999999999</c:v>
                </c:pt>
                <c:pt idx="61">
                  <c:v>5</c:v>
                </c:pt>
                <c:pt idx="62">
                  <c:v>3.75</c:v>
                </c:pt>
                <c:pt idx="63">
                  <c:v>3.75</c:v>
                </c:pt>
                <c:pt idx="64">
                  <c:v>3.75</c:v>
                </c:pt>
                <c:pt idx="65">
                  <c:v>2.5</c:v>
                </c:pt>
                <c:pt idx="66">
                  <c:v>2.5</c:v>
                </c:pt>
                <c:pt idx="67">
                  <c:v>0</c:v>
                </c:pt>
              </c:numCache>
            </c:numRef>
          </c:val>
        </c:ser>
        <c:ser>
          <c:idx val="2"/>
          <c:order val="2"/>
          <c:tx>
            <c:strRef>
              <c:f>'Weighted scores -3 categories'!$D$3:$D$4</c:f>
              <c:strCache>
                <c:ptCount val="1"/>
                <c:pt idx="0">
                  <c:v>activity</c:v>
                </c:pt>
              </c:strCache>
            </c:strRef>
          </c:tx>
          <c:spPr>
            <a:solidFill>
              <a:schemeClr val="accent3"/>
            </a:solidFill>
            <a:ln>
              <a:noFill/>
            </a:ln>
            <a:effectLst/>
          </c:spPr>
          <c:invertIfNegative val="0"/>
          <c:cat>
            <c:strRef>
              <c:f>'Weighted scores -3 categories'!$A$5:$A$72</c:f>
              <c:strCache>
                <c:ptCount val="68"/>
                <c:pt idx="0">
                  <c:v>UNDP</c:v>
                </c:pt>
                <c:pt idx="1">
                  <c:v>UK, DFID</c:v>
                </c:pt>
                <c:pt idx="2">
                  <c:v>U.S., MCC</c:v>
                </c:pt>
                <c:pt idx="3">
                  <c:v>GAVI</c:v>
                </c:pt>
                <c:pt idx="4">
                  <c:v>AsDB</c:v>
                </c:pt>
                <c:pt idx="5">
                  <c:v>Sweden, MFA-Sida</c:v>
                </c:pt>
                <c:pt idx="6">
                  <c:v>World Bank, IDA</c:v>
                </c:pt>
                <c:pt idx="7">
                  <c:v>AfDB</c:v>
                </c:pt>
                <c:pt idx="8">
                  <c:v>IADB</c:v>
                </c:pt>
                <c:pt idx="9">
                  <c:v>Global Fund</c:v>
                </c:pt>
                <c:pt idx="10">
                  <c:v>Canada, DFATD</c:v>
                </c:pt>
                <c:pt idx="11">
                  <c:v>EC, FPI</c:v>
                </c:pt>
                <c:pt idx="12">
                  <c:v>EC, DEVCO</c:v>
                </c:pt>
                <c:pt idx="13">
                  <c:v>UNICEF</c:v>
                </c:pt>
                <c:pt idx="14">
                  <c:v>EC, ELARG</c:v>
                </c:pt>
                <c:pt idx="15">
                  <c:v>EC, ECHO</c:v>
                </c:pt>
                <c:pt idx="16">
                  <c:v>Germany, BMZ-GIZ</c:v>
                </c:pt>
                <c:pt idx="17">
                  <c:v>Switzerland, SDC</c:v>
                </c:pt>
                <c:pt idx="18">
                  <c:v>Netherlands, MFA</c:v>
                </c:pt>
                <c:pt idx="19">
                  <c:v>Germany, BMZ-KFW</c:v>
                </c:pt>
                <c:pt idx="20">
                  <c:v>Spain, MAEC</c:v>
                </c:pt>
                <c:pt idx="21">
                  <c:v>Denmark, MFA</c:v>
                </c:pt>
                <c:pt idx="22">
                  <c:v>Gates Foundation</c:v>
                </c:pt>
                <c:pt idx="23">
                  <c:v>Finland, MFA</c:v>
                </c:pt>
                <c:pt idx="24">
                  <c:v>Australia, DFAT</c:v>
                </c:pt>
                <c:pt idx="25">
                  <c:v>New Zealand, MFAT</c:v>
                </c:pt>
                <c:pt idx="26">
                  <c:v>Ireland, IrishAid</c:v>
                </c:pt>
                <c:pt idx="27">
                  <c:v>France, MAEDI</c:v>
                </c:pt>
                <c:pt idx="28">
                  <c:v>UN OCHA</c:v>
                </c:pt>
                <c:pt idx="29">
                  <c:v>U.S., PEPFAR</c:v>
                </c:pt>
                <c:pt idx="30">
                  <c:v>U.S., USAID</c:v>
                </c:pt>
                <c:pt idx="31">
                  <c:v>U.S., State</c:v>
                </c:pt>
                <c:pt idx="32">
                  <c:v>Japan, JICA</c:v>
                </c:pt>
                <c:pt idx="33">
                  <c:v>Korea, KOICA</c:v>
                </c:pt>
                <c:pt idx="34">
                  <c:v>UK, FCO</c:v>
                </c:pt>
                <c:pt idx="35">
                  <c:v>U.S., Treasury</c:v>
                </c:pt>
                <c:pt idx="36">
                  <c:v>IMF</c:v>
                </c:pt>
                <c:pt idx="37">
                  <c:v>U.S., Defense</c:v>
                </c:pt>
                <c:pt idx="38">
                  <c:v>World Bank, IFC</c:v>
                </c:pt>
                <c:pt idx="39">
                  <c:v>Czech Republic, CzDA</c:v>
                </c:pt>
                <c:pt idx="40">
                  <c:v>Estonia, MFA</c:v>
                </c:pt>
                <c:pt idx="41">
                  <c:v>Norway, MFA</c:v>
                </c:pt>
                <c:pt idx="42">
                  <c:v>Portugal, CICL</c:v>
                </c:pt>
                <c:pt idx="43">
                  <c:v>France, AFD</c:v>
                </c:pt>
                <c:pt idx="44">
                  <c:v>EIB</c:v>
                </c:pt>
                <c:pt idx="45">
                  <c:v>EBRD</c:v>
                </c:pt>
                <c:pt idx="46">
                  <c:v>Austria, ADA</c:v>
                </c:pt>
                <c:pt idx="47">
                  <c:v>Latvia, MFA</c:v>
                </c:pt>
                <c:pt idx="48">
                  <c:v>Belgium, DGCD</c:v>
                </c:pt>
                <c:pt idx="49">
                  <c:v>Luxembourg, MFA</c:v>
                </c:pt>
                <c:pt idx="50">
                  <c:v>Slovakia, SAIDC</c:v>
                </c:pt>
                <c:pt idx="51">
                  <c:v>Slovenia, MFA</c:v>
                </c:pt>
                <c:pt idx="52">
                  <c:v>Japan, MOFA</c:v>
                </c:pt>
                <c:pt idx="53">
                  <c:v>Italy, MAE</c:v>
                </c:pt>
                <c:pt idx="54">
                  <c:v>Poland, MFA</c:v>
                </c:pt>
                <c:pt idx="55">
                  <c:v>Croatia, MFA</c:v>
                </c:pt>
                <c:pt idx="56">
                  <c:v>Romania, MFA</c:v>
                </c:pt>
                <c:pt idx="57">
                  <c:v>France, MINEFI</c:v>
                </c:pt>
                <c:pt idx="58">
                  <c:v>Brazil, ABC</c:v>
                </c:pt>
                <c:pt idx="59">
                  <c:v>UK, MOD</c:v>
                </c:pt>
                <c:pt idx="60">
                  <c:v>Germany, AA</c:v>
                </c:pt>
                <c:pt idx="61">
                  <c:v>Hungary, MFA</c:v>
                </c:pt>
                <c:pt idx="62">
                  <c:v>Bulgaria, MFA</c:v>
                </c:pt>
                <c:pt idx="63">
                  <c:v>Malta, MFA</c:v>
                </c:pt>
                <c:pt idx="64">
                  <c:v>Lithuania, MFA</c:v>
                </c:pt>
                <c:pt idx="65">
                  <c:v>Cyprus, CyprusAid</c:v>
                </c:pt>
                <c:pt idx="66">
                  <c:v>Greece, HellenicAid</c:v>
                </c:pt>
                <c:pt idx="67">
                  <c:v>China, MOFCOM</c:v>
                </c:pt>
              </c:strCache>
            </c:strRef>
          </c:cat>
          <c:val>
            <c:numRef>
              <c:f>'Weighted scores -3 categories'!$D$5:$D$72</c:f>
              <c:numCache>
                <c:formatCode>0.00</c:formatCode>
                <c:ptCount val="68"/>
                <c:pt idx="0">
                  <c:v>56.855350695199924</c:v>
                </c:pt>
                <c:pt idx="1">
                  <c:v>56.516340299014736</c:v>
                </c:pt>
                <c:pt idx="2">
                  <c:v>55.340980742875381</c:v>
                </c:pt>
                <c:pt idx="3">
                  <c:v>57.362433206106779</c:v>
                </c:pt>
                <c:pt idx="4">
                  <c:v>50.409010162282527</c:v>
                </c:pt>
                <c:pt idx="5">
                  <c:v>48.630617111190993</c:v>
                </c:pt>
                <c:pt idx="6">
                  <c:v>53.063904657751479</c:v>
                </c:pt>
                <c:pt idx="7">
                  <c:v>43.096161833073687</c:v>
                </c:pt>
                <c:pt idx="8">
                  <c:v>50.526887603455016</c:v>
                </c:pt>
                <c:pt idx="9">
                  <c:v>53.29413835560004</c:v>
                </c:pt>
                <c:pt idx="10">
                  <c:v>38.724614181329741</c:v>
                </c:pt>
                <c:pt idx="11">
                  <c:v>36.099088217237636</c:v>
                </c:pt>
                <c:pt idx="12">
                  <c:v>35.835001769636676</c:v>
                </c:pt>
                <c:pt idx="13">
                  <c:v>41.434394416508326</c:v>
                </c:pt>
                <c:pt idx="14">
                  <c:v>32.953821206882914</c:v>
                </c:pt>
                <c:pt idx="15">
                  <c:v>28.91909684968677</c:v>
                </c:pt>
                <c:pt idx="16">
                  <c:v>32.659988724226736</c:v>
                </c:pt>
                <c:pt idx="17">
                  <c:v>34.475761086474414</c:v>
                </c:pt>
                <c:pt idx="18">
                  <c:v>35.040482188272961</c:v>
                </c:pt>
                <c:pt idx="19">
                  <c:v>30.671677803611679</c:v>
                </c:pt>
                <c:pt idx="20">
                  <c:v>29.264312073714951</c:v>
                </c:pt>
                <c:pt idx="21">
                  <c:v>33.07011763767801</c:v>
                </c:pt>
                <c:pt idx="22">
                  <c:v>27.696459042519692</c:v>
                </c:pt>
                <c:pt idx="23">
                  <c:v>28.976940186650125</c:v>
                </c:pt>
                <c:pt idx="24">
                  <c:v>25.848724861504472</c:v>
                </c:pt>
                <c:pt idx="25">
                  <c:v>30.731773179640648</c:v>
                </c:pt>
                <c:pt idx="26">
                  <c:v>22.028369724950242</c:v>
                </c:pt>
                <c:pt idx="27">
                  <c:v>31.571778818470083</c:v>
                </c:pt>
                <c:pt idx="28">
                  <c:v>27.823485839690136</c:v>
                </c:pt>
                <c:pt idx="29">
                  <c:v>29.402867451891098</c:v>
                </c:pt>
                <c:pt idx="30">
                  <c:v>27.523834117246192</c:v>
                </c:pt>
                <c:pt idx="31">
                  <c:v>24.76395263157892</c:v>
                </c:pt>
                <c:pt idx="32">
                  <c:v>15.684462285714261</c:v>
                </c:pt>
                <c:pt idx="33">
                  <c:v>22.244622999999986</c:v>
                </c:pt>
                <c:pt idx="34">
                  <c:v>23.0525608512628</c:v>
                </c:pt>
                <c:pt idx="35">
                  <c:v>19.259999999999998</c:v>
                </c:pt>
                <c:pt idx="36">
                  <c:v>19.236284499999996</c:v>
                </c:pt>
                <c:pt idx="37">
                  <c:v>19.72430161943317</c:v>
                </c:pt>
                <c:pt idx="38">
                  <c:v>15.806557999999999</c:v>
                </c:pt>
                <c:pt idx="39">
                  <c:v>13.449681999999996</c:v>
                </c:pt>
                <c:pt idx="40">
                  <c:v>15.968154999999996</c:v>
                </c:pt>
                <c:pt idx="41">
                  <c:v>12.168278999999998</c:v>
                </c:pt>
                <c:pt idx="42">
                  <c:v>14.923115999999997</c:v>
                </c:pt>
                <c:pt idx="43">
                  <c:v>11.971011499999989</c:v>
                </c:pt>
                <c:pt idx="44">
                  <c:v>11.662991999999999</c:v>
                </c:pt>
                <c:pt idx="45">
                  <c:v>13.484580999999995</c:v>
                </c:pt>
                <c:pt idx="46">
                  <c:v>5.9696199999999893</c:v>
                </c:pt>
                <c:pt idx="47">
                  <c:v>9.0331974999999964</c:v>
                </c:pt>
                <c:pt idx="48">
                  <c:v>5.5029999999999886</c:v>
                </c:pt>
                <c:pt idx="49">
                  <c:v>9.9227749999999872</c:v>
                </c:pt>
                <c:pt idx="50">
                  <c:v>9.4577129999999876</c:v>
                </c:pt>
                <c:pt idx="51">
                  <c:v>8.5275889999999848</c:v>
                </c:pt>
                <c:pt idx="52">
                  <c:v>5.347906999999986</c:v>
                </c:pt>
                <c:pt idx="53">
                  <c:v>6.2011549999999867</c:v>
                </c:pt>
                <c:pt idx="54">
                  <c:v>5.4263409999999892</c:v>
                </c:pt>
                <c:pt idx="55">
                  <c:v>2.7899379999999989</c:v>
                </c:pt>
                <c:pt idx="56">
                  <c:v>2.8680464999999962</c:v>
                </c:pt>
                <c:pt idx="57">
                  <c:v>2.17</c:v>
                </c:pt>
                <c:pt idx="58">
                  <c:v>3.9562709999999979</c:v>
                </c:pt>
                <c:pt idx="59">
                  <c:v>0</c:v>
                </c:pt>
                <c:pt idx="60">
                  <c:v>0.54327899999999996</c:v>
                </c:pt>
                <c:pt idx="61">
                  <c:v>1.085</c:v>
                </c:pt>
                <c:pt idx="62">
                  <c:v>1.085</c:v>
                </c:pt>
                <c:pt idx="63">
                  <c:v>0.61993799999999799</c:v>
                </c:pt>
                <c:pt idx="64">
                  <c:v>0.54327899999999996</c:v>
                </c:pt>
                <c:pt idx="65">
                  <c:v>3.409658999999988</c:v>
                </c:pt>
                <c:pt idx="66">
                  <c:v>0</c:v>
                </c:pt>
                <c:pt idx="67">
                  <c:v>0</c:v>
                </c:pt>
              </c:numCache>
            </c:numRef>
          </c:val>
        </c:ser>
        <c:dLbls>
          <c:showLegendKey val="0"/>
          <c:showVal val="0"/>
          <c:showCatName val="0"/>
          <c:showSerName val="0"/>
          <c:showPercent val="0"/>
          <c:showBubbleSize val="0"/>
        </c:dLbls>
        <c:gapWidth val="150"/>
        <c:overlap val="100"/>
        <c:axId val="160649048"/>
        <c:axId val="160649440"/>
      </c:barChart>
      <c:catAx>
        <c:axId val="160649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649440"/>
        <c:crosses val="autoZero"/>
        <c:auto val="1"/>
        <c:lblAlgn val="ctr"/>
        <c:lblOffset val="100"/>
        <c:noMultiLvlLbl val="0"/>
      </c:catAx>
      <c:valAx>
        <c:axId val="16064944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649048"/>
        <c:crosses val="autoZero"/>
        <c:crossBetween val="between"/>
      </c:valAx>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11" l="0.70000000000000007" r="0.70000000000000007" t="0.75000000000000011" header="0.30000000000000004" footer="0.30000000000000004"/>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'Sub-groups by performance cat.'!$E$16</c:f>
              <c:strCache>
                <c:ptCount val="1"/>
                <c:pt idx="0">
                  <c:v>Basic information</c:v>
                </c:pt>
              </c:strCache>
            </c:strRef>
          </c:tx>
          <c:spPr>
            <a:solidFill>
              <a:schemeClr val="accent1"/>
            </a:solidFill>
            <a:ln>
              <a:noFill/>
            </a:ln>
            <a:effectLst/>
          </c:spPr>
          <c:invertIfNegative val="0"/>
          <c:cat>
            <c:strRef>
              <c:f>'Sub-groups by performance cat.'!$D$17:$D$21</c:f>
              <c:strCache>
                <c:ptCount val="5"/>
                <c:pt idx="0">
                  <c:v>Very good</c:v>
                </c:pt>
                <c:pt idx="1">
                  <c:v>Good</c:v>
                </c:pt>
                <c:pt idx="2">
                  <c:v>Fair</c:v>
                </c:pt>
                <c:pt idx="3">
                  <c:v>Poor</c:v>
                </c:pt>
                <c:pt idx="4">
                  <c:v>Very Poor</c:v>
                </c:pt>
              </c:strCache>
            </c:strRef>
          </c:cat>
          <c:val>
            <c:numRef>
              <c:f>'Sub-groups by performance cat.'!$E$17:$E$21</c:f>
              <c:numCache>
                <c:formatCode>0</c:formatCode>
                <c:ptCount val="5"/>
                <c:pt idx="0">
                  <c:v>97.471561864645921</c:v>
                </c:pt>
                <c:pt idx="1">
                  <c:v>92.014754262726484</c:v>
                </c:pt>
                <c:pt idx="2">
                  <c:v>76.052590707560768</c:v>
                </c:pt>
                <c:pt idx="3">
                  <c:v>39.131493645596649</c:v>
                </c:pt>
                <c:pt idx="4">
                  <c:v>10.7327236013986</c:v>
                </c:pt>
              </c:numCache>
            </c:numRef>
          </c:val>
        </c:ser>
        <c:ser>
          <c:idx val="1"/>
          <c:order val="1"/>
          <c:tx>
            <c:strRef>
              <c:f>'Sub-groups by performance cat.'!$F$16</c:f>
              <c:strCache>
                <c:ptCount val="1"/>
                <c:pt idx="0">
                  <c:v>Classifications</c:v>
                </c:pt>
              </c:strCache>
            </c:strRef>
          </c:tx>
          <c:spPr>
            <a:solidFill>
              <a:schemeClr val="accent2"/>
            </a:solidFill>
            <a:ln>
              <a:noFill/>
            </a:ln>
            <a:effectLst/>
          </c:spPr>
          <c:invertIfNegative val="0"/>
          <c:cat>
            <c:strRef>
              <c:f>'Sub-groups by performance cat.'!$D$17:$D$21</c:f>
              <c:strCache>
                <c:ptCount val="5"/>
                <c:pt idx="0">
                  <c:v>Very good</c:v>
                </c:pt>
                <c:pt idx="1">
                  <c:v>Good</c:v>
                </c:pt>
                <c:pt idx="2">
                  <c:v>Fair</c:v>
                </c:pt>
                <c:pt idx="3">
                  <c:v>Poor</c:v>
                </c:pt>
                <c:pt idx="4">
                  <c:v>Very Poor</c:v>
                </c:pt>
              </c:strCache>
            </c:strRef>
          </c:cat>
          <c:val>
            <c:numRef>
              <c:f>'Sub-groups by performance cat.'!$F$17:$F$21</c:f>
              <c:numCache>
                <c:formatCode>0</c:formatCode>
                <c:ptCount val="5"/>
                <c:pt idx="0">
                  <c:v>90.582439931600376</c:v>
                </c:pt>
                <c:pt idx="1">
                  <c:v>88.176819874884387</c:v>
                </c:pt>
                <c:pt idx="2">
                  <c:v>73.00404648150311</c:v>
                </c:pt>
                <c:pt idx="3">
                  <c:v>34.202776040551598</c:v>
                </c:pt>
                <c:pt idx="4">
                  <c:v>6.2861821678321572</c:v>
                </c:pt>
              </c:numCache>
            </c:numRef>
          </c:val>
        </c:ser>
        <c:ser>
          <c:idx val="2"/>
          <c:order val="2"/>
          <c:tx>
            <c:strRef>
              <c:f>'Sub-groups by performance cat.'!$G$16</c:f>
              <c:strCache>
                <c:ptCount val="1"/>
                <c:pt idx="0">
                  <c:v>Activity - related documents</c:v>
                </c:pt>
              </c:strCache>
            </c:strRef>
          </c:tx>
          <c:spPr>
            <a:solidFill>
              <a:schemeClr val="accent3"/>
            </a:solidFill>
            <a:ln>
              <a:noFill/>
            </a:ln>
            <a:effectLst/>
          </c:spPr>
          <c:invertIfNegative val="0"/>
          <c:cat>
            <c:strRef>
              <c:f>'Sub-groups by performance cat.'!$D$17:$D$21</c:f>
              <c:strCache>
                <c:ptCount val="5"/>
                <c:pt idx="0">
                  <c:v>Very good</c:v>
                </c:pt>
                <c:pt idx="1">
                  <c:v>Good</c:v>
                </c:pt>
                <c:pt idx="2">
                  <c:v>Fair</c:v>
                </c:pt>
                <c:pt idx="3">
                  <c:v>Poor</c:v>
                </c:pt>
                <c:pt idx="4">
                  <c:v>Very Poor</c:v>
                </c:pt>
              </c:strCache>
            </c:strRef>
          </c:cat>
          <c:val>
            <c:numRef>
              <c:f>'Sub-groups by performance cat.'!$G$17:$G$21</c:f>
              <c:numCache>
                <c:formatCode>0</c:formatCode>
                <c:ptCount val="5"/>
                <c:pt idx="0">
                  <c:v>74.863641788413219</c:v>
                </c:pt>
                <c:pt idx="1">
                  <c:v>45.617093307349194</c:v>
                </c:pt>
                <c:pt idx="2">
                  <c:v>25.525534814885177</c:v>
                </c:pt>
                <c:pt idx="3">
                  <c:v>25.038461538461537</c:v>
                </c:pt>
                <c:pt idx="4">
                  <c:v>8.3461538461538449</c:v>
                </c:pt>
              </c:numCache>
            </c:numRef>
          </c:val>
        </c:ser>
        <c:ser>
          <c:idx val="3"/>
          <c:order val="3"/>
          <c:tx>
            <c:strRef>
              <c:f>'Sub-groups by performance cat.'!$H$16</c:f>
              <c:strCache>
                <c:ptCount val="1"/>
                <c:pt idx="0">
                  <c:v>Financial</c:v>
                </c:pt>
              </c:strCache>
            </c:strRef>
          </c:tx>
          <c:spPr>
            <a:solidFill>
              <a:schemeClr val="accent4"/>
            </a:solidFill>
            <a:ln>
              <a:noFill/>
            </a:ln>
            <a:effectLst/>
          </c:spPr>
          <c:invertIfNegative val="0"/>
          <c:cat>
            <c:strRef>
              <c:f>'Sub-groups by performance cat.'!$D$17:$D$21</c:f>
              <c:strCache>
                <c:ptCount val="5"/>
                <c:pt idx="0">
                  <c:v>Very good</c:v>
                </c:pt>
                <c:pt idx="1">
                  <c:v>Good</c:v>
                </c:pt>
                <c:pt idx="2">
                  <c:v>Fair</c:v>
                </c:pt>
                <c:pt idx="3">
                  <c:v>Poor</c:v>
                </c:pt>
                <c:pt idx="4">
                  <c:v>Very Poor</c:v>
                </c:pt>
              </c:strCache>
            </c:strRef>
          </c:cat>
          <c:val>
            <c:numRef>
              <c:f>'Sub-groups by performance cat.'!$H$17:$H$21</c:f>
              <c:numCache>
                <c:formatCode>0</c:formatCode>
                <c:ptCount val="5"/>
                <c:pt idx="0">
                  <c:v>76.536879878038604</c:v>
                </c:pt>
                <c:pt idx="1">
                  <c:v>53.786912848221206</c:v>
                </c:pt>
                <c:pt idx="2">
                  <c:v>46.31569131789945</c:v>
                </c:pt>
                <c:pt idx="3">
                  <c:v>22.694333333333326</c:v>
                </c:pt>
                <c:pt idx="4">
                  <c:v>4.1663068181817868</c:v>
                </c:pt>
              </c:numCache>
            </c:numRef>
          </c:val>
        </c:ser>
        <c:ser>
          <c:idx val="4"/>
          <c:order val="4"/>
          <c:tx>
            <c:strRef>
              <c:f>'Sub-groups by performance cat.'!$I$16</c:f>
              <c:strCache>
                <c:ptCount val="1"/>
                <c:pt idx="0">
                  <c:v>Performance</c:v>
                </c:pt>
              </c:strCache>
            </c:strRef>
          </c:tx>
          <c:spPr>
            <a:solidFill>
              <a:schemeClr val="accent5"/>
            </a:solidFill>
            <a:ln>
              <a:noFill/>
            </a:ln>
            <a:effectLst/>
          </c:spPr>
          <c:invertIfNegative val="0"/>
          <c:cat>
            <c:strRef>
              <c:f>'Sub-groups by performance cat.'!$D$17:$D$21</c:f>
              <c:strCache>
                <c:ptCount val="5"/>
                <c:pt idx="0">
                  <c:v>Very good</c:v>
                </c:pt>
                <c:pt idx="1">
                  <c:v>Good</c:v>
                </c:pt>
                <c:pt idx="2">
                  <c:v>Fair</c:v>
                </c:pt>
                <c:pt idx="3">
                  <c:v>Poor</c:v>
                </c:pt>
                <c:pt idx="4">
                  <c:v>Very Poor</c:v>
                </c:pt>
              </c:strCache>
            </c:strRef>
          </c:cat>
          <c:val>
            <c:numRef>
              <c:f>'Sub-groups by performance cat.'!$I$17:$I$21</c:f>
              <c:numCache>
                <c:formatCode>0</c:formatCode>
                <c:ptCount val="5"/>
                <c:pt idx="0">
                  <c:v>76.12639617952361</c:v>
                </c:pt>
                <c:pt idx="1">
                  <c:v>39.600676998861083</c:v>
                </c:pt>
                <c:pt idx="2">
                  <c:v>7.8067855176842684</c:v>
                </c:pt>
                <c:pt idx="3">
                  <c:v>8.8819402564102514</c:v>
                </c:pt>
                <c:pt idx="4">
                  <c:v>0</c:v>
                </c:pt>
              </c:numCache>
            </c:numRef>
          </c:val>
        </c:ser>
        <c:dLbls>
          <c:showLegendKey val="0"/>
          <c:showVal val="0"/>
          <c:showCatName val="0"/>
          <c:showSerName val="0"/>
          <c:showPercent val="0"/>
          <c:showBubbleSize val="0"/>
        </c:dLbls>
        <c:gapWidth val="219"/>
        <c:overlap val="-27"/>
        <c:axId val="160650224"/>
        <c:axId val="160650616"/>
      </c:barChart>
      <c:catAx>
        <c:axId val="1606502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650616"/>
        <c:crosses val="autoZero"/>
        <c:auto val="1"/>
        <c:lblAlgn val="ctr"/>
        <c:lblOffset val="100"/>
        <c:noMultiLvlLbl val="0"/>
      </c:catAx>
      <c:valAx>
        <c:axId val="160650616"/>
        <c:scaling>
          <c:orientation val="minMax"/>
          <c:max val="10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650224"/>
        <c:crosses val="autoZero"/>
        <c:crossBetween val="between"/>
        <c:majorUnit val="10"/>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77537182852145"/>
          <c:y val="2.5428331875182269E-2"/>
          <c:w val="0.87122462817147861"/>
          <c:h val="0.73577136191309422"/>
        </c:manualLayout>
      </c:layout>
      <c:barChart>
        <c:barDir val="col"/>
        <c:grouping val="clustered"/>
        <c:varyColors val="0"/>
        <c:ser>
          <c:idx val="0"/>
          <c:order val="0"/>
          <c:tx>
            <c:strRef>
              <c:f>'Sub-groups by performance cat.'!$E$24</c:f>
              <c:strCache>
                <c:ptCount val="1"/>
                <c:pt idx="0">
                  <c:v>Planning</c:v>
                </c:pt>
              </c:strCache>
            </c:strRef>
          </c:tx>
          <c:spPr>
            <a:solidFill>
              <a:schemeClr val="accent1"/>
            </a:solidFill>
            <a:ln>
              <a:noFill/>
            </a:ln>
            <a:effectLst/>
          </c:spPr>
          <c:invertIfNegative val="0"/>
          <c:cat>
            <c:strRef>
              <c:f>'Sub-groups by performance cat.'!$D$25:$D$29</c:f>
              <c:strCache>
                <c:ptCount val="5"/>
                <c:pt idx="0">
                  <c:v>Very good</c:v>
                </c:pt>
                <c:pt idx="1">
                  <c:v>Good</c:v>
                </c:pt>
                <c:pt idx="2">
                  <c:v>Fair</c:v>
                </c:pt>
                <c:pt idx="3">
                  <c:v>Poor</c:v>
                </c:pt>
                <c:pt idx="4">
                  <c:v>Very Poor</c:v>
                </c:pt>
              </c:strCache>
            </c:strRef>
          </c:cat>
          <c:val>
            <c:numRef>
              <c:f>'Sub-groups by performance cat.'!$E$25:$E$29</c:f>
              <c:numCache>
                <c:formatCode>0.0</c:formatCode>
                <c:ptCount val="5"/>
                <c:pt idx="0">
                  <c:v>99.602916924345465</c:v>
                </c:pt>
                <c:pt idx="1">
                  <c:v>86.842173423423404</c:v>
                </c:pt>
                <c:pt idx="2">
                  <c:v>64.578464450296252</c:v>
                </c:pt>
                <c:pt idx="3">
                  <c:v>49.333333333333336</c:v>
                </c:pt>
                <c:pt idx="4">
                  <c:v>34.545454545454547</c:v>
                </c:pt>
              </c:numCache>
            </c:numRef>
          </c:val>
        </c:ser>
        <c:ser>
          <c:idx val="1"/>
          <c:order val="1"/>
          <c:tx>
            <c:strRef>
              <c:f>'Sub-groups by performance cat.'!$F$24</c:f>
              <c:strCache>
                <c:ptCount val="1"/>
                <c:pt idx="0">
                  <c:v>Financial</c:v>
                </c:pt>
              </c:strCache>
            </c:strRef>
          </c:tx>
          <c:spPr>
            <a:solidFill>
              <a:schemeClr val="accent2"/>
            </a:solidFill>
            <a:ln>
              <a:noFill/>
            </a:ln>
            <a:effectLst/>
          </c:spPr>
          <c:invertIfNegative val="0"/>
          <c:cat>
            <c:strRef>
              <c:f>'Sub-groups by performance cat.'!$D$25:$D$29</c:f>
              <c:strCache>
                <c:ptCount val="5"/>
                <c:pt idx="0">
                  <c:v>Very good</c:v>
                </c:pt>
                <c:pt idx="1">
                  <c:v>Good</c:v>
                </c:pt>
                <c:pt idx="2">
                  <c:v>Fair</c:v>
                </c:pt>
                <c:pt idx="3">
                  <c:v>Poor</c:v>
                </c:pt>
                <c:pt idx="4">
                  <c:v>Very Poor</c:v>
                </c:pt>
              </c:strCache>
            </c:strRef>
          </c:cat>
          <c:val>
            <c:numRef>
              <c:f>'Sub-groups by performance cat.'!$F$25:$F$29</c:f>
              <c:numCache>
                <c:formatCode>0.0</c:formatCode>
                <c:ptCount val="5"/>
                <c:pt idx="0">
                  <c:v>91.509491298535735</c:v>
                </c:pt>
                <c:pt idx="1">
                  <c:v>76.761325028662426</c:v>
                </c:pt>
                <c:pt idx="2">
                  <c:v>41.787121506677018</c:v>
                </c:pt>
                <c:pt idx="3">
                  <c:v>27.676123199999999</c:v>
                </c:pt>
                <c:pt idx="4">
                  <c:v>10.024629454545455</c:v>
                </c:pt>
              </c:numCache>
            </c:numRef>
          </c:val>
        </c:ser>
        <c:dLbls>
          <c:showLegendKey val="0"/>
          <c:showVal val="0"/>
          <c:showCatName val="0"/>
          <c:showSerName val="0"/>
          <c:showPercent val="0"/>
          <c:showBubbleSize val="0"/>
        </c:dLbls>
        <c:gapWidth val="219"/>
        <c:overlap val="-27"/>
        <c:axId val="160651400"/>
        <c:axId val="160651792"/>
      </c:barChart>
      <c:catAx>
        <c:axId val="1606514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651792"/>
        <c:crosses val="autoZero"/>
        <c:auto val="1"/>
        <c:lblAlgn val="ctr"/>
        <c:lblOffset val="100"/>
        <c:noMultiLvlLbl val="0"/>
      </c:catAx>
      <c:valAx>
        <c:axId val="160651792"/>
        <c:scaling>
          <c:orientation val="minMax"/>
          <c:max val="100"/>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651400"/>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Bilaterals ranking (IATI vs other</a:t>
            </a:r>
            <a:r>
              <a:rPr lang="en-GB" baseline="0"/>
              <a:t> format)</a:t>
            </a:r>
            <a:endParaRPr lang="en-GB"/>
          </a:p>
        </c:rich>
      </c:tx>
      <c:layout/>
      <c:overlay val="0"/>
      <c:spPr>
        <a:noFill/>
        <a:ln>
          <a:noFill/>
        </a:ln>
        <a:effectLst/>
      </c:spPr>
    </c:title>
    <c:autoTitleDeleted val="0"/>
    <c:plotArea>
      <c:layout>
        <c:manualLayout>
          <c:layoutTarget val="inner"/>
          <c:xMode val="edge"/>
          <c:yMode val="edge"/>
          <c:x val="4.6724683319726866E-2"/>
          <c:y val="0.17171296296296298"/>
          <c:w val="0.94039999933641882"/>
          <c:h val="0.50268591426071751"/>
        </c:manualLayout>
      </c:layout>
      <c:barChart>
        <c:barDir val="col"/>
        <c:grouping val="stacked"/>
        <c:varyColors val="0"/>
        <c:ser>
          <c:idx val="0"/>
          <c:order val="0"/>
          <c:tx>
            <c:strRef>
              <c:f>Bilaterals!$G$3</c:f>
              <c:strCache>
                <c:ptCount val="1"/>
                <c:pt idx="0">
                  <c:v>IATI</c:v>
                </c:pt>
              </c:strCache>
            </c:strRef>
          </c:tx>
          <c:spPr>
            <a:solidFill>
              <a:schemeClr val="accent1"/>
            </a:solidFill>
            <a:ln>
              <a:noFill/>
            </a:ln>
            <a:effectLst/>
          </c:spPr>
          <c:invertIfNegative val="0"/>
          <c:cat>
            <c:strRef>
              <c:f>Bilaterals!$B$3:$B$50</c:f>
              <c:strCache>
                <c:ptCount val="48"/>
                <c:pt idx="0">
                  <c:v>Donor Name</c:v>
                </c:pt>
                <c:pt idx="1">
                  <c:v>UK, DFID</c:v>
                </c:pt>
                <c:pt idx="2">
                  <c:v>U.S., MCC</c:v>
                </c:pt>
                <c:pt idx="3">
                  <c:v>Sweden, MFA-Sida</c:v>
                </c:pt>
                <c:pt idx="4">
                  <c:v>Canada, DFATD</c:v>
                </c:pt>
                <c:pt idx="5">
                  <c:v>Germany, BMZ-GIZ</c:v>
                </c:pt>
                <c:pt idx="6">
                  <c:v>Switzerland, SDC</c:v>
                </c:pt>
                <c:pt idx="7">
                  <c:v>Netherlands, MFA</c:v>
                </c:pt>
                <c:pt idx="8">
                  <c:v>Germany, BMZ-KfW</c:v>
                </c:pt>
                <c:pt idx="9">
                  <c:v>Spain, MAEC</c:v>
                </c:pt>
                <c:pt idx="10">
                  <c:v>Denmark, MFA</c:v>
                </c:pt>
                <c:pt idx="11">
                  <c:v>Finland, MFA</c:v>
                </c:pt>
                <c:pt idx="12">
                  <c:v>Australia, DFAT</c:v>
                </c:pt>
                <c:pt idx="13">
                  <c:v>New Zealand, MFAT</c:v>
                </c:pt>
                <c:pt idx="14">
                  <c:v>Ireland, IrishAid</c:v>
                </c:pt>
                <c:pt idx="15">
                  <c:v>France, MAEDI</c:v>
                </c:pt>
                <c:pt idx="16">
                  <c:v>U.S., PEPFAR</c:v>
                </c:pt>
                <c:pt idx="17">
                  <c:v>U.S., USAID</c:v>
                </c:pt>
                <c:pt idx="18">
                  <c:v>Japan, JICA</c:v>
                </c:pt>
                <c:pt idx="19">
                  <c:v>U.S., State</c:v>
                </c:pt>
                <c:pt idx="20">
                  <c:v>Korea, KOICA</c:v>
                </c:pt>
                <c:pt idx="21">
                  <c:v>UK, FCO</c:v>
                </c:pt>
                <c:pt idx="22">
                  <c:v>U.S., Treasury</c:v>
                </c:pt>
                <c:pt idx="23">
                  <c:v>U.S., Defense</c:v>
                </c:pt>
                <c:pt idx="24">
                  <c:v>Czech Republic, CzDA</c:v>
                </c:pt>
                <c:pt idx="25">
                  <c:v>Estonia, MFA</c:v>
                </c:pt>
                <c:pt idx="26">
                  <c:v>Norway, MFA</c:v>
                </c:pt>
                <c:pt idx="27">
                  <c:v>Portugal, CICL</c:v>
                </c:pt>
                <c:pt idx="28">
                  <c:v>France, AFD</c:v>
                </c:pt>
                <c:pt idx="29">
                  <c:v>Austria, ADA</c:v>
                </c:pt>
                <c:pt idx="30">
                  <c:v>Latvia, MFA</c:v>
                </c:pt>
                <c:pt idx="31">
                  <c:v>Belgium, DGCD</c:v>
                </c:pt>
                <c:pt idx="32">
                  <c:v>Luxembourg, MFA</c:v>
                </c:pt>
                <c:pt idx="33">
                  <c:v>Slovakia, SAIDC</c:v>
                </c:pt>
                <c:pt idx="34">
                  <c:v>Slovenia, MFA</c:v>
                </c:pt>
                <c:pt idx="35">
                  <c:v>Japan, MOFA</c:v>
                </c:pt>
                <c:pt idx="36">
                  <c:v>Italy, MAE</c:v>
                </c:pt>
                <c:pt idx="37">
                  <c:v>Poland, MFA</c:v>
                </c:pt>
                <c:pt idx="38">
                  <c:v>Croatia, MFA</c:v>
                </c:pt>
                <c:pt idx="39">
                  <c:v>Romania, MFA</c:v>
                </c:pt>
                <c:pt idx="40">
                  <c:v>France, MINEFI</c:v>
                </c:pt>
                <c:pt idx="41">
                  <c:v>Brazil, ABC</c:v>
                </c:pt>
                <c:pt idx="42">
                  <c:v>UK, MOD</c:v>
                </c:pt>
                <c:pt idx="43">
                  <c:v>Germany, AA</c:v>
                </c:pt>
                <c:pt idx="44">
                  <c:v>Hungary, MFA</c:v>
                </c:pt>
                <c:pt idx="45">
                  <c:v>Bulgaria, MFA</c:v>
                </c:pt>
                <c:pt idx="46">
                  <c:v>Malta, MFA</c:v>
                </c:pt>
                <c:pt idx="47">
                  <c:v>Lithuania, MFA</c:v>
                </c:pt>
              </c:strCache>
            </c:strRef>
          </c:cat>
          <c:val>
            <c:numRef>
              <c:f>Bilaterals!$G$4:$G$50</c:f>
              <c:numCache>
                <c:formatCode>0.00</c:formatCode>
                <c:ptCount val="47"/>
                <c:pt idx="0">
                  <c:v>78.746340299014733</c:v>
                </c:pt>
                <c:pt idx="1">
                  <c:v>72.957344379239004</c:v>
                </c:pt>
                <c:pt idx="2">
                  <c:v>73.450509759093052</c:v>
                </c:pt>
                <c:pt idx="3">
                  <c:v>58.496494938086499</c:v>
                </c:pt>
                <c:pt idx="4">
                  <c:v>40.630391950033186</c:v>
                </c:pt>
                <c:pt idx="5">
                  <c:v>40.390761086474413</c:v>
                </c:pt>
                <c:pt idx="6">
                  <c:v>37.830636701626986</c:v>
                </c:pt>
                <c:pt idx="7">
                  <c:v>40.347112029418128</c:v>
                </c:pt>
                <c:pt idx="8">
                  <c:v>45.295434522694542</c:v>
                </c:pt>
                <c:pt idx="9">
                  <c:v>28.730117637678006</c:v>
                </c:pt>
                <c:pt idx="10">
                  <c:v>26.875436186650134</c:v>
                </c:pt>
                <c:pt idx="11">
                  <c:v>33.668786861504472</c:v>
                </c:pt>
                <c:pt idx="12">
                  <c:v>22.520222679640646</c:v>
                </c:pt>
                <c:pt idx="13">
                  <c:v>27.375090724950237</c:v>
                </c:pt>
                <c:pt idx="14">
                  <c:v>33.316778818470091</c:v>
                </c:pt>
                <c:pt idx="15">
                  <c:v>27.232867451891096</c:v>
                </c:pt>
                <c:pt idx="16">
                  <c:v>20.973896117246191</c:v>
                </c:pt>
                <c:pt idx="17">
                  <c:v>24.108214285714258</c:v>
                </c:pt>
                <c:pt idx="18">
                  <c:v>20.733952631578919</c:v>
                </c:pt>
                <c:pt idx="19">
                  <c:v>0</c:v>
                </c:pt>
                <c:pt idx="20">
                  <c:v>18.4825608512628</c:v>
                </c:pt>
                <c:pt idx="21">
                  <c:v>2.78</c:v>
                </c:pt>
                <c:pt idx="22">
                  <c:v>17.554301619433168</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numCache>
            </c:numRef>
          </c:val>
        </c:ser>
        <c:ser>
          <c:idx val="1"/>
          <c:order val="1"/>
          <c:tx>
            <c:strRef>
              <c:f>Bilaterals!$H$3</c:f>
              <c:strCache>
                <c:ptCount val="1"/>
                <c:pt idx="0">
                  <c:v>Other formats</c:v>
                </c:pt>
              </c:strCache>
            </c:strRef>
          </c:tx>
          <c:spPr>
            <a:solidFill>
              <a:schemeClr val="accent2"/>
            </a:solidFill>
            <a:ln>
              <a:noFill/>
            </a:ln>
            <a:effectLst/>
          </c:spPr>
          <c:invertIfNegative val="0"/>
          <c:cat>
            <c:strRef>
              <c:f>Bilaterals!$B$3:$B$50</c:f>
              <c:strCache>
                <c:ptCount val="48"/>
                <c:pt idx="0">
                  <c:v>Donor Name</c:v>
                </c:pt>
                <c:pt idx="1">
                  <c:v>UK, DFID</c:v>
                </c:pt>
                <c:pt idx="2">
                  <c:v>U.S., MCC</c:v>
                </c:pt>
                <c:pt idx="3">
                  <c:v>Sweden, MFA-Sida</c:v>
                </c:pt>
                <c:pt idx="4">
                  <c:v>Canada, DFATD</c:v>
                </c:pt>
                <c:pt idx="5">
                  <c:v>Germany, BMZ-GIZ</c:v>
                </c:pt>
                <c:pt idx="6">
                  <c:v>Switzerland, SDC</c:v>
                </c:pt>
                <c:pt idx="7">
                  <c:v>Netherlands, MFA</c:v>
                </c:pt>
                <c:pt idx="8">
                  <c:v>Germany, BMZ-KfW</c:v>
                </c:pt>
                <c:pt idx="9">
                  <c:v>Spain, MAEC</c:v>
                </c:pt>
                <c:pt idx="10">
                  <c:v>Denmark, MFA</c:v>
                </c:pt>
                <c:pt idx="11">
                  <c:v>Finland, MFA</c:v>
                </c:pt>
                <c:pt idx="12">
                  <c:v>Australia, DFAT</c:v>
                </c:pt>
                <c:pt idx="13">
                  <c:v>New Zealand, MFAT</c:v>
                </c:pt>
                <c:pt idx="14">
                  <c:v>Ireland, IrishAid</c:v>
                </c:pt>
                <c:pt idx="15">
                  <c:v>France, MAEDI</c:v>
                </c:pt>
                <c:pt idx="16">
                  <c:v>U.S., PEPFAR</c:v>
                </c:pt>
                <c:pt idx="17">
                  <c:v>U.S., USAID</c:v>
                </c:pt>
                <c:pt idx="18">
                  <c:v>Japan, JICA</c:v>
                </c:pt>
                <c:pt idx="19">
                  <c:v>U.S., State</c:v>
                </c:pt>
                <c:pt idx="20">
                  <c:v>Korea, KOICA</c:v>
                </c:pt>
                <c:pt idx="21">
                  <c:v>UK, FCO</c:v>
                </c:pt>
                <c:pt idx="22">
                  <c:v>U.S., Treasury</c:v>
                </c:pt>
                <c:pt idx="23">
                  <c:v>U.S., Defense</c:v>
                </c:pt>
                <c:pt idx="24">
                  <c:v>Czech Republic, CzDA</c:v>
                </c:pt>
                <c:pt idx="25">
                  <c:v>Estonia, MFA</c:v>
                </c:pt>
                <c:pt idx="26">
                  <c:v>Norway, MFA</c:v>
                </c:pt>
                <c:pt idx="27">
                  <c:v>Portugal, CICL</c:v>
                </c:pt>
                <c:pt idx="28">
                  <c:v>France, AFD</c:v>
                </c:pt>
                <c:pt idx="29">
                  <c:v>Austria, ADA</c:v>
                </c:pt>
                <c:pt idx="30">
                  <c:v>Latvia, MFA</c:v>
                </c:pt>
                <c:pt idx="31">
                  <c:v>Belgium, DGCD</c:v>
                </c:pt>
                <c:pt idx="32">
                  <c:v>Luxembourg, MFA</c:v>
                </c:pt>
                <c:pt idx="33">
                  <c:v>Slovakia, SAIDC</c:v>
                </c:pt>
                <c:pt idx="34">
                  <c:v>Slovenia, MFA</c:v>
                </c:pt>
                <c:pt idx="35">
                  <c:v>Japan, MOFA</c:v>
                </c:pt>
                <c:pt idx="36">
                  <c:v>Italy, MAE</c:v>
                </c:pt>
                <c:pt idx="37">
                  <c:v>Poland, MFA</c:v>
                </c:pt>
                <c:pt idx="38">
                  <c:v>Croatia, MFA</c:v>
                </c:pt>
                <c:pt idx="39">
                  <c:v>Romania, MFA</c:v>
                </c:pt>
                <c:pt idx="40">
                  <c:v>France, MINEFI</c:v>
                </c:pt>
                <c:pt idx="41">
                  <c:v>Brazil, ABC</c:v>
                </c:pt>
                <c:pt idx="42">
                  <c:v>UK, MOD</c:v>
                </c:pt>
                <c:pt idx="43">
                  <c:v>Germany, AA</c:v>
                </c:pt>
                <c:pt idx="44">
                  <c:v>Hungary, MFA</c:v>
                </c:pt>
                <c:pt idx="45">
                  <c:v>Bulgaria, MFA</c:v>
                </c:pt>
                <c:pt idx="46">
                  <c:v>Malta, MFA</c:v>
                </c:pt>
                <c:pt idx="47">
                  <c:v>Lithuania, MFA</c:v>
                </c:pt>
              </c:strCache>
            </c:strRef>
          </c:cat>
          <c:val>
            <c:numRef>
              <c:f>Bilaterals!$H$4:$H$50</c:f>
              <c:numCache>
                <c:formatCode>0.00</c:formatCode>
                <c:ptCount val="47"/>
                <c:pt idx="0">
                  <c:v>9.5904000000000007</c:v>
                </c:pt>
                <c:pt idx="1">
                  <c:v>13.937277999999996</c:v>
                </c:pt>
                <c:pt idx="2">
                  <c:v>9.8234999999999992</c:v>
                </c:pt>
                <c:pt idx="3">
                  <c:v>13.174853999999998</c:v>
                </c:pt>
                <c:pt idx="4">
                  <c:v>13.291997499999997</c:v>
                </c:pt>
                <c:pt idx="5">
                  <c:v>13.389527999999999</c:v>
                </c:pt>
                <c:pt idx="6">
                  <c:v>15.933634999999999</c:v>
                </c:pt>
                <c:pt idx="7">
                  <c:v>10.477077499999998</c:v>
                </c:pt>
                <c:pt idx="8">
                  <c:v>5.302778</c:v>
                </c:pt>
                <c:pt idx="9">
                  <c:v>20.908886500000001</c:v>
                </c:pt>
                <c:pt idx="10">
                  <c:v>19.397403999999991</c:v>
                </c:pt>
                <c:pt idx="11">
                  <c:v>12.243402999999999</c:v>
                </c:pt>
                <c:pt idx="12">
                  <c:v>22.601324499999997</c:v>
                </c:pt>
                <c:pt idx="13">
                  <c:v>15.092979000000001</c:v>
                </c:pt>
                <c:pt idx="14">
                  <c:v>9.0859584999999985</c:v>
                </c:pt>
                <c:pt idx="15">
                  <c:v>13.433652</c:v>
                </c:pt>
                <c:pt idx="16">
                  <c:v>19.338437499999998</c:v>
                </c:pt>
                <c:pt idx="17">
                  <c:v>13.105914999999996</c:v>
                </c:pt>
                <c:pt idx="18">
                  <c:v>18.068499499999994</c:v>
                </c:pt>
                <c:pt idx="19">
                  <c:v>36.894750999999985</c:v>
                </c:pt>
                <c:pt idx="20">
                  <c:v>17.314543499999999</c:v>
                </c:pt>
                <c:pt idx="21">
                  <c:v>32.048499499999998</c:v>
                </c:pt>
                <c:pt idx="22">
                  <c:v>13.2020085</c:v>
                </c:pt>
                <c:pt idx="23">
                  <c:v>29.489809999999995</c:v>
                </c:pt>
                <c:pt idx="24">
                  <c:v>28.231219999999993</c:v>
                </c:pt>
                <c:pt idx="25">
                  <c:v>27.648543999999998</c:v>
                </c:pt>
                <c:pt idx="26">
                  <c:v>26.544537499999997</c:v>
                </c:pt>
                <c:pt idx="27">
                  <c:v>24.667978499999986</c:v>
                </c:pt>
                <c:pt idx="28">
                  <c:v>19.072684999999986</c:v>
                </c:pt>
                <c:pt idx="29">
                  <c:v>19.032905999999997</c:v>
                </c:pt>
                <c:pt idx="30">
                  <c:v>18.846488999999988</c:v>
                </c:pt>
                <c:pt idx="31">
                  <c:v>18.812663999999987</c:v>
                </c:pt>
                <c:pt idx="32">
                  <c:v>18.250666999999986</c:v>
                </c:pt>
                <c:pt idx="33">
                  <c:v>17.784162999999985</c:v>
                </c:pt>
                <c:pt idx="34">
                  <c:v>17.012573999999987</c:v>
                </c:pt>
                <c:pt idx="35">
                  <c:v>15.646043999999986</c:v>
                </c:pt>
                <c:pt idx="36">
                  <c:v>14.359405999999987</c:v>
                </c:pt>
                <c:pt idx="37">
                  <c:v>11.814868499999999</c:v>
                </c:pt>
                <c:pt idx="38">
                  <c:v>10.551111499999996</c:v>
                </c:pt>
                <c:pt idx="39">
                  <c:v>10.3011585</c:v>
                </c:pt>
                <c:pt idx="40">
                  <c:v>9.6461599999999983</c:v>
                </c:pt>
                <c:pt idx="41">
                  <c:v>9.6282870000000003</c:v>
                </c:pt>
                <c:pt idx="42">
                  <c:v>9.1154984999999993</c:v>
                </c:pt>
                <c:pt idx="43">
                  <c:v>8.3047779999999989</c:v>
                </c:pt>
                <c:pt idx="44">
                  <c:v>8.1649999999999991</c:v>
                </c:pt>
                <c:pt idx="45">
                  <c:v>6.5897159999999975</c:v>
                </c:pt>
                <c:pt idx="46">
                  <c:v>6.5130569999999999</c:v>
                </c:pt>
              </c:numCache>
            </c:numRef>
          </c:val>
        </c:ser>
        <c:dLbls>
          <c:showLegendKey val="0"/>
          <c:showVal val="0"/>
          <c:showCatName val="0"/>
          <c:showSerName val="0"/>
          <c:showPercent val="0"/>
          <c:showBubbleSize val="0"/>
        </c:dLbls>
        <c:gapWidth val="150"/>
        <c:overlap val="100"/>
        <c:axId val="203950736"/>
        <c:axId val="203951128"/>
      </c:barChart>
      <c:catAx>
        <c:axId val="2039507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3951128"/>
        <c:crosses val="autoZero"/>
        <c:auto val="1"/>
        <c:lblAlgn val="ctr"/>
        <c:lblOffset val="100"/>
        <c:noMultiLvlLbl val="0"/>
      </c:catAx>
      <c:valAx>
        <c:axId val="20395112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395073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11" l="0.70000000000000007" r="0.70000000000000007" t="0.75000000000000011" header="0.30000000000000004" footer="0.30000000000000004"/>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Multilaterals</a:t>
            </a:r>
            <a:r>
              <a:rPr lang="en-GB" baseline="0"/>
              <a:t> ranking (IATI vs other formats)</a:t>
            </a:r>
            <a:endParaRPr lang="en-GB"/>
          </a:p>
        </c:rich>
      </c:tx>
      <c:layout/>
      <c:overlay val="0"/>
      <c:spPr>
        <a:noFill/>
        <a:ln>
          <a:noFill/>
        </a:ln>
        <a:effectLst/>
      </c:spPr>
    </c:title>
    <c:autoTitleDeleted val="0"/>
    <c:plotArea>
      <c:layout/>
      <c:barChart>
        <c:barDir val="col"/>
        <c:grouping val="stacked"/>
        <c:varyColors val="0"/>
        <c:ser>
          <c:idx val="0"/>
          <c:order val="0"/>
          <c:tx>
            <c:strRef>
              <c:f>Multilaterals!$G$3</c:f>
              <c:strCache>
                <c:ptCount val="1"/>
                <c:pt idx="0">
                  <c:v>IATI</c:v>
                </c:pt>
              </c:strCache>
            </c:strRef>
          </c:tx>
          <c:spPr>
            <a:solidFill>
              <a:schemeClr val="accent1"/>
            </a:solidFill>
            <a:ln>
              <a:noFill/>
            </a:ln>
            <a:effectLst/>
          </c:spPr>
          <c:invertIfNegative val="0"/>
          <c:cat>
            <c:strRef>
              <c:f>Multilaterals!$B$3:$B$18</c:f>
              <c:strCache>
                <c:ptCount val="16"/>
                <c:pt idx="0">
                  <c:v>Donor Name</c:v>
                </c:pt>
                <c:pt idx="1">
                  <c:v>UNDP</c:v>
                </c:pt>
                <c:pt idx="2">
                  <c:v>GAVI</c:v>
                </c:pt>
                <c:pt idx="3">
                  <c:v>AsDB</c:v>
                </c:pt>
                <c:pt idx="4">
                  <c:v>World Bank, IDA</c:v>
                </c:pt>
                <c:pt idx="5">
                  <c:v>AfDB</c:v>
                </c:pt>
                <c:pt idx="6">
                  <c:v>IADB</c:v>
                </c:pt>
                <c:pt idx="7">
                  <c:v>Global Fund</c:v>
                </c:pt>
                <c:pt idx="8">
                  <c:v>EC, FPI</c:v>
                </c:pt>
                <c:pt idx="9">
                  <c:v>EC, DEVCO</c:v>
                </c:pt>
                <c:pt idx="10">
                  <c:v>UNICEF</c:v>
                </c:pt>
                <c:pt idx="11">
                  <c:v>EC, ELARG</c:v>
                </c:pt>
                <c:pt idx="12">
                  <c:v>EC, ECHO</c:v>
                </c:pt>
                <c:pt idx="13">
                  <c:v>UN OCHA</c:v>
                </c:pt>
                <c:pt idx="14">
                  <c:v>IMF</c:v>
                </c:pt>
                <c:pt idx="15">
                  <c:v>World Bank, IFC</c:v>
                </c:pt>
              </c:strCache>
            </c:strRef>
          </c:cat>
          <c:val>
            <c:numRef>
              <c:f>Multilaterals!$G$4:$G$18</c:f>
              <c:numCache>
                <c:formatCode>0.00</c:formatCode>
                <c:ptCount val="15"/>
                <c:pt idx="0">
                  <c:v>81.857233812083038</c:v>
                </c:pt>
                <c:pt idx="1">
                  <c:v>78.037433206106783</c:v>
                </c:pt>
                <c:pt idx="2">
                  <c:v>73.092760162282531</c:v>
                </c:pt>
                <c:pt idx="3">
                  <c:v>74.323759951623742</c:v>
                </c:pt>
                <c:pt idx="4">
                  <c:v>66.429549333073695</c:v>
                </c:pt>
                <c:pt idx="5">
                  <c:v>67.196887603455025</c:v>
                </c:pt>
                <c:pt idx="6">
                  <c:v>61.172525855600043</c:v>
                </c:pt>
                <c:pt idx="7">
                  <c:v>56.130754883904295</c:v>
                </c:pt>
                <c:pt idx="8">
                  <c:v>55.418751769636678</c:v>
                </c:pt>
                <c:pt idx="9">
                  <c:v>46.784075945170748</c:v>
                </c:pt>
                <c:pt idx="10">
                  <c:v>48.038821206882915</c:v>
                </c:pt>
                <c:pt idx="11">
                  <c:v>44.075817849686779</c:v>
                </c:pt>
                <c:pt idx="12">
                  <c:v>19.458578839690137</c:v>
                </c:pt>
                <c:pt idx="13">
                  <c:v>0</c:v>
                </c:pt>
                <c:pt idx="14">
                  <c:v>0</c:v>
                </c:pt>
              </c:numCache>
            </c:numRef>
          </c:val>
        </c:ser>
        <c:ser>
          <c:idx val="1"/>
          <c:order val="1"/>
          <c:tx>
            <c:strRef>
              <c:f>Multilaterals!$H$3</c:f>
              <c:strCache>
                <c:ptCount val="1"/>
                <c:pt idx="0">
                  <c:v>Other formats</c:v>
                </c:pt>
              </c:strCache>
            </c:strRef>
          </c:tx>
          <c:spPr>
            <a:solidFill>
              <a:schemeClr val="accent2"/>
            </a:solidFill>
            <a:ln>
              <a:noFill/>
            </a:ln>
            <a:effectLst/>
          </c:spPr>
          <c:invertIfNegative val="0"/>
          <c:cat>
            <c:strRef>
              <c:f>Multilaterals!$B$3:$B$18</c:f>
              <c:strCache>
                <c:ptCount val="16"/>
                <c:pt idx="0">
                  <c:v>Donor Name</c:v>
                </c:pt>
                <c:pt idx="1">
                  <c:v>UNDP</c:v>
                </c:pt>
                <c:pt idx="2">
                  <c:v>GAVI</c:v>
                </c:pt>
                <c:pt idx="3">
                  <c:v>AsDB</c:v>
                </c:pt>
                <c:pt idx="4">
                  <c:v>World Bank, IDA</c:v>
                </c:pt>
                <c:pt idx="5">
                  <c:v>AfDB</c:v>
                </c:pt>
                <c:pt idx="6">
                  <c:v>IADB</c:v>
                </c:pt>
                <c:pt idx="7">
                  <c:v>Global Fund</c:v>
                </c:pt>
                <c:pt idx="8">
                  <c:v>EC, FPI</c:v>
                </c:pt>
                <c:pt idx="9">
                  <c:v>EC, DEVCO</c:v>
                </c:pt>
                <c:pt idx="10">
                  <c:v>UNICEF</c:v>
                </c:pt>
                <c:pt idx="11">
                  <c:v>EC, ELARG</c:v>
                </c:pt>
                <c:pt idx="12">
                  <c:v>EC, ECHO</c:v>
                </c:pt>
                <c:pt idx="13">
                  <c:v>UN OCHA</c:v>
                </c:pt>
                <c:pt idx="14">
                  <c:v>IMF</c:v>
                </c:pt>
                <c:pt idx="15">
                  <c:v>World Bank, IFC</c:v>
                </c:pt>
              </c:strCache>
            </c:strRef>
          </c:cat>
          <c:val>
            <c:numRef>
              <c:f>Multilaterals!$H$4:$H$18</c:f>
              <c:numCache>
                <c:formatCode>0.00</c:formatCode>
                <c:ptCount val="15"/>
                <c:pt idx="0">
                  <c:v>8.7798780000000001</c:v>
                </c:pt>
                <c:pt idx="1">
                  <c:v>8.7082890000000006</c:v>
                </c:pt>
                <c:pt idx="2">
                  <c:v>10.750078</c:v>
                </c:pt>
                <c:pt idx="3">
                  <c:v>7.9452014999999978</c:v>
                </c:pt>
                <c:pt idx="4">
                  <c:v>8.0864794999999994</c:v>
                </c:pt>
                <c:pt idx="5">
                  <c:v>6.7205104999999996</c:v>
                </c:pt>
                <c:pt idx="6">
                  <c:v>12.125579499999999</c:v>
                </c:pt>
                <c:pt idx="7">
                  <c:v>12.9453</c:v>
                </c:pt>
                <c:pt idx="8">
                  <c:v>12.812099999999999</c:v>
                </c:pt>
                <c:pt idx="9">
                  <c:v>17.864867</c:v>
                </c:pt>
                <c:pt idx="10">
                  <c:v>13.729099999999999</c:v>
                </c:pt>
                <c:pt idx="11">
                  <c:v>15.837979000000001</c:v>
                </c:pt>
                <c:pt idx="12">
                  <c:v>21.838432999999998</c:v>
                </c:pt>
                <c:pt idx="13">
                  <c:v>31.595881999999996</c:v>
                </c:pt>
                <c:pt idx="14">
                  <c:v>30.617910000000002</c:v>
                </c:pt>
              </c:numCache>
            </c:numRef>
          </c:val>
        </c:ser>
        <c:dLbls>
          <c:showLegendKey val="0"/>
          <c:showVal val="0"/>
          <c:showCatName val="0"/>
          <c:showSerName val="0"/>
          <c:showPercent val="0"/>
          <c:showBubbleSize val="0"/>
        </c:dLbls>
        <c:gapWidth val="150"/>
        <c:overlap val="100"/>
        <c:axId val="203951912"/>
        <c:axId val="203952304"/>
      </c:barChart>
      <c:catAx>
        <c:axId val="2039519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3952304"/>
        <c:crosses val="autoZero"/>
        <c:auto val="1"/>
        <c:lblAlgn val="ctr"/>
        <c:lblOffset val="100"/>
        <c:noMultiLvlLbl val="0"/>
      </c:catAx>
      <c:valAx>
        <c:axId val="20395230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3951912"/>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11" l="0.70000000000000007" r="0.70000000000000007" t="0.75000000000000011" header="0.30000000000000004" footer="0.30000000000000004"/>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tx>
            <c:strRef>
              <c:f>'Donor size data'!$J$9</c:f>
              <c:strCache>
                <c:ptCount val="1"/>
                <c:pt idx="0">
                  <c:v>Column1</c:v>
                </c:pt>
              </c:strCache>
            </c:strRef>
          </c:tx>
          <c:dPt>
            <c:idx val="0"/>
            <c:bubble3D val="0"/>
            <c:spPr>
              <a:solidFill>
                <a:schemeClr val="accent1"/>
              </a:solidFill>
              <a:ln w="19050">
                <a:solidFill>
                  <a:schemeClr val="lt1"/>
                </a:solidFill>
              </a:ln>
              <a:effectLst/>
            </c:spPr>
          </c:dPt>
          <c:dPt>
            <c:idx val="1"/>
            <c:bubble3D val="0"/>
            <c:spPr>
              <a:solidFill>
                <a:schemeClr val="accent2"/>
              </a:solidFill>
              <a:ln w="19050">
                <a:solidFill>
                  <a:schemeClr val="lt1"/>
                </a:solidFill>
              </a:ln>
              <a:effectLst/>
            </c:spPr>
          </c:dPt>
          <c:dPt>
            <c:idx val="2"/>
            <c:bubble3D val="0"/>
            <c:spPr>
              <a:solidFill>
                <a:schemeClr val="accent3"/>
              </a:solidFill>
              <a:ln w="19050">
                <a:solidFill>
                  <a:schemeClr val="lt1"/>
                </a:solidFill>
              </a:ln>
              <a:effectLst/>
            </c:spPr>
          </c:dPt>
          <c:dPt>
            <c:idx val="3"/>
            <c:bubble3D val="0"/>
            <c:spPr>
              <a:solidFill>
                <a:schemeClr val="accent4"/>
              </a:solidFill>
              <a:ln w="19050">
                <a:solidFill>
                  <a:schemeClr val="lt1"/>
                </a:solidFill>
              </a:ln>
              <a:effectLst/>
            </c:spPr>
          </c:dPt>
          <c:dPt>
            <c:idx val="4"/>
            <c:bubble3D val="0"/>
            <c:spPr>
              <a:solidFill>
                <a:schemeClr val="accent5"/>
              </a:solidFill>
              <a:ln w="19050">
                <a:solidFill>
                  <a:schemeClr val="lt1"/>
                </a:solidFill>
              </a:ln>
              <a:effectLst/>
            </c:spPr>
          </c:dPt>
          <c:dLbls>
            <c:dLbl>
              <c:idx val="0"/>
              <c:layout>
                <c:manualLayout>
                  <c:x val="-6.3941272965879259E-2"/>
                  <c:y val="0.11171478565179352"/>
                </c:manualLayout>
              </c:layout>
              <c:tx>
                <c:rich>
                  <a:bodyPr/>
                  <a:lstStyle/>
                  <a:p>
                    <a:r>
                      <a:rPr lang="en-US"/>
                      <a:t>18%</a:t>
                    </a:r>
                  </a:p>
                </c:rich>
              </c:tx>
              <c:showLegendKey val="0"/>
              <c:showVal val="1"/>
              <c:showCatName val="0"/>
              <c:showSerName val="0"/>
              <c:showPercent val="0"/>
              <c:showBubbleSize val="0"/>
              <c:extLst>
                <c:ext xmlns:c15="http://schemas.microsoft.com/office/drawing/2012/chart" uri="{CE6537A1-D6FC-4f65-9D91-7224C49458BB}">
                  <c15:layout/>
                </c:ext>
              </c:extLst>
            </c:dLbl>
            <c:dLbl>
              <c:idx val="1"/>
              <c:layout/>
              <c:tx>
                <c:rich>
                  <a:bodyPr/>
                  <a:lstStyle/>
                  <a:p>
                    <a:r>
                      <a:rPr lang="en-US"/>
                      <a:t>20%</a:t>
                    </a:r>
                  </a:p>
                </c:rich>
              </c:tx>
              <c:showLegendKey val="0"/>
              <c:showVal val="1"/>
              <c:showCatName val="0"/>
              <c:showSerName val="0"/>
              <c:showPercent val="0"/>
              <c:showBubbleSize val="0"/>
              <c:extLst>
                <c:ext xmlns:c15="http://schemas.microsoft.com/office/drawing/2012/chart" uri="{CE6537A1-D6FC-4f65-9D91-7224C49458BB}">
                  <c15:layout/>
                </c:ext>
              </c:extLst>
            </c:dLbl>
            <c:dLbl>
              <c:idx val="2"/>
              <c:layout/>
              <c:tx>
                <c:rich>
                  <a:bodyPr/>
                  <a:lstStyle/>
                  <a:p>
                    <a:r>
                      <a:rPr lang="en-US"/>
                      <a:t>26%</a:t>
                    </a:r>
                  </a:p>
                </c:rich>
              </c:tx>
              <c:showLegendKey val="0"/>
              <c:showVal val="1"/>
              <c:showCatName val="0"/>
              <c:showSerName val="0"/>
              <c:showPercent val="0"/>
              <c:showBubbleSize val="0"/>
              <c:extLst>
                <c:ext xmlns:c15="http://schemas.microsoft.com/office/drawing/2012/chart" uri="{CE6537A1-D6FC-4f65-9D91-7224C49458BB}">
                  <c15:layout/>
                </c:ext>
              </c:extLst>
            </c:dLbl>
            <c:dLbl>
              <c:idx val="3"/>
              <c:layout/>
              <c:tx>
                <c:rich>
                  <a:bodyPr/>
                  <a:lstStyle/>
                  <a:p>
                    <a:r>
                      <a:rPr lang="en-US"/>
                      <a:t>29%</a:t>
                    </a:r>
                  </a:p>
                </c:rich>
              </c:tx>
              <c:showLegendKey val="0"/>
              <c:showVal val="1"/>
              <c:showCatName val="0"/>
              <c:showSerName val="0"/>
              <c:showPercent val="0"/>
              <c:showBubbleSize val="0"/>
              <c:extLst>
                <c:ext xmlns:c15="http://schemas.microsoft.com/office/drawing/2012/chart" uri="{CE6537A1-D6FC-4f65-9D91-7224C49458BB}">
                  <c15:layout/>
                </c:ext>
              </c:extLst>
            </c:dLbl>
            <c:dLbl>
              <c:idx val="4"/>
              <c:layout/>
              <c:tx>
                <c:rich>
                  <a:bodyPr/>
                  <a:lstStyle/>
                  <a:p>
                    <a:r>
                      <a:rPr lang="en-US"/>
                      <a:t>7%</a:t>
                    </a:r>
                  </a:p>
                </c:rich>
              </c:tx>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'Donor size data'!$H$10:$H$14</c:f>
              <c:strCache>
                <c:ptCount val="5"/>
                <c:pt idx="0">
                  <c:v>Very good</c:v>
                </c:pt>
                <c:pt idx="1">
                  <c:v>Good</c:v>
                </c:pt>
                <c:pt idx="2">
                  <c:v>Fair</c:v>
                </c:pt>
                <c:pt idx="3">
                  <c:v>Poor</c:v>
                </c:pt>
                <c:pt idx="4">
                  <c:v>Very poor</c:v>
                </c:pt>
              </c:strCache>
            </c:strRef>
          </c:cat>
          <c:val>
            <c:numRef>
              <c:f>'Donor size data'!$J$10:$J$14</c:f>
              <c:numCache>
                <c:formatCode>0</c:formatCode>
                <c:ptCount val="5"/>
                <c:pt idx="0">
                  <c:v>18.462052903635087</c:v>
                </c:pt>
                <c:pt idx="1">
                  <c:v>19.744821397508719</c:v>
                </c:pt>
                <c:pt idx="2">
                  <c:v>23.583179414907708</c:v>
                </c:pt>
                <c:pt idx="3">
                  <c:v>28.966714363081323</c:v>
                </c:pt>
                <c:pt idx="4">
                  <c:v>9.2432319208671583</c:v>
                </c:pt>
              </c:numCache>
            </c:numRef>
          </c:val>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6.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8.xml.rels><?xml version="1.0" encoding="UTF-8" standalone="yes"?>
<Relationships xmlns="http://schemas.openxmlformats.org/package/2006/relationships"><Relationship Id="rId1" Type="http://schemas.openxmlformats.org/officeDocument/2006/relationships/chart" Target="../charts/chart7.xml"/></Relationships>
</file>

<file path=xl/drawings/_rels/drawing9.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drawing1.xml><?xml version="1.0" encoding="utf-8"?>
<xdr:wsDr xmlns:xdr="http://schemas.openxmlformats.org/drawingml/2006/spreadsheetDrawing" xmlns:a="http://schemas.openxmlformats.org/drawingml/2006/main">
  <xdr:twoCellAnchor>
    <xdr:from>
      <xdr:col>4</xdr:col>
      <xdr:colOff>304800</xdr:colOff>
      <xdr:row>0</xdr:row>
      <xdr:rowOff>185737</xdr:rowOff>
    </xdr:from>
    <xdr:to>
      <xdr:col>23</xdr:col>
      <xdr:colOff>857250</xdr:colOff>
      <xdr:row>15</xdr:row>
      <xdr:rowOff>71437</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171449</xdr:colOff>
      <xdr:row>6</xdr:row>
      <xdr:rowOff>4762</xdr:rowOff>
    </xdr:from>
    <xdr:to>
      <xdr:col>23</xdr:col>
      <xdr:colOff>85724</xdr:colOff>
      <xdr:row>20</xdr:row>
      <xdr:rowOff>80962</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571500</xdr:colOff>
      <xdr:row>3</xdr:row>
      <xdr:rowOff>52387</xdr:rowOff>
    </xdr:from>
    <xdr:to>
      <xdr:col>22</xdr:col>
      <xdr:colOff>152400</xdr:colOff>
      <xdr:row>17</xdr:row>
      <xdr:rowOff>128587</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781050</xdr:colOff>
      <xdr:row>2</xdr:row>
      <xdr:rowOff>171450</xdr:rowOff>
    </xdr:from>
    <xdr:to>
      <xdr:col>13</xdr:col>
      <xdr:colOff>228600</xdr:colOff>
      <xdr:row>36</xdr:row>
      <xdr:rowOff>114299</xdr:rowOff>
    </xdr:to>
    <mc:AlternateContent xmlns:mc="http://schemas.openxmlformats.org/markup-compatibility/2006" xmlns:a14="http://schemas.microsoft.com/office/drawing/2010/main">
      <mc:Choice Requires="a14">
        <xdr:graphicFrame macro="">
          <xdr:nvGraphicFramePr>
            <xdr:cNvPr id="2" name="total_points"/>
            <xdr:cNvGraphicFramePr/>
          </xdr:nvGraphicFramePr>
          <xdr:xfrm>
            <a:off x="0" y="0"/>
            <a:ext cx="0" cy="0"/>
          </xdr:xfrm>
          <a:graphic>
            <a:graphicData uri="http://schemas.microsoft.com/office/drawing/2010/slicer">
              <sle:slicer xmlns:sle="http://schemas.microsoft.com/office/drawing/2010/slicer" name="total_points"/>
            </a:graphicData>
          </a:graphic>
        </xdr:graphicFrame>
      </mc:Choice>
      <mc:Fallback xmlns="">
        <xdr:sp macro="" textlink="">
          <xdr:nvSpPr>
            <xdr:cNvPr id="2" name="Rectangle 1"/>
            <xdr:cNvSpPr>
              <a:spLocks noTextEdit="1"/>
            </xdr:cNvSpPr>
          </xdr:nvSpPr>
          <xdr:spPr>
            <a:xfrm>
              <a:off x="8877300" y="552450"/>
              <a:ext cx="2143125" cy="6419849"/>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14</xdr:col>
      <xdr:colOff>190499</xdr:colOff>
      <xdr:row>8</xdr:row>
      <xdr:rowOff>42861</xdr:rowOff>
    </xdr:from>
    <xdr:to>
      <xdr:col>29</xdr:col>
      <xdr:colOff>28575</xdr:colOff>
      <xdr:row>27</xdr:row>
      <xdr:rowOff>66674</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0.30704</cdr:x>
      <cdr:y>0.02484</cdr:y>
    </cdr:from>
    <cdr:to>
      <cdr:x>0.77653</cdr:x>
      <cdr:y>0.10588</cdr:y>
    </cdr:to>
    <cdr:sp macro="" textlink="">
      <cdr:nvSpPr>
        <cdr:cNvPr id="2" name="TextBox 1"/>
        <cdr:cNvSpPr txBox="1"/>
      </cdr:nvSpPr>
      <cdr:spPr>
        <a:xfrm xmlns:a="http://schemas.openxmlformats.org/drawingml/2006/main">
          <a:off x="3114676" y="90489"/>
          <a:ext cx="4762500" cy="2952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1100" b="1"/>
            <a:t>Format of publication for 22 indicators scored on</a:t>
          </a:r>
          <a:r>
            <a:rPr lang="en-GB" sz="1100" b="1" baseline="0"/>
            <a:t> format</a:t>
          </a:r>
          <a:endParaRPr lang="en-GB" sz="1100" b="1"/>
        </a:p>
      </cdr:txBody>
    </cdr:sp>
  </cdr:relSizeAnchor>
</c:userShapes>
</file>

<file path=xl/drawings/drawing6.xml><?xml version="1.0" encoding="utf-8"?>
<xdr:wsDr xmlns:xdr="http://schemas.openxmlformats.org/drawingml/2006/spreadsheetDrawing" xmlns:a="http://schemas.openxmlformats.org/drawingml/2006/main">
  <xdr:twoCellAnchor editAs="oneCell">
    <xdr:from>
      <xdr:col>5</xdr:col>
      <xdr:colOff>403777</xdr:colOff>
      <xdr:row>3</xdr:row>
      <xdr:rowOff>114300</xdr:rowOff>
    </xdr:from>
    <xdr:to>
      <xdr:col>7</xdr:col>
      <xdr:colOff>41828</xdr:colOff>
      <xdr:row>16</xdr:row>
      <xdr:rowOff>47625</xdr:rowOff>
    </xdr:to>
    <mc:AlternateContent xmlns:mc="http://schemas.openxmlformats.org/markup-compatibility/2006">
      <mc:Choice xmlns:a14="http://schemas.microsoft.com/office/drawing/2010/main" Requires="a14">
        <xdr:graphicFrame macro="">
          <xdr:nvGraphicFramePr>
            <xdr:cNvPr id="2" name="total_points 1"/>
            <xdr:cNvGraphicFramePr/>
          </xdr:nvGraphicFramePr>
          <xdr:xfrm>
            <a:off x="0" y="0"/>
            <a:ext cx="0" cy="0"/>
          </xdr:xfrm>
          <a:graphic>
            <a:graphicData uri="http://schemas.microsoft.com/office/drawing/2010/slicer">
              <sle:slicer xmlns:sle="http://schemas.microsoft.com/office/drawing/2010/slicer" name="total_points 1"/>
            </a:graphicData>
          </a:graphic>
        </xdr:graphicFrame>
      </mc:Choice>
      <mc:Fallback>
        <xdr:sp macro="" textlink="">
          <xdr:nvSpPr>
            <xdr:cNvPr id="0" name=""/>
            <xdr:cNvSpPr>
              <a:spLocks noTextEdit="1"/>
            </xdr:cNvSpPr>
          </xdr:nvSpPr>
          <xdr:spPr>
            <a:xfrm>
              <a:off x="5215973" y="760343"/>
              <a:ext cx="1824659" cy="2525782"/>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5</xdr:col>
      <xdr:colOff>428625</xdr:colOff>
      <xdr:row>17</xdr:row>
      <xdr:rowOff>66675</xdr:rowOff>
    </xdr:from>
    <xdr:to>
      <xdr:col>7</xdr:col>
      <xdr:colOff>66676</xdr:colOff>
      <xdr:row>30</xdr:row>
      <xdr:rowOff>114300</xdr:rowOff>
    </xdr:to>
    <mc:AlternateContent xmlns:mc="http://schemas.openxmlformats.org/markup-compatibility/2006" xmlns:a14="http://schemas.microsoft.com/office/drawing/2010/main">
      <mc:Choice Requires="a14">
        <xdr:graphicFrame macro="">
          <xdr:nvGraphicFramePr>
            <xdr:cNvPr id="3" name="indicator_name"/>
            <xdr:cNvGraphicFramePr/>
          </xdr:nvGraphicFramePr>
          <xdr:xfrm>
            <a:off x="0" y="0"/>
            <a:ext cx="0" cy="0"/>
          </xdr:xfrm>
          <a:graphic>
            <a:graphicData uri="http://schemas.microsoft.com/office/drawing/2010/slicer">
              <sle:slicer xmlns:sle="http://schemas.microsoft.com/office/drawing/2010/slicer" name="indicator_name"/>
            </a:graphicData>
          </a:graphic>
        </xdr:graphicFrame>
      </mc:Choice>
      <mc:Fallback xmlns="">
        <xdr:sp macro="" textlink="">
          <xdr:nvSpPr>
            <xdr:cNvPr id="3" name="Rectangle 2"/>
            <xdr:cNvSpPr>
              <a:spLocks noTextEdit="1"/>
            </xdr:cNvSpPr>
          </xdr:nvSpPr>
          <xdr:spPr>
            <a:xfrm>
              <a:off x="5229225" y="3390900"/>
              <a:ext cx="1828800" cy="2524125"/>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0</xdr:col>
      <xdr:colOff>47625</xdr:colOff>
      <xdr:row>85</xdr:row>
      <xdr:rowOff>171450</xdr:rowOff>
    </xdr:from>
    <xdr:to>
      <xdr:col>11</xdr:col>
      <xdr:colOff>171450</xdr:colOff>
      <xdr:row>102</xdr:row>
      <xdr:rowOff>9526</xdr:rowOff>
    </xdr:to>
    <xdr:graphicFrame macro="">
      <xdr:nvGraphicFramePr>
        <xdr:cNvPr id="8" name="Chart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371475</xdr:colOff>
      <xdr:row>79</xdr:row>
      <xdr:rowOff>147637</xdr:rowOff>
    </xdr:from>
    <xdr:to>
      <xdr:col>15</xdr:col>
      <xdr:colOff>771525</xdr:colOff>
      <xdr:row>94</xdr:row>
      <xdr:rowOff>33337</xdr:rowOff>
    </xdr:to>
    <xdr:graphicFrame macro="">
      <xdr:nvGraphicFramePr>
        <xdr:cNvPr id="9" name="Chart 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466725</xdr:colOff>
      <xdr:row>9</xdr:row>
      <xdr:rowOff>152400</xdr:rowOff>
    </xdr:from>
    <xdr:to>
      <xdr:col>8</xdr:col>
      <xdr:colOff>66675</xdr:colOff>
      <xdr:row>23</xdr:row>
      <xdr:rowOff>9525</xdr:rowOff>
    </xdr:to>
    <mc:AlternateContent xmlns:mc="http://schemas.openxmlformats.org/markup-compatibility/2006" xmlns:a14="http://schemas.microsoft.com/office/drawing/2010/main">
      <mc:Choice Requires="a14">
        <xdr:graphicFrame macro="">
          <xdr:nvGraphicFramePr>
            <xdr:cNvPr id="2" name="indicator_name 1"/>
            <xdr:cNvGraphicFramePr/>
          </xdr:nvGraphicFramePr>
          <xdr:xfrm>
            <a:off x="0" y="0"/>
            <a:ext cx="0" cy="0"/>
          </xdr:xfrm>
          <a:graphic>
            <a:graphicData uri="http://schemas.microsoft.com/office/drawing/2010/slicer">
              <sle:slicer xmlns:sle="http://schemas.microsoft.com/office/drawing/2010/slicer" name="indicator_name 1"/>
            </a:graphicData>
          </a:graphic>
        </xdr:graphicFrame>
      </mc:Choice>
      <mc:Fallback xmlns="">
        <xdr:sp macro="" textlink="">
          <xdr:nvSpPr>
            <xdr:cNvPr id="2" name="Rectangle 1"/>
            <xdr:cNvSpPr>
              <a:spLocks noTextEdit="1"/>
            </xdr:cNvSpPr>
          </xdr:nvSpPr>
          <xdr:spPr>
            <a:xfrm>
              <a:off x="5124450" y="1866900"/>
              <a:ext cx="1828800" cy="2524125"/>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8.xml><?xml version="1.0" encoding="utf-8"?>
<xdr:wsDr xmlns:xdr="http://schemas.openxmlformats.org/drawingml/2006/spreadsheetDrawing" xmlns:a="http://schemas.openxmlformats.org/drawingml/2006/main">
  <xdr:twoCellAnchor>
    <xdr:from>
      <xdr:col>15</xdr:col>
      <xdr:colOff>247649</xdr:colOff>
      <xdr:row>10</xdr:row>
      <xdr:rowOff>61912</xdr:rowOff>
    </xdr:from>
    <xdr:to>
      <xdr:col>36</xdr:col>
      <xdr:colOff>333375</xdr:colOff>
      <xdr:row>24</xdr:row>
      <xdr:rowOff>138112</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13</xdr:col>
      <xdr:colOff>95250</xdr:colOff>
      <xdr:row>5</xdr:row>
      <xdr:rowOff>19050</xdr:rowOff>
    </xdr:from>
    <xdr:to>
      <xdr:col>23</xdr:col>
      <xdr:colOff>304800</xdr:colOff>
      <xdr:row>19</xdr:row>
      <xdr:rowOff>95250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1876425</xdr:colOff>
      <xdr:row>31</xdr:row>
      <xdr:rowOff>109537</xdr:rowOff>
    </xdr:from>
    <xdr:to>
      <xdr:col>4</xdr:col>
      <xdr:colOff>2133600</xdr:colOff>
      <xdr:row>45</xdr:row>
      <xdr:rowOff>185737</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1234109</xdr:colOff>
      <xdr:row>57</xdr:row>
      <xdr:rowOff>90281</xdr:rowOff>
    </xdr:from>
    <xdr:to>
      <xdr:col>15</xdr:col>
      <xdr:colOff>637761</xdr:colOff>
      <xdr:row>71</xdr:row>
      <xdr:rowOff>166481</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5</xdr:col>
      <xdr:colOff>1162050</xdr:colOff>
      <xdr:row>23</xdr:row>
      <xdr:rowOff>14287</xdr:rowOff>
    </xdr:from>
    <xdr:to>
      <xdr:col>11</xdr:col>
      <xdr:colOff>962025</xdr:colOff>
      <xdr:row>37</xdr:row>
      <xdr:rowOff>90487</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10</xdr:col>
      <xdr:colOff>95250</xdr:colOff>
      <xdr:row>13</xdr:row>
      <xdr:rowOff>14287</xdr:rowOff>
    </xdr:from>
    <xdr:to>
      <xdr:col>16</xdr:col>
      <xdr:colOff>19050</xdr:colOff>
      <xdr:row>27</xdr:row>
      <xdr:rowOff>90487</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hreya/Dropbox/WS2_Research_Monitoring/Aid%20Transparency%20Index/2013/Results/2013%20data/Analysis/Final%20data%20analysis%20with%20asks_2.10.2013_DO%20NOT%20ED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t chart"/>
      <sheetName val="tick-cross chart"/>
      <sheetName val="Put exported data here"/>
      <sheetName val="List of Asks"/>
      <sheetName val="Instructions after new data"/>
      <sheetName val="Filter for donor attributes"/>
      <sheetName val="Pivot weighted overall results"/>
      <sheetName val="Chart overall results"/>
      <sheetName val="Final List - 2013"/>
      <sheetName val="Org_codes lookup table"/>
      <sheetName val="Table of performance groups"/>
      <sheetName val="Pivot all weighted results"/>
      <sheetName val="Pivot IATI or Other formats"/>
      <sheetName val="IATI v other formats chart"/>
      <sheetName val="Pivot all scores by indicator"/>
      <sheetName val="Indicators published at all"/>
      <sheetName val="Chart av scores for indicators"/>
      <sheetName val="Indicators by donor"/>
      <sheetName val="Grad form by indicator x"/>
      <sheetName val="Grad form by indicator use"/>
      <sheetName val="Grad form count by donor x"/>
      <sheetName val="Grad form count by donor use"/>
      <sheetName val="Binary form by donor x"/>
      <sheetName val="Binary form by donor use"/>
      <sheetName val="Subgroups 1 - pivot"/>
      <sheetName val="Overall results by subgroups"/>
      <sheetName val="Subgroups by Performance Groups"/>
      <sheetName val="Subgroups 2 chart %"/>
      <sheetName val="Subgroups 2 - pivot"/>
      <sheetName val="3 categories - all donors"/>
      <sheetName val="Bilaterals analysis"/>
      <sheetName val="Multilaterals analysis"/>
      <sheetName val="EU EC analysis"/>
      <sheetName val="EU EC Perf table"/>
      <sheetName val="EBRD"/>
      <sheetName val="US Analysis"/>
      <sheetName val="DAC members"/>
      <sheetName val="Germany"/>
      <sheetName val="France"/>
      <sheetName val="Japan"/>
      <sheetName val="UK"/>
      <sheetName val="UN"/>
      <sheetName val="World Bank"/>
      <sheetName val="Gates"/>
      <sheetName val="Donor size information"/>
      <sheetName val="Performance groups analysis"/>
      <sheetName val="Fragmentation"/>
      <sheetName val="Publication format by donor"/>
      <sheetName val="tick-cross chart - data"/>
      <sheetName val="dot chart - data"/>
      <sheetName val="Sheet14"/>
      <sheetName val="Final data analysis with asks_2"/>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pivotCacheDefinition1.xml><?xml version="1.0" encoding="utf-8"?>
<pivotCacheDefinition xmlns="http://schemas.openxmlformats.org/spreadsheetml/2006/main" xmlns:r="http://schemas.openxmlformats.org/officeDocument/2006/relationships" r:id="rId1" refreshedBy="Shreya" refreshedDate="41863.623365740743" createdVersion="5" refreshedVersion="5" minRefreshableVersion="3" recordCount="68">
  <cacheSource type="worksheet">
    <worksheetSource name="'Donor size data'!$A$3:$G$71"/>
  </cacheSource>
  <cacheFields count="7">
    <cacheField name="Org ID" numFmtId="0">
      <sharedItems containsMixedTypes="1" containsNumber="1" containsInteger="1" minValue="41114" maxValue="47122"/>
    </cacheField>
    <cacheField name="Donor Names" numFmtId="0">
      <sharedItems/>
    </cacheField>
    <cacheField name="Sum of indicator_total_weighted_points" numFmtId="2">
      <sharedItems containsSemiMixedTypes="0" containsString="0" containsNumber="1" minValue="2.2197779999999998" maxValue="90.637111812083049"/>
    </cacheField>
    <cacheField name="Rank in 2014" numFmtId="0">
      <sharedItems containsSemiMixedTypes="0" containsString="0" containsNumber="1" containsInteger="1" minValue="1" maxValue="68"/>
    </cacheField>
    <cacheField name="Performance group" numFmtId="0">
      <sharedItems count="5">
        <s v="Good"/>
        <s v="Very good"/>
        <s v="Fair"/>
        <s v="Very Poor"/>
        <s v="Poor"/>
      </sharedItems>
    </cacheField>
    <cacheField name="Size" numFmtId="1">
      <sharedItems containsSemiMixedTypes="0" containsString="0" containsNumber="1" minValue="7.9226746949770197" maxValue="18000"/>
    </cacheField>
    <cacheField name="Size group" numFmtId="2">
      <sharedItems count="5">
        <s v="Large"/>
        <s v="Medium"/>
        <s v="Very small"/>
        <s v="Small"/>
        <s v="Very large"/>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Shreya" refreshedDate="41884.528872337964" createdVersion="5" refreshedVersion="5" minRefreshableVersion="3" recordCount="70">
  <cacheSource type="worksheet">
    <worksheetSource name="Table12"/>
  </cacheSource>
  <cacheFields count="4">
    <cacheField name="Commitment" numFmtId="164">
      <sharedItems containsSemiMixedTypes="0" containsString="0" containsNumber="1" minValue="0" maxValue="100"/>
    </cacheField>
    <cacheField name="Organisation" numFmtId="164">
      <sharedItems containsSemiMixedTypes="0" containsString="0" containsNumber="1" minValue="0" maxValue="100.03999999999999"/>
    </cacheField>
    <cacheField name="Activity" numFmtId="164">
      <sharedItems containsSemiMixedTypes="0" containsString="0" containsNumber="1" minValue="0" maxValue="100"/>
    </cacheField>
    <cacheField name="Column1" numFmtId="164">
      <sharedItems count="6">
        <s v="Very good"/>
        <s v="Good"/>
        <s v="Fair"/>
        <s v="Poor"/>
        <s v="Very Poor"/>
        <e v="#N/A"/>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r:id="rId1" refreshedBy="Shreya" refreshedDate="41884.535530439818" createdVersion="5" refreshedVersion="5" minRefreshableVersion="3" recordCount="2652">
  <cacheSource type="worksheet">
    <worksheetSource ref="A1:AA2653" sheet="Raw data"/>
  </cacheSource>
  <cacheFields count="27">
    <cacheField name="id" numFmtId="0">
      <sharedItems/>
    </cacheField>
    <cacheField name="organisation_name" numFmtId="0">
      <sharedItems count="70">
        <s v="Austria, ADA"/>
        <s v="Croatia, MFA"/>
        <s v="Czech Republic, CzDA"/>
        <s v="EBRD"/>
        <s v="EIB"/>
        <s v="Estonia, MFA"/>
        <s v="France, MINEFI"/>
        <s v="Greece, HellenicAid"/>
        <s v="Hungary, MFA"/>
        <s v="IMF"/>
        <s v="Japan, MOFA"/>
        <s v="Korea, KOICA"/>
        <s v="Latvia, MFA"/>
        <s v="Portugal, CICL"/>
        <s v="Romania, MFA"/>
        <s v="Slovakia, SAIDC"/>
        <s v="Slovenia, MFA"/>
        <s v="IADB"/>
        <s v="GAVI"/>
        <s v="AsDB"/>
        <s v="EC, ECHO"/>
        <s v="Sweden, MFA-Sida"/>
        <s v="Spain, MAEC"/>
        <s v="Brazil, ABC"/>
        <s v="Switzerland, SDC"/>
        <s v="U.S., MCC"/>
        <s v="U.S., Defense"/>
        <s v="Germany, BMZ-KFW"/>
        <s v="U.S., USAID"/>
        <s v="Japan, JICA"/>
        <s v="UK, FCO"/>
        <s v="AfDB"/>
        <s v="Ireland, IrishAid"/>
        <s v="Canada, DFATD"/>
        <s v="New Zealand, MFAT"/>
        <s v="Poland, MFA"/>
        <s v="Denmark, MFA"/>
        <s v="UN OCHA"/>
        <s v="Norway, MFA"/>
        <s v="Netherlands, MFA"/>
        <s v="Luxembourg, MFA"/>
        <s v="Bulgaria, MFA"/>
        <s v="Finland, MFA"/>
        <s v="Belgium, DGCD"/>
        <s v="Cyprus, CyprusAid"/>
        <s v="Lithuania, MFA"/>
        <s v="Germany, BMZ-GIZ"/>
        <s v="UNICEF"/>
        <s v="France, AFD"/>
        <s v="UK, MOD"/>
        <s v="EC, FPI"/>
        <s v="Malta, MFA"/>
        <s v="Italy, MAE"/>
        <s v="EC, DEVCO"/>
        <s v="U.S., State"/>
        <s v="UNDP"/>
        <s v="World Bank, IFC"/>
        <s v="EC, ELARG"/>
        <s v="Gates Foundation"/>
        <s v="U.S., PEPFAR"/>
        <s v="World Bank, IDA"/>
        <s v="U.S., Treasury"/>
        <s v="China, MOFCOM"/>
        <s v="Germany, AA"/>
        <s v="UK, DFID"/>
        <s v="Global Fund"/>
        <s v="Australia, DFAT"/>
        <s v="France, MAEDI"/>
        <s v="France, MAE" u="1"/>
        <s v="Germany, FO" u="1"/>
      </sharedItems>
    </cacheField>
    <cacheField name="organisation_code" numFmtId="0">
      <sharedItems containsMixedTypes="1" containsNumber="1" containsInteger="1" minValue="41114" maxValue="47122"/>
    </cacheField>
    <cacheField name="indicator_total_weighted_points" numFmtId="0">
      <sharedItems containsSemiMixedTypes="0" containsString="0" containsNumber="1" minValue="0" maxValue="4.33" count="719">
        <n v="0"/>
        <n v="0.54327899999999996"/>
        <n v="1.0832249999999899"/>
        <n v="1.085"/>
        <n v="2.085"/>
        <n v="0.463287"/>
        <n v="1.25"/>
        <n v="1.1098889999999999"/>
        <n v="0.61993799999999899"/>
        <n v="0.69493050000000001"/>
        <n v="3.33"/>
        <n v="0.81499999999999995"/>
        <n v="0.92999999999999905"/>
        <n v="0.309968999999999"/>
        <n v="1.625"/>
        <n v="2.2197779999999998"/>
        <n v="1.31535"/>
        <n v="0.21645"/>
        <n v="0.27163949999999998"/>
        <n v="0.54161249999999905"/>
        <n v="2.165"/>
        <n v="0.72159449999999903"/>
        <n v="1.4431889999999901"/>
        <n v="0.69499999999999995"/>
        <n v="0.2316435"/>
        <n v="1.5039156560053799"/>
        <n v="1.54849999999999"/>
        <n v="1.54566576506955"/>
        <n v="1.1817499999999901"/>
        <n v="1.7669999999999999"/>
        <n v="1.7482418856259601"/>
        <n v="2.9450927357032399"/>
        <n v="3.0852395672333799"/>
        <n v="4.0818782843894796"/>
        <n v="4.1104884080370896"/>
        <n v="3.04739644513137"/>
        <n v="2.05994999999999"/>
        <n v="2.0304999999999902"/>
        <n v="1.8725000000000001"/>
        <n v="1.34006723338485"/>
        <n v="2.0373516228747999"/>
        <n v="1.3593500000000001"/>
        <n v="4.17"/>
        <n v="2.5"/>
        <n v="2.4641999999999999"/>
        <n v="1.6299999999999899"/>
        <n v="1.63"/>
        <n v="1.8599999999999901"/>
        <n v="3.01638040712468"/>
        <n v="2.3712499999999999"/>
        <n v="3.21692111959287"/>
        <n v="3.25"/>
        <n v="3.2475000000000001"/>
        <n v="2.17"/>
        <n v="2.10788167938931"/>
        <n v="3.2633999999999999"/>
        <n v="1.5477171824973299"/>
        <n v="1.34849999999999"/>
        <n v="1.60889007470651"/>
        <n v="2.9002001067235801"/>
        <n v="3.0874999999999999"/>
        <n v="3.1361307363927402"/>
        <n v="4.1135000000000002"/>
        <n v="3.1392499999999899"/>
        <n v="2.0615000000000001"/>
        <n v="1.5014485294117601"/>
        <n v="2.0583735325506902"/>
        <n v="2.34375"/>
        <n v="3.0303"/>
        <n v="2.78"/>
        <n v="1.5365046972860099"/>
        <n v="1.54390605427974"/>
        <n v="1.4826534446763999"/>
        <n v="1.54671346555323"/>
        <n v="1.5782818371607501"/>
        <n v="1.69186221294363"/>
        <n v="1.3109311064718101"/>
        <n v="1.2882150313152301"/>
        <n v="2.9562108559498901"/>
        <n v="1.7562891440501001"/>
        <n v="1.9646999999999999"/>
        <n v="1.62903388272516"/>
        <n v="1.5150589350478001"/>
        <n v="1.5318501857201801"/>
        <n v="0.815403066271018"/>
        <n v="1.6298320557204"/>
        <n v="1.6299664111440799"/>
        <n v="1.8598464713165399"/>
        <n v="1.85942507418397"/>
        <n v="0.93170599900842799"/>
        <n v="1.8229995872884801"/>
        <n v="3.1091621956252502"/>
        <n v="2.0706317867719601"/>
        <n v="2.63621543541064"/>
        <n v="2.1424119325229398"/>
        <n v="3.3516844820470402"/>
        <n v="2.2109269500619"/>
        <n v="2.22415105241436"/>
        <n v="1.1436147364942999"/>
        <n v="1.1323219890963101"/>
        <n v="1.1457111597374099"/>
        <n v="1.18942509286009"/>
        <n v="1.10801650846058"/>
        <n v="1.10122212126218"/>
        <n v="4.0493370923465202"/>
        <n v="2.43055555555555"/>
        <n v="3.1635"/>
        <n v="1.6048937944839801"/>
        <n v="1.6290030026690301"/>
        <n v="1.7943249555160099"/>
        <n v="0.98124339323467202"/>
        <n v="1.6926579181494601"/>
        <n v="1.87718900966183"/>
        <n v="1.55612244897959"/>
        <n v="1.998"/>
        <n v="1.3458794345898"/>
        <n v="1.5483644678492201"/>
        <n v="2.5735171840354698"/>
        <n v="1.389861"/>
        <n v="1.665"/>
        <n v="1.62724351747463"/>
        <n v="1.8595967042497801"/>
        <n v="0.95609693877551005"/>
        <n v="2.3472222222222201"/>
        <n v="4.33"/>
        <n v="3.9691666666666601"/>
        <n v="3.56582136015325"/>
        <n v="1.26583333333333"/>
        <n v="2.38636363636363"/>
        <n v="2.4975000000000001"/>
        <n v="1.2224999999999999"/>
        <n v="1.39499999999999"/>
        <n v="1.6868016194331901"/>
        <n v="1.0323"/>
        <n v="1.23970146726862"/>
        <n v="1.44335948081264"/>
        <n v="1.4789582392776499"/>
        <n v="1.6876455981941301"/>
        <n v="2.16939841986455"/>
        <n v="1.30040322580645"/>
        <n v="0.93240000000000001"/>
        <n v="1.62871938146146"/>
        <n v="1.28538196076127"/>
        <n v="1.6266009750939801"/>
        <n v="1.60655390918702"/>
        <n v="1.81163989074248"/>
        <n v="1.0187499999999901"/>
        <n v="1.07696428571428"/>
        <n v="1.50458606173994"/>
        <n v="1.5447947614593001"/>
        <n v="1.6652915809167399"/>
        <n v="1.50118007483629"/>
        <n v="1.7668434050514501"/>
        <n v="1.58511496725912"/>
        <n v="2.0979000000000001"/>
        <n v="1.4281162632978699"/>
        <n v="1.3536640624999901"/>
        <n v="1.5274118750000001"/>
        <n v="1.54299874999999"/>
        <n v="1.5452909374999899"/>
        <n v="1.75444499999999"/>
        <n v="1.38511875"/>
        <n v="2.7968281250000002"/>
        <n v="2.2636428125000001"/>
        <n v="2.36228562499999"/>
        <n v="2.2916524999999899"/>
        <n v="1.17860233160621"/>
        <n v="1.1784946808510599"/>
        <n v="1.183870625"/>
        <n v="1.1216819948186501"/>
        <n v="2.4500000000000002"/>
        <n v="3.1301999999999999"/>
        <n v="1.08797024952015"/>
        <n v="1.2209357005758099"/>
        <n v="1.24148752399232"/>
        <n v="2.16926583493282"/>
        <n v="1.9341814159291999"/>
        <n v="1.11181612478031"/>
        <n v="2.2102583922261401"/>
        <n v="2.9449136643233702"/>
        <n v="1.7567567567567499"/>
        <n v="1.5457548652694599"/>
        <n v="1.5441077844311299"/>
        <n v="1.7319161676646699"/>
        <n v="1.7601085329341299"/>
        <n v="2.8948353293413098"/>
        <n v="1.7982"/>
        <n v="1.30379204762917"/>
        <n v="1.1666214650223199"/>
        <n v="0.89422985328513704"/>
        <n v="1.0597079523708199"/>
        <n v="1.5276787688709299"/>
        <n v="1.7246427812034799"/>
        <n v="1.4984409951094999"/>
        <n v="2.54920795237082"/>
        <n v="2.4761295981288498"/>
        <n v="2.1925516159897902"/>
        <n v="1.11303051243886"/>
        <n v="2.2644000000000002"/>
        <n v="1.5596715621803201"/>
        <n v="1.59051841297676"/>
        <n v="1.6281539529446101"/>
        <n v="1.39506795265234"/>
        <n v="2.1657167908811901"/>
        <n v="1.93050379950314"/>
        <n v="2.0108870378488901"/>
        <n v="2.0580593307028998"/>
        <n v="0.92657400000000001"/>
        <n v="1.0656000000000001"/>
        <n v="1.1322000000000001"/>
        <n v="2.7234335133540299"/>
        <n v="1.48554376879385"/>
        <n v="1.6067181757433999"/>
        <n v="1.8596892749749401"/>
        <n v="1.0437743543271401"/>
        <n v="1.84524056130972"/>
        <n v="3.21416638823922"/>
        <n v="2.4375"/>
        <n v="3.2445706648847299"/>
        <n v="2.5308000000000002"/>
        <n v="1.51449969097651"/>
        <n v="1.5469133189122299"/>
        <n v="1.74527317676143"/>
        <n v="0.76590000000000003"/>
        <n v="3.0636000000000001"/>
        <n v="1.24460792525773"/>
        <n v="1.51588949742268"/>
        <n v="1.5371572164948399"/>
        <n v="1.75405670103092"/>
        <n v="2.1712773840206099"/>
        <n v="2.1646815286624199"/>
        <n v="1.5117321127057799"/>
        <n v="1.5397531131279001"/>
        <n v="1.74986428872942"/>
        <n v="2.2844149948114798"/>
        <n v="3.03162990713381"/>
        <n v="1.54599658703071"/>
        <n v="1.39954692832764"/>
        <n v="1.5434931740614299"/>
        <n v="1.54474488054607"/>
        <n v="1.7300300353356799"/>
        <n v="1.72986348122866"/>
        <n v="3.0276023890784902"/>
        <n v="2.2113175675675598"/>
        <n v="2.1666666666666599"/>
        <n v="1.5454371379619001"/>
        <n v="1.30277043655039"/>
        <n v="1.48219983801295"/>
        <n v="1.5436340680505001"/>
        <n v="1.5467733789856599"/>
        <n v="1.62311821816105"/>
        <n v="1.71701501079913"/>
        <n v="2.9898947084233201"/>
        <n v="2.2611589726918"/>
        <n v="1.71875"/>
        <n v="2.8971"/>
        <n v="1.60645263157894"/>
        <n v="1.6120879120879099"/>
        <n v="1.56155716130313"/>
        <n v="1.62463815789473"/>
        <n v="1.6230788140643599"/>
        <n v="1.79930563460443"/>
        <n v="3.2497275318578098"/>
        <n v="2.1579476861167"/>
        <n v="3.8942568226120802"/>
        <n v="3.45904117933723"/>
        <n v="2.8265277777777702"/>
        <n v="1.75968810916179"/>
        <n v="1.78268884015594"/>
        <n v="1.24"/>
        <n v="2.00793737816764"/>
        <n v="1.7332504873294301"/>
        <n v="1.1561172027290401"/>
        <n v="2.4918831168831099"/>
        <n v="3.2301000000000002"/>
        <n v="1.3781741573033699"/>
        <n v="1.55248951048951"/>
        <n v="1.5285524475524399"/>
        <n v="1.5844055944055899"/>
        <n v="1.6197412587412501"/>
        <n v="1.59124475524475"/>
        <n v="1.8018749999999999"/>
        <n v="2.8323384831460601"/>
        <n v="2.5640999999999998"/>
        <n v="1.2110478164173"/>
        <n v="1.21005913869793"/>
        <n v="2.4260008087343299"/>
        <n v="1.9635956175298801"/>
        <n v="2.40135968459361"/>
        <n v="1.9868959765467"/>
        <n v="1.2154499999999999"/>
        <n v="1.5603707697411999"/>
        <n v="1.48749668214996"/>
        <n v="1.5465049864007201"/>
        <n v="1.53885743427017"/>
        <n v="1.76662058023572"/>
        <n v="1.5029238440616399"/>
        <n v="2.9244106980961"/>
        <n v="2.9784943336355401"/>
        <n v="3.8202533998186698"/>
        <n v="3.0986194469628199"/>
        <n v="2.0393671804170399"/>
        <n v="2.0299999999999998"/>
        <n v="1.90037307343608"/>
        <n v="2.3514677938722501"/>
        <n v="2.9636999999999998"/>
        <n v="1.6205702479338799"/>
        <n v="1.5065817201666201"/>
        <n v="1.62986396261058"/>
        <n v="1.6287756634952399"/>
        <n v="1.85817691742219"/>
        <n v="1.7456015682430699"/>
        <n v="1.8575502873563201"/>
        <n v="1.0627806563039699"/>
        <n v="2.9656946826758102"/>
        <n v="2.8053630062021102"/>
        <n v="3.1898738054398401"/>
        <n v="3.14103557263262"/>
        <n v="3.9155713874496199"/>
        <n v="3.5908837075417299"/>
        <n v="2.9907412204950998"/>
        <n v="1.7352504317789199"/>
        <n v="1.2461571675302201"/>
        <n v="1.6595758354755701"/>
        <n v="1.13996833621185"/>
        <n v="1.9138975244674701"/>
        <n v="1.2124265975820301"/>
        <n v="2.9304000000000001"/>
        <n v="1.4916805324459199"/>
        <n v="1.59135191347753"/>
        <n v="3.24459234608985"/>
        <n v="3.2472961730449201"/>
        <n v="4.2831697171381"/>
        <n v="4.2165266222961701"/>
        <n v="2.1230615640599"/>
        <n v="2.1274509803921502"/>
        <n v="1.9912728785357701"/>
        <n v="2.3643000000000001"/>
        <n v="1.4515288135593201"/>
        <n v="1.5476208047945199"/>
        <n v="1.54586241438356"/>
        <n v="1.7662833904109501"/>
        <n v="3.0824914383561599"/>
        <n v="1.2654000000000001"/>
        <n v="0.924074351978172"/>
        <n v="1.3878905184174599"/>
        <n v="1.54399693042291"/>
        <n v="1.76585499316005"/>
        <n v="1.6937195622435"/>
        <n v="1.7561521145975401"/>
        <n v="1.04386107091172"/>
        <n v="3.0554890560875498"/>
        <n v="2.4932968536251701"/>
        <n v="2.23563645690834"/>
        <n v="1.09702257181942"/>
        <n v="0.41625000000000001"/>
        <n v="3.3225895874476499" u="1"/>
        <n v="1.62961344761993" u="1"/>
        <n v="2.1003599029528202" u="1"/>
        <n v="1.10399201683047" u="1"/>
        <n v="3.2497202616629299" u="1"/>
        <n v="1.16705075526948" u="1"/>
        <n v="1.8581769174222" u="1"/>
        <n v="1.1199387985014699" u="1"/>
        <n v="1.6810330278822001" u="1"/>
        <n v="1.8034107482561801" u="1"/>
        <n v="1.6296925827773701" u="1"/>
        <n v="2.01224671052631" u="1"/>
        <n v="2.2630346042667302" u="1"/>
        <n v="1.5892499999999901" u="1"/>
        <n v="1.7437411955151501" u="1"/>
        <n v="2.04172924992517" u="1"/>
        <n v="0.95672108772063402" u="1"/>
        <n v="1.6008382962938601" u="1"/>
        <n v="1.5918539471825399" u="1"/>
        <n v="3.1382694120731398" u="1"/>
        <n v="1.5620213938288401" u="1"/>
        <n v="1.61253402586586" u="1"/>
        <n v="1.671551" u="1"/>
        <n v="1.23744580783771" u="1"/>
        <n v="1.8596674735125001" u="1"/>
        <n v="2.8082218375655099" u="1"/>
        <n v="3.1898626379243802" u="1"/>
        <n v="1.120625" u="1"/>
        <n v="1.61774415147217" u="1"/>
        <n v="1.6255705031304399" u="1"/>
        <n v="1.3025868968691501" u="1"/>
        <n v="1.6213621613713101" u="1"/>
        <n v="3.24936647173489" u="1"/>
        <n v="1.8596352812613399" u="1"/>
        <n v="3.1223568605193401" u="1"/>
        <n v="1.76353354444781" u="1"/>
        <n v="0.93174484052532802" u="1"/>
        <n v="2.2600328987324501" u="1"/>
        <n v="1.51628007508513" u="1"/>
        <n v="3.1841644657318802" u="1"/>
        <n v="1.5473795857720201" u="1"/>
        <n v="1.60655390918703" u="1"/>
        <n v="1.8397519551219601" u="1"/>
        <n v="3.7252255916899299" u="1"/>
        <n v="1.8597361114086699" u="1"/>
        <n v="3.5293051364485102" u="1"/>
        <n v="2.9885602664139599" u="1"/>
        <n v="3.2305209739494201" u="1"/>
        <n v="1.52111955844353" u="1"/>
        <n v="2.2596524684705201" u="1"/>
        <n v="3.30781264625328" u="1"/>
        <n v="1.82482002816384" u="1"/>
        <n v="1.10004343638363" u="1"/>
        <n v="2.0296197249135801" u="1"/>
        <n v="2.0398318848520498" u="1"/>
        <n v="1.2568049005258299" u="1"/>
        <n v="1.5397076375422301" u="1"/>
        <n v="1.16273680988275" u="1"/>
        <n v="1.5596715621803301" u="1"/>
        <n v="1.6283554064916701" u="1"/>
        <n v="1.1725359699392399" u="1"/>
        <n v="1.1204862711946899" u="1"/>
        <n v="1.6050691932744201" u="1"/>
        <n v="1.53660505989707" u="1"/>
        <n v="1.62821747755563" u="1"/>
        <n v="1.8368441559217901" u="1"/>
        <n v="1.62706109919621" u="1"/>
        <n v="2.6168021422132801" u="1"/>
        <n v="3.4801724967349399" u="1"/>
        <n v="1.7494331765776601" u="1"/>
        <n v="2.8307615890286599" u="1"/>
        <n v="1.547356284825" u="1"/>
        <n v="1.62436261492852" u="1"/>
        <n v="1.1042864667038099" u="1"/>
        <n v="1.16154998835783" u="1"/>
        <n v="2.1122959876543201" u="1"/>
        <n v="0.81640084884013098" u="1"/>
        <n v="1.5575319826634799" u="1"/>
        <n v="2.0191681461252" u="1"/>
        <n v="4.0906316288136004" u="1"/>
        <n v="3.1299997621391298" u="1"/>
        <n v="1.49005743803858" u="1"/>
        <n v="1.54737856998396" u="1"/>
        <n v="0.97108836797876996" u="1"/>
        <n v="1.5365942757265401" u="1"/>
        <n v="1.60796894449173" u="1"/>
        <n v="3.0266745859739701" u="1"/>
        <n v="3.0904066677250901" u="1"/>
        <n v="2.9459943293997202" u="1"/>
        <n v="2.2520897464020502" u="1"/>
        <n v="1.56243411483901" u="1"/>
        <n v="1.7863784611462401" u="1"/>
        <n v="0.924074351978171" u="1"/>
        <n v="2.9224469047364501" u="1"/>
        <n v="1.9466176470588199" u="1"/>
        <n v="1.5472394762035699" u="1"/>
        <n v="1.14099999999999" u="1"/>
        <n v="1.2326039847383401" u="1"/>
        <n v="1.54488164767331" u="1"/>
        <n v="1.16817577243469" u="1"/>
        <n v="1.45994847888489" u="1"/>
        <n v="1.6283500160375901" u="1"/>
        <n v="2.6106629496853602" u="1"/>
        <n v="2.9878142879117702" u="1"/>
        <n v="1.72447318629646" u="1"/>
        <n v="1.5098545266083201" u="1"/>
        <n v="1.6257466140307999" u="1"/>
        <n v="0.95054418398938501" u="1"/>
        <n v="1.53679723107081" u="1"/>
        <n v="0.81519710583637595" u="1"/>
        <n v="1.0130860261121699" u="1"/>
        <n v="0.82043333333333301" u="1"/>
        <n v="1.54626888614553" u="1"/>
        <n v="2.7140079537681099" u="1"/>
        <n v="2.8384176508939301" u="1"/>
        <n v="1.12644500225786" u="1"/>
        <n v="1.7300306634108999" u="1"/>
        <n v="1.1005" u="1"/>
        <n v="1.8026562643434101" u="1"/>
        <n v="1.5172957266587199" u="1"/>
        <n v="1.6284709193245701" u="1"/>
        <n v="2.1125031500282598" u="1"/>
        <n v="1.5413724613698301" u="1"/>
        <n v="2.25606746031746" u="1"/>
        <n v="3.2165341650358701" u="1"/>
        <n v="1.4838117976397101" u="1"/>
        <n v="1.6052350816887599" u="1"/>
        <n v="1.6282391003965" u="1"/>
        <n v="1.1457053903833201" u="1"/>
        <n v="1.12797642572745" u="1"/>
        <n v="1.2214145677464801" u="1"/>
        <n v="3.7248735750006099" u="1"/>
        <n v="1.7513738291316501" u="1"/>
        <n v="1.3790520632552801" u="1"/>
        <n v="1.4260950455004999" u="1"/>
        <n v="1.54175525187443" u="1"/>
        <n v="1.72981690321651" u="1"/>
        <n v="1.7666209239130399" u="1"/>
        <n v="1.8442681884918799" u="1"/>
        <n v="1.77623002153189" u="1"/>
        <n v="2.9630519210731099" u="1"/>
        <n v="0.88421945887383002" u="1"/>
        <n v="3.7972968871126001" u="1"/>
        <n v="1.1798710653954001" u="1"/>
        <n v="1.5470398646277399" u="1"/>
        <n v="1.7361910931128799" u="1"/>
        <n v="2.9492473333215701" u="1"/>
        <n v="2.2453711569513199" u="1"/>
        <n v="4.2724289462081098" u="1"/>
        <n v="1.7261248608534301" u="1"/>
        <n v="2.97211209926173" u="1"/>
        <n v="1.5110423719489501" u="1"/>
        <n v="3.8045641785101001" u="1"/>
        <n v="1.58996611583672" u="1"/>
        <n v="3.1274999999999999" u="1"/>
        <n v="1.62923545966228" u="1"/>
        <n v="1.7484971187201701" u="1"/>
        <n v="2.1110254005587401" u="1"/>
        <n v="1.8596370540695599" u="1"/>
        <n v="1.54839551282051" u="1"/>
        <n v="0.95095721234230102" u="1"/>
        <n v="1.3312972878211" u="1"/>
        <n v="1.85966870229007" u="1"/>
        <n v="1.5146953705469499" u="1"/>
        <n v="2.13258620689655" u="1"/>
        <n v="1.5503572885535399" u="1"/>
        <n v="3.0505244726882301" u="1"/>
        <n v="1.60810296618663" u="1"/>
        <n v="1.3398541433531299" u="1"/>
        <n v="1.7664656995957" u="1"/>
        <n v="1.6739999999999999" u="1"/>
        <n v="1.53685714285714" u="1"/>
        <n v="1.5187305427590201" u="1"/>
        <n v="1.1445753477893701" u="1"/>
        <n v="1.2210305495981" u="1"/>
        <n v="2.9208917785417401" u="1"/>
        <n v="1.62575060782044" u="1"/>
        <n v="1.13139464285714" u="1"/>
        <n v="2.1381761023456001" u="1"/>
        <n v="0.88297860617114998" u="1"/>
        <n v="3.0860313648537301" u="1"/>
        <n v="2.73556726415184" u="1"/>
        <n v="1.8739325798662201" u="1"/>
        <n v="1.54267857142857" u="1"/>
        <n v="1.4477696211767099" u="1"/>
        <n v="1.8593161764705799" u="1"/>
        <n v="2.8019285838738202" u="1"/>
        <n v="1.54214935064935" u="1"/>
        <n v="1.5513865665908899" u="1"/>
        <n v="1.61961776557633" u="1"/>
        <n v="1.6286251687483599" u="1"/>
        <n v="1.10139635697223" u="1"/>
        <n v="1.5926799514764101" u="1"/>
        <n v="1.1887170574195001" u="1"/>
        <n v="1.81323740997298" u="1"/>
        <n v="1.3580172348944399" u="1"/>
        <n v="1.5118501498023" u="1"/>
        <n v="1.62092843339722" u="1"/>
        <n v="1.764551" u="1"/>
        <n v="3.0853333333333302" u="1"/>
        <n v="3.1215766031068299" u="1"/>
        <n v="1.6036127646721099" u="1"/>
        <n v="2.0605171474358901" u="1"/>
        <n v="2.77755829058892" u="1"/>
        <n v="1.30294888205326" u="1"/>
        <n v="1.4940427876576901" u="1"/>
        <n v="1.2366815329187899" u="1"/>
        <n v="1.8251086536880501" u="1"/>
        <n v="1.23035048878814" u="1"/>
        <n v="1.38700513253205" u="1"/>
        <n v="1.3793624177823001" u="1"/>
        <n v="1.01497434488745" u="1"/>
        <n v="4.1074861111111103" u="1"/>
        <n v="1.51209315944365" u="1"/>
        <n v="1.4950877807763501" u="1"/>
        <n v="1.0853625125292301" u="1"/>
        <n v="2.0016606365802199" u="1"/>
        <n v="2.9511083333333299" u="1"/>
        <n v="1.62973138394289" u="1"/>
        <n v="1.85996450381679" u="1"/>
        <n v="1.7657985030922001" u="1"/>
        <n v="1.5407708573410399" u="1"/>
        <n v="1.6129060171980401" u="1"/>
        <n v="1.39412757973733" u="1"/>
        <n v="3.0408579704766598" u="1"/>
        <n v="1.7259614021652301" u="1"/>
        <n v="1.8724999999999901" u="1"/>
        <n v="1.6074505641743599" u="1"/>
        <n v="2.0584861111111099" u="1"/>
        <n v="3.3955751027981398" u="1"/>
        <n v="1.8582551594746699" u="1"/>
        <n v="1.6173848753906099" u="1"/>
        <n v="1.62886777223087" u="1"/>
        <n v="1.23082332950356" u="1"/>
        <n v="2.91219546262497" u="1"/>
        <n v="1.62684108527131" u="1"/>
        <n v="1.6244197198132599" u="1"/>
        <n v="1.8598798449612399" u="1"/>
        <n v="1.4946558179601599" u="1"/>
        <n v="2.24414411638717" u="1"/>
        <n v="2.0486883118435801" u="1"/>
        <n v="1.49207692307692" u="1"/>
        <n v="1.2099615384615301" u="1"/>
        <n v="1.54769704433497" u="1"/>
        <n v="1.7511900480772999" u="1"/>
        <n v="1.90971455185614" u="1"/>
        <n v="2.0555702479275402" u="1"/>
        <n v="1.1535384615384601" u="1"/>
        <n v="3.0484817030260301" u="1"/>
        <n v="1.15850256626602" u="1"/>
        <n v="1.5430666666666599" u="1"/>
        <n v="3.0392822817141099" u="1"/>
        <n v="1.4046274193922701" u="1"/>
        <n v="1.5474917583726999" u="1"/>
        <n v="1.2803764653832399" u="1"/>
        <n v="1.6299916352479" u="1"/>
        <n v="1.7204999999999999" u="1"/>
        <n v="1.8920167871900799" u="1"/>
        <n v="1.7669463461538399" u="1"/>
        <n v="0.93100282409272095" u="1"/>
        <n v="1.1935" u="1"/>
        <n v="1.54004900447402" u="1"/>
        <n v="1.1433962834140099" u="1"/>
        <n v="2.2595947816683601" u="1"/>
        <n v="3.0904509098738799" u="1"/>
        <n v="1.22854725551459" u="1"/>
        <n v="3.2478618421052601" u="1"/>
        <n v="1.51315073001643" u="1"/>
        <n v="1.7669504733727801" u="1"/>
        <n v="1.8124527244008" u="1"/>
        <n v="1.62881734382164" u="1"/>
        <n v="1.50341743612288" u="1"/>
        <n v="1.4318716630236801" u="1"/>
        <n v="1.6045495719082701" u="1"/>
        <n v="1.18227790453527" u="1"/>
        <n v="1.7657974137931001" u="1"/>
        <n v="1.91046225317242" u="1"/>
        <n v="1.7863169480602601" u="1"/>
        <n v="3.81230717075896" u="1"/>
        <n v="2.9222972645775598" u="1"/>
        <n v="1.5471344325538701" u="1"/>
        <n v="1.5045474950625899" u="1"/>
        <n v="1.6297125759513" u="1"/>
        <n v="2.0295908216723402" u="1"/>
        <n v="1.3912011886940401" u="1"/>
        <n v="1.54802462471424" u="1"/>
        <n v="3.1890198061020398" u="1"/>
        <n v="0.81652908067542196" u="1"/>
        <n v="1.8476180282211001" u="1"/>
        <n v="1.3894071672033399" u="1"/>
        <n v="1.53073142026057" u="1"/>
        <n v="4.0116176470588201" u="1"/>
        <n v="1.62998178249868" u="1"/>
        <n v="2.1228177280876501" u="1"/>
        <n v="1.4902548312608399" u="1"/>
        <n v="1.59876255283969" u="1"/>
        <n v="1.86739326819395" u="1"/>
        <n v="1.54627727272727" u="1"/>
        <n v="3.1903111979720999" u="1"/>
        <n v="3.04888121504022" u="1"/>
        <n v="1.7468855307009099" u="1"/>
        <n v="2.2054060421286001" u="1"/>
        <n v="1.4702452124434899" u="1"/>
        <n v="1.0926889763779499" u="1"/>
        <n v="1.5920930232558099" u="1"/>
        <n v="1.8599290076335799" u="1"/>
        <n v="1.62659343592622" u="1"/>
        <n v="2.1978" u="1"/>
        <n v="1.5470988066343001" u="1"/>
        <n v="1.6257482651052499" u="1"/>
        <n v="3.0284970238095199" u="1"/>
        <n v="1.53968640189314" u="1"/>
        <n v="1.6078917504902199" u="1"/>
        <n v="1.74841558575897" u="1"/>
        <n v="2.3075000000000001" u="1"/>
        <n v="1.5688759125971601" u="1"/>
        <n v="3.39363108428801" u="1"/>
        <n v="1.7668434050514401" u="1"/>
        <n v="1.8687515750141299" u="1"/>
        <n v="1.5409557208957401" u="1"/>
        <n v="1.62958671205929" u="1"/>
        <n v="2.71861203874494" u="1"/>
        <n v="1.60457252691546" u="1"/>
        <n v="2.1219699409262098" u="1"/>
        <n v="2.3562500000000002" u="1"/>
        <n v="1.60987107102854" u="1"/>
        <n v="1.7461966340969699" u="1"/>
        <n v="1.7224239993405699" u="1"/>
        <n v="1.6229741379310301" u="1"/>
        <n v="1.2097862634577301" u="1"/>
        <n v="1.2906530229258399" u="1"/>
        <n v="2.1653616772469002" u="1"/>
        <n v="2.28917296773131" u="1"/>
        <n v="3.3947638833910201" u="1"/>
        <n v="3.1320333333333301" u="1"/>
        <n v="1.5416397572815499" u="1"/>
        <n v="4.2019695717618903" u="1"/>
        <n v="2.9784943336355298" u="1"/>
        <n v="1.2777351190476101" u="1"/>
        <n v="2.2637061820511799" u="1"/>
        <n v="1.1252783858162501" u="1"/>
        <n v="1.47153949883629" u="1"/>
        <n v="1.750270990385" u="1"/>
        <n v="2.35430493694105" u="1"/>
        <n v="2.77458047630051" u="1"/>
        <n v="1.5029238440616499" u="1"/>
        <n v="2.3681194807994701" u="1"/>
        <n v="1.54816659090909" u="1"/>
        <n v="1.5272608412698401" u="1"/>
        <n v="1.49182376288882" u="1"/>
        <n v="2.0161053065835399" u="1"/>
        <n v="1.49030829180847" u="1"/>
        <n v="2.0305" u="1"/>
        <n v="0.93097341138379097" u="1"/>
        <n v="0.829553571428571" u="1"/>
        <n v="1.875" u="1"/>
        <n v="1.3593499999999901" u="1"/>
        <n v="1.1206499999999999" u="1"/>
        <n v="3.9047233586591199" u="1"/>
        <n v="1.08536311914323" u="1"/>
        <n v="1.0989" u="1"/>
        <n v="1.54561059555295" u="1"/>
        <n v="1.4886244954525301" u="1"/>
      </sharedItems>
    </cacheField>
    <cacheField name="indicator_id" numFmtId="0">
      <sharedItems/>
    </cacheField>
    <cacheField name="indicator_name" numFmtId="0">
      <sharedItems count="39">
        <s v="Actual dates"/>
        <s v="Contact details"/>
        <s v="Current Status"/>
        <s v="Description"/>
        <s v="Implementer"/>
        <s v="Planned dates"/>
        <s v="Title"/>
        <s v="Unique ID"/>
        <s v="Aid Type"/>
        <s v="Collaboration Type"/>
        <s v="Finance Type"/>
        <s v="Flow Type"/>
        <s v="Sector"/>
        <s v="Sub-national location"/>
        <s v="Tied Aid Status"/>
        <s v="Disbursements and expenditure"/>
        <s v="Budget"/>
        <s v="Commitments"/>
        <s v="Budget Identifier"/>
        <s v="Conditions"/>
        <s v="Impact Appraisals"/>
        <s v="Results"/>
        <s v="Budget Docs"/>
        <s v="Contracts"/>
        <s v="Evaluations"/>
        <s v="MoU"/>
        <s v="Objectives"/>
        <s v="Tenders"/>
        <s v="Audit"/>
        <s v="Total budget"/>
        <s v="Disaggregated budgets"/>
        <s v="Organisation strategy"/>
        <s v="Annual report"/>
        <s v="Allocation policy"/>
        <s v="Procurement policy"/>
        <s v="Country strategy"/>
        <s v="FOIA"/>
        <s v="Accessibility"/>
        <s v="Implementation schedules"/>
      </sharedItems>
    </cacheField>
    <cacheField name="indicator_category_name" numFmtId="0">
      <sharedItems count="3">
        <s v="activity"/>
        <s v="organisation"/>
        <s v="commitment"/>
      </sharedItems>
    </cacheField>
    <cacheField name="indicator_subcategory_name" numFmtId="0">
      <sharedItems containsBlank="1" count="7">
        <s v="basic"/>
        <s v="classifications"/>
        <s v="financial"/>
        <s v="performance"/>
        <s v="related-documents"/>
        <s v="planning"/>
        <m/>
      </sharedItems>
    </cacheField>
    <cacheField name="indicator_category_subcategory" numFmtId="0">
      <sharedItems count="8">
        <s v="activity-basic"/>
        <s v="activity-classifications"/>
        <s v="activity-financial"/>
        <s v="activity-performance"/>
        <s v="activity-related-documents"/>
        <s v="organisation-financial"/>
        <s v="organisation-planning"/>
        <s v="commitment-"/>
      </sharedItems>
    </cacheField>
    <cacheField name="indicator_order" numFmtId="0">
      <sharedItems containsSemiMixedTypes="0" containsString="0" containsNumber="1" containsInteger="1" minValue="1" maxValue="39"/>
    </cacheField>
    <cacheField name="indicator_weight" numFmtId="0">
      <sharedItems containsSemiMixedTypes="0" containsString="0" containsNumber="1" minValue="1.6299999999999999E-2" maxValue="4.3299999999999998E-2"/>
    </cacheField>
    <cacheField name="iati_manual" numFmtId="0">
      <sharedItems count="2">
        <s v="manual"/>
        <s v="iati"/>
      </sharedItems>
    </cacheField>
    <cacheField name="publication_format" numFmtId="0">
      <sharedItems containsBlank="1" count="7">
        <m/>
        <s v="website"/>
        <s v="document"/>
        <s v="pdf"/>
        <s v="machine-readable"/>
        <s v="not-applicable"/>
        <s v="iati"/>
      </sharedItems>
    </cacheField>
    <cacheField name="publication_format_points" numFmtId="0">
      <sharedItems containsSemiMixedTypes="0" containsString="0" containsNumber="1" minValue="0" maxValue="100"/>
    </cacheField>
    <cacheField name="total_points" numFmtId="0">
      <sharedItems containsSemiMixedTypes="0" containsString="0" containsNumber="1" minValue="0" maxValue="100" count="720">
        <n v="0"/>
        <n v="33.33"/>
        <n v="50"/>
        <n v="11.11"/>
        <n v="16.664999999999999"/>
        <n v="100"/>
        <n v="66.66"/>
        <n v="39.5"/>
        <n v="6.5"/>
        <n v="16.666666666699999"/>
        <n v="5.5549999999999997"/>
        <n v="92.264764172100001"/>
        <n v="95"/>
        <n v="94.826120556399999"/>
        <n v="72.5"/>
        <n v="93.991499227199995"/>
        <n v="90.618238021600007"/>
        <n v="94.930448222600006"/>
        <n v="94.269706336900001"/>
        <n v="70.378670788299999"/>
        <n v="94.928571428599994"/>
        <n v="93.571428571400006"/>
        <n v="86.290322580600005"/>
        <n v="61.754250386400003"/>
        <n v="93.887171561100004"/>
        <n v="62.642857142899999"/>
        <n v="74"/>
        <n v="92.811704834599993"/>
        <n v="72.961538461499998"/>
        <n v="98.982188295200004"/>
        <n v="75"/>
        <n v="97.137404580199998"/>
        <n v="98"/>
        <n v="94.951974386299995"/>
        <n v="86.499466382099996"/>
        <n v="89.236926360699997"/>
        <n v="72.427961579500007"/>
        <n v="69.191176470599999"/>
        <n v="94.855923159"/>
        <n v="93.75"/>
        <n v="91"/>
        <n v="66.666666666699996"/>
        <n v="94.264091858"/>
        <n v="94.718162839200005"/>
        <n v="90.960334029199998"/>
        <n v="94.890396659700002"/>
        <n v="84.853862212899998"/>
        <n v="70.480167014599999"/>
        <n v="69.258872651399997"/>
        <n v="54.039665970800002"/>
        <n v="59"/>
        <n v="99.940729001500003"/>
        <n v="92.948400923199998"/>
        <n v="93.978539001200005"/>
        <n v="50.024727992099997"/>
        <n v="99.989696670000001"/>
        <n v="99.997939333999994"/>
        <n v="99.991745769700003"/>
        <n v="99.9690900099"/>
        <n v="50.091720376799998"/>
        <n v="98.010730499399997"/>
        <n v="95.666529096199994"/>
        <n v="63.7117472853"/>
        <n v="81.114321089599997"/>
        <n v="65.920367154600001"/>
        <n v="77.4061081304"/>
        <n v="51.060668592699997"/>
        <n v="51.366075113500003"/>
        <n v="52.7011399306"/>
        <n v="52.180736824699999"/>
        <n v="52.797749296699998"/>
        <n v="54.8122162608"/>
        <n v="50.747563191799998"/>
        <n v="97.106405092200006"/>
        <n v="97.222222222200003"/>
        <n v="98.459741992900007"/>
        <n v="99.938834519599993"/>
        <n v="96.469083629899998"/>
        <n v="52.755021141599997"/>
        <n v="91.003113878999997"/>
        <n v="57.759661835700001"/>
        <n v="62.244897959200003"/>
        <n v="60"/>
        <n v="82.569290465600005"/>
        <n v="94.991685144100003"/>
        <n v="79.185144124199994"/>
        <n v="99.830890642599996"/>
        <n v="99.978317432799997"/>
        <n v="51.4030612245"/>
        <n v="72.222222222200003"/>
        <n v="91.666666666699996"/>
        <n v="82.351532567000007"/>
        <n v="58.333333333299997"/>
        <n v="95.454545454500007"/>
        <n v="90.688259109300006"/>
        <n v="31"/>
        <n v="76.055304740400004"/>
        <n v="88.549661399499996"/>
        <n v="90.733634311499998"/>
        <n v="50.101580135399999"/>
        <n v="52.0161290323"/>
        <n v="28"/>
        <n v="99.921434445499997"/>
        <n v="78.857789003799994"/>
        <n v="99.791470864700003"/>
        <n v="98.561589520699997"/>
        <n v="97.399994125899994"/>
        <n v="62.5"/>
        <n v="66.071428571400006"/>
        <n v="92.305893358299997"/>
        <n v="94.772684752100005"/>
        <n v="89.531805425599998"/>
        <n v="80.708606173999996"/>
        <n v="94.991580916700002"/>
        <n v="85.221234798899999"/>
        <n v="63"/>
        <n v="87.614494680899995"/>
        <n v="83.046875"/>
        <n v="93.706249999999997"/>
        <n v="94.662499999999994"/>
        <n v="94.803124999999994"/>
        <n v="94.325000000000003"/>
        <n v="74.46875"/>
        <n v="86.056250000000006"/>
        <n v="52.278125000000003"/>
        <n v="54.556249999999999"/>
        <n v="52.924999999999997"/>
        <n v="54.313471502600002"/>
        <n v="54.3085106383"/>
        <n v="51.6904145078"/>
        <n v="94"/>
        <n v="66.746641074899998"/>
        <n v="74.904030710200004"/>
        <n v="59.5132743363"/>
        <n v="68.2095782074"/>
        <n v="68.007950530000002"/>
        <n v="68.011862917399995"/>
        <n v="70.270270270300003"/>
        <n v="94.831586826299997"/>
        <n v="94.730538922199997"/>
        <n v="93.113772455100005"/>
        <n v="94.629491017999996"/>
        <n v="89.071856287399996"/>
        <n v="54"/>
        <n v="79.9872421858"/>
        <n v="71.571869019800005"/>
        <n v="54.860727195400003"/>
        <n v="65.0127578142"/>
        <n v="93.722623857100004"/>
        <n v="92.722730172200002"/>
        <n v="80.561343823100003"/>
        <n v="78.437167765300003"/>
        <n v="76.188603019300004"/>
        <n v="50.636295981300002"/>
        <n v="51.291728683800002"/>
        <n v="68"/>
        <n v="95.685371912899996"/>
        <n v="97.577816747"/>
        <n v="99.886745579399999"/>
        <n v="75.003653368399995"/>
        <n v="66.637439719400007"/>
        <n v="59.400116907799998"/>
        <n v="61.873447318399997"/>
        <n v="94.841443811199994"/>
        <n v="22.22"/>
        <n v="32"/>
        <n v="34"/>
        <n v="65.310156195499999"/>
        <n v="91.137654527199999"/>
        <n v="98.5716672235"/>
        <n v="99.9832943535"/>
        <n v="56.116900770299999"/>
        <n v="99.206481790799998"/>
        <n v="98.897427330400006"/>
        <n v="99.832943534899997"/>
        <n v="76"/>
        <n v="92.914091471000006"/>
        <n v="94.902657602000005"/>
        <n v="93.831891223699998"/>
        <n v="23"/>
        <n v="92"/>
        <n v="76.356314432999994"/>
        <n v="92.999355670100002"/>
        <n v="94.304123711299994"/>
        <n v="50.144974226800002"/>
        <n v="51.910828025500003"/>
        <n v="92.744301393000001"/>
        <n v="94.463381173499997"/>
        <n v="94.078725200500003"/>
        <n v="70.289692148"/>
        <n v="93.280920219500004"/>
        <n v="94.846416382300006"/>
        <n v="85.861774744000002"/>
        <n v="94.692832764499997"/>
        <n v="94.769624573399994"/>
        <n v="93.012367491199996"/>
        <n v="93.003412969300001"/>
        <n v="93.156996586999995"/>
        <n v="68.040540540500004"/>
        <n v="86.666666666699996"/>
        <n v="94.812094353500001"/>
        <n v="79.924566659500002"/>
        <n v="90.932505399600004"/>
        <n v="94.701476567499995"/>
        <n v="94.894072330399993"/>
        <n v="87.2644203312"/>
        <n v="92.312634989200006"/>
        <n v="91.996760259200002"/>
        <n v="69.574122236700006"/>
        <n v="68.75"/>
        <n v="87"/>
        <n v="86.368421052599999"/>
        <n v="98.901098901099999"/>
        <n v="95.801052840699995"/>
        <n v="99.671052631600006"/>
        <n v="99.575387365899999"/>
        <n v="96.736862075499999"/>
        <n v="99.991616364899997"/>
        <n v="66.398390342100001"/>
        <n v="89.936647173500006"/>
        <n v="79.885477582799993"/>
        <n v="65.277777777799997"/>
        <n v="81.091617933699993"/>
        <n v="82.151559454199997"/>
        <n v="57.142857142899999"/>
        <n v="92.531676413300005"/>
        <n v="79.873294346999998"/>
        <n v="53.2772904483"/>
        <n v="99.675324675300004"/>
        <n v="97"/>
        <n v="84.5505617978"/>
        <n v="95.244755244800004"/>
        <n v="93.776223776199998"/>
        <n v="97.202797202799999"/>
        <n v="99.3706293706"/>
        <n v="97.622377622399995"/>
        <n v="96.875"/>
        <n v="87.148876404500001"/>
        <n v="77"/>
        <n v="74.297412050099993"/>
        <n v="74.236756975299997"/>
        <n v="74.646178730299994"/>
        <n v="60.418326693200001"/>
        <n v="73.887990295199998"/>
        <n v="61.135260816799999"/>
        <n v="36.5"/>
        <n v="95.728268082300005"/>
        <n v="91.257465162599999"/>
        <n v="94.877606527699996"/>
        <n v="94.408431550299994"/>
        <n v="94.979601087899994"/>
        <n v="80.802357207599997"/>
        <n v="89.981867633700006"/>
        <n v="68.787398005399993"/>
        <n v="88.227561196699995"/>
        <n v="71.561650045299999"/>
        <n v="93.980054397100005"/>
        <n v="93.548387096799999"/>
        <n v="87.574796010900002"/>
        <n v="56.390114961000002"/>
        <n v="89"/>
        <n v="99.421487603299994"/>
        <n v="92.428326390600006"/>
        <n v="99.991654147899993"/>
        <n v="99.924887330999994"/>
        <n v="99.901984807600002"/>
        <n v="93.849546679699998"/>
        <n v="99.868295019200005"/>
        <n v="57.138744962600001"/>
        <n v="91.252144082300006"/>
        <n v="86.318861729299996"/>
        <n v="98.149963244299997"/>
        <n v="96.647248388700007"/>
        <n v="90.428900403"/>
        <n v="82.930339666099997"/>
        <n v="69.070236039099996"/>
        <n v="79.965457685700002"/>
        <n v="57.426597581999999"/>
        <n v="76.478149100300001"/>
        <n v="52.533103051200001"/>
        <n v="88.198042602200005"/>
        <n v="55.872193437"/>
        <n v="88"/>
        <n v="91.514143094800005"/>
        <n v="97.628951747100004"/>
        <n v="99.833610648900006"/>
        <n v="99.916805324500004"/>
        <n v="98.918469217999998"/>
        <n v="97.379367720499999"/>
        <n v="97.836938435899995"/>
        <n v="98.039215686299997"/>
        <n v="91.763727121499997"/>
        <n v="71"/>
        <n v="89.0508474576"/>
        <n v="94.946061643799993"/>
        <n v="94.838184931499995"/>
        <n v="94.961472602699999"/>
        <n v="94.845890410999999"/>
        <n v="38"/>
        <n v="56.691678035499997"/>
        <n v="85.146657571600002"/>
        <n v="94.723738062799995"/>
        <n v="94.938440492500007"/>
        <n v="91.060191518500005"/>
        <n v="94.416780354699995"/>
        <n v="56.121562952200001"/>
        <n v="94.015047879600004"/>
        <n v="76.716826265400002"/>
        <n v="51.631326949399998"/>
        <n v="50.554035567699998"/>
        <n v="12.5"/>
        <n v="52.209052041900001" u="1"/>
        <n v="95.337037037000002" u="1"/>
        <n v="87.451259996000005" u="1"/>
        <n v="82.318753366799996" u="1"/>
        <n v="99.993540051699995" u="1"/>
        <n v="82.297388186099994" u="1"/>
        <n v="93.5648606301" u="1"/>
        <n v="74.220016163099999" u="1"/>
        <n v="91.326656162700004" u="1"/>
        <n v="95.177089974899999" u="1"/>
        <n v="73.395389468999994" u="1"/>
        <n v="96.250055987600007" u="1"/>
        <n v="62.0340094333" u="1"/>
        <n v="93.085627402399993" u="1"/>
        <n v="99.922037138700006" u="1"/>
        <n v="88.005278887399996" u="1"/>
        <n v="94.282038716000002" u="1"/>
        <n v="99.248107452300005" u="1"/>
        <n v="62.679167523499999" u="1"/>
        <n v="94.863636363599994" u="1"/>
        <n v="95.511482254699999" u="1"/>
        <n v="73.973966898100002" u="1"/>
        <n v="54.482128517100001" u="1"/>
        <n v="50.008352823300001" u="1"/>
        <n v="98.440032326099995" u="1"/>
        <n v="70" u="1"/>
        <n v="64.729374165500005" u="1"/>
        <n v="50.892857142899999" u="1"/>
        <n v="90.378119778599995" u="1"/>
        <n v="80.381063482599998" u="1"/>
        <n v="94.0889055265" u="1"/>
        <n v="73.942376585600002" u="1"/>
        <n v="72.755741127299999" u="1"/>
        <n v="57.659463995899998" u="1"/>
        <n v="80.516988991199995" u="1"/>
        <n v="94.971274171800005" u="1"/>
        <n v="50.755592487199998" u="1"/>
        <n v="96.0418527498" u="1"/>
        <n v="53.106504682000001" u="1"/>
        <n v="51.725804390199997" u="1"/>
        <n v="55" u="1"/>
        <n v="52.336860670199997" u="1"/>
        <n v="56.698179206799999" u="1"/>
        <n v="86.024793879900002" u="1"/>
        <n v="79.774827830099994" u="1"/>
        <n v="92.647058823500004" u="1"/>
        <n v="54.980947492799999" u="1"/>
        <n v="51" u="1"/>
        <n v="54.170466636299999" u="1"/>
        <n v="93.529530952599998" u="1"/>
        <n v="50.589826839799997" u="1"/>
        <n v="99.878218510799996" u="1"/>
        <n v="90.1990927879" u="1"/>
        <n v="51.916572717000001" u="1"/>
        <n v="79.181167050699997" u="1"/>
        <n v="52.7454077322" u="1"/>
        <n v="99.6576515223" u="1"/>
        <n v="94.270249073399995" u="1"/>
        <n v="50.052333945400001" u="1"/>
        <n v="99.739157368400001" u="1"/>
        <n v="94.005221436599996" u="1"/>
        <n v="99.991392666600007" u="1"/>
        <n v="94.778015194700004" u="1"/>
        <n v="51.646289734600003" u="1"/>
        <n v="51.856146811800002" u="1"/>
        <n v="94.979619565199997" u="1"/>
        <n v="69.874657838000005" u="1"/>
        <n v="99.980391465699995" u="1"/>
        <n v="94.481534016799998" u="1"/>
        <n v="97.443694860299999" u="1"/>
        <n v="88.1665185146" u="1"/>
        <n v="99.443462171600004" u="1"/>
        <n v="63.036563441299997" u="1"/>
        <n v="98.594824100300002" u="1"/>
        <n v="96.072518785200003" u="1"/>
        <n v="93.530862899200002" u="1"/>
        <n v="71.398747390400004" u="1"/>
        <n v="92.603440824800003" u="1"/>
        <n v="50.333333333299997" u="1"/>
        <n v="50.839547207999999" u="1"/>
        <n v="80.124101710100007" u="1"/>
        <n v="69.652497909299996" u="1"/>
        <n v="85.349766177500001" u="1"/>
        <n v="90.178368560300001" u="1"/>
        <n v="99.974644911599995" u="1"/>
        <n v="80.3280907595" u="1"/>
        <n v="94.159883286600007" u="1"/>
        <n v="98.616599029100001" u="1"/>
        <n v="99.066536985200003" u="1"/>
        <n v="88.820222158099995" u="1"/>
        <n v="54.246592568899999" u="1"/>
        <n v="87.076223955700002" u="1"/>
        <n v="99.891969349500002" u="1"/>
        <n v="88.726513569900007" u="1"/>
        <n v="94.916222856100006" u="1"/>
        <n v="54.488517745300001" u="1"/>
        <n v="91.696675948500001" u="1"/>
        <n v="74.974837363999995" u="1"/>
        <n v="67.858647450099994" u="1"/>
        <n v="58.340933272500003" u="1"/>
        <n v="97.982804232800007" u="1"/>
        <n v="98.552204585499993" u="1"/>
        <n v="94.459288459700005" u="1"/>
        <n v="99.976285130099996" u="1"/>
        <n v="93.128448799200001" u="1"/>
        <n v="96.917003459300005" u="1"/>
        <n v="89.916838910099997" u="1"/>
        <n v="94.1005908809" u="1"/>
        <n v="94.970835871999995" u="1"/>
        <n v="99.806201550400004" u="1"/>
        <n v="90.645979366099994" u="1"/>
        <n v="69.002639443700005" u="1"/>
        <n v="72.927426835600002" u="1"/>
        <n v="89.705882352900005" u="1"/>
        <n v="99.819699337200007" u="1"/>
        <n v="94.950738916299997" u="1"/>
        <n v="73.966322270700005" u="1"/>
        <n v="94.6656586533" u="1"/>
        <n v="98.149619628400004" u="1"/>
        <n v="97.543933486900002" u="1"/>
        <n v="85.954975959099997" u="1"/>
        <n v="99.934210526300006" u="1"/>
        <n v="97.974291253299995" u="1"/>
        <n v="99.399209399699998" u="1"/>
        <n v="94.863121849400002" u="1"/>
        <n v="53.8329849048" u="1"/>
        <n v="93.173652930000003" u="1"/>
        <n v="65.552370690399997" u="1"/>
        <n v="75.855513307999999" u="1"/>
        <n v="85.239703509400002" u="1"/>
        <n v="92.766451499599995" u="1"/>
        <n v="80.3567371205" u="1"/>
        <n v="94.726739535799993" u="1"/>
        <n v="50.0167056465" u="1"/>
        <n v="82.473286524299994" u="1"/>
        <n v="87.844887302100005" u="1"/>
        <n v="52.194755166999997" u="1"/>
        <n v="92.831333129800001" u="1"/>
        <n v="98.473513950699996" u="1"/>
        <n v="99.982366622800001" u="1"/>
        <n v="91.426676764500002" u="1"/>
        <n v="72.477353627599996" u="1"/>
        <n v="99.967595413400005" u="1"/>
        <n v="90.714197565800006" u="1"/>
        <n v="81.780621421700005" u="1"/>
        <n v="60.25" u="1"/>
        <n v="97.043177176900002" u="1"/>
        <n v="92.926096352599998" u="1"/>
        <n v="50.012092382600002" u="1"/>
        <n v="95.113944083000007" u="1"/>
        <n v="98.970282001100003" u="1"/>
        <n v="99.4700712498" u="1"/>
        <n v="94.931200612500007" u="1"/>
        <n v="79.724915364599994" u="1"/>
        <n v="88.033241098100007" u="1"/>
        <n v="54.033915665400002" u="1"/>
        <n v="83.313940791099995" u="1"/>
        <n v="97.485882256599993" u="1"/>
        <n v="54.482852743599999" u="1"/>
        <n v="57.9172765219" u="1"/>
        <n v="97.5" u="1"/>
        <n v="69.631833977400007" u="1"/>
        <n v="93.918576919399996" u="1"/>
        <n v="57.500048462000002" u="1"/>
        <n v="94.914037216799997" u="1"/>
        <n v="51.104526020900003" u="1"/>
        <n v="51.9099079382" u="1"/>
        <n v="94.861111111100001" u="1"/>
        <n v="99.9305381737" u="1"/>
        <n v="99.226065974899996" u="1"/>
        <n v="70.836653386500004" u="1"/>
        <n v="91.222618428299995" u="1"/>
        <n v="70.772707230999998" u="1"/>
        <n v="99.963235294100002" u="1"/>
        <n v="94.610389610400006" u="1"/>
        <n v="99.998882361900002" u="1"/>
        <n v="69.410714285699996" u="1"/>
        <n v="94.471862097300004" u="1"/>
        <n v="99.154203682399995" u="1"/>
        <n v="92.242425648899996" u="1"/>
        <n v="84.171300435399999" u="1"/>
        <n v="72.333333333300004" u="1"/>
        <n v="98.108603664699999" u="1"/>
        <n v="98.124121165999995" u="1"/>
        <n v="62.128250649999998" u="1"/>
        <n v="76.825093384400006" u="1"/>
        <n v="80.110614948299997" u="1"/>
        <n v="86.215740036100001" u="1"/>
        <n v="93.799437016200002" u="1"/>
        <n v="94.001469348000001" u="1"/>
        <n v="99.182324286699995" u="1"/>
        <n v="56.8020269465" u="1"/>
        <n v="94.931262930800003" u="1"/>
        <n v="90" u="1"/>
        <n v="94.642857142899999" u="1"/>
        <n v="76.671776639800001" u="1"/>
        <n v="74.142584045999996" u="1"/>
        <n v="50.354330708699997" u="1"/>
        <n v="56.518281720700003" u="1"/>
        <n v="94.285714285699996" u="1"/>
        <n v="69.019867584599993" u="1"/>
        <n v="99.949790251400003" u="1"/>
        <n v="94.822735923500005" u="1"/>
        <n v="51.8278086925" u="1"/>
        <n v="81.853918042900006" u="1"/>
        <n v="76.734170610800007" u="1"/>
        <n v="51.610082880299998" u="1"/>
        <n v="52.797483427800003" u="1"/>
        <n v="52.122119931299999" u="1"/>
        <n v="99.334302592499995" u="1"/>
        <n v="95.854853671100003" u="1"/>
        <n v="51.9804804483" u="1"/>
        <n v="94.868333333300001" u="1"/>
        <n v="98.163421476099998" u="1"/>
        <n v="53.5276492331" u="1"/>
        <n v="96.048510864799994" u="1"/>
        <n v="98.798418799299995" u="1"/>
        <n v="94.938144685400005" u="1"/>
        <n v="66" u="1"/>
        <n v="80.373498769899996" u="1"/>
        <n v="88.0397351692" u="1"/>
        <n v="99.931271872699995" u="1"/>
        <n v="50.793650793700003" u="1"/>
        <n v="52.184636990000001" u="1"/>
        <n v="81.508201765600006" u="1"/>
        <n v="87.865223522199997" u="1"/>
        <n v="99.949674727900003" u="1"/>
        <n v="94.813631421899998" u="1"/>
        <n v="98.275862068999999" u="1"/>
        <n v="63.565088377099997" u="1"/>
        <n v="98.643665674199994" u="1"/>
        <n v="64.709667064100003" u="1"/>
        <n v="98.765096382099998" u="1"/>
        <n v="54.857709441600001" u="1"/>
        <n v="74.953095684800005" u="1"/>
        <n v="64.855007795999995" u="1"/>
        <n v="90.073972299499999" u="1"/>
        <n v="94.269587467899996" u="1"/>
        <n v="94.922667251799993" u="1"/>
        <n v="94.933333333299998" u="1"/>
        <n v="91.522930238599997" u="1"/>
        <n v="94.150002584800006" u="1"/>
        <n v="83.649601192199995" u="1"/>
        <n v="65.291382797699995" u="1"/>
        <n v="97.590370144299996" u="1"/>
        <n v="59.142120235699998" u="1"/>
        <n v="87.2623574144" u="1"/>
        <n v="81.6746802344" u="1"/>
        <n v="99.985812441299998" u="1"/>
        <n v="94.000837943999997" u="1"/>
        <n v="56.719969101499998" u="1"/>
        <n v="95.829533363699994" u="1"/>
        <n v="87.697387693099998" u="1"/>
        <n v="99.686847599199993" u="1"/>
        <n v="99.915654524399997" u="1"/>
        <n v="72.270521633599998" u="1"/>
        <n v="79.913306556400002" u="1"/>
        <n v="99.7393010933" u="1"/>
        <n v="52.103174603200003" u="1"/>
        <n v="97.340828924199997" u="1"/>
        <n v="97.659751360900003" u="1"/>
        <n v="78.419748332500006" u="1"/>
        <n v="98.648401502599995" u="1"/>
        <n v="99.9961832061" u="1"/>
        <n v="89.567391342600004" u="1"/>
        <n v="98.911395436700005" u="1"/>
        <n v="92.751542932700005" u="1"/>
        <n v="99.654148155100003" u="1"/>
        <n v="94.910421142800004" u="1"/>
        <n v="99.927444406199996" u="1"/>
        <n v="99.953095684800005" u="1"/>
        <n v="97.674418604699994" u="1"/>
        <n v="54.4669906512" u="1"/>
        <n v="86.066575069600006" u="1"/>
        <n v="92.234198535100006" u="1"/>
        <n v="94.997115384599994" u="1"/>
        <n v="65.000096923900003" u="1"/>
        <n v="68.695436507899998" u="1"/>
        <n v="52.6910729684" u="1"/>
        <n v="62.285084207899999" u="1"/>
        <n v="50.1020429151" u="1"/>
        <n v="53.781140795799999" u="1"/>
        <n v="97.775980590399996" u="1"/>
        <n v="94.298148148099997" u="1"/>
        <n v="88.044045514100006" u="1"/>
        <n v="98.670414462099998" u="1"/>
        <n v="56.989932392599997" u="1"/>
        <n v="94.954707255100004" u="1"/>
        <n v="71.373000227999995" u="1"/>
        <n v="51.635312036599998" u="1"/>
        <n v="33" u="1"/>
        <n v="94.935344827600005" u="1"/>
        <n v="99.906191369599995" u="1"/>
        <n v="99.728251725800007" u="1"/>
        <n v="72.286368640600003" u="1"/>
        <n v="72.082953153399998" u="1"/>
        <n v="93.184523809500007" u="1"/>
        <n v="96.957567110499994" u="1"/>
        <n v="72.865214793800007" u="1"/>
        <n v="52.8677359753" u="1"/>
        <n v="99.899104692700007" u="1"/>
        <n v="99.890642794800002" u="1"/>
        <n v="74.230769230800007" u="1"/>
        <n v="99.568965517199999" u="1"/>
        <n v="85.371706963099996" u="1"/>
        <n v="94.929833424799995" u="1"/>
        <n v="57.025152434900001" u="1"/>
        <n v="86.032923595599996" u="1"/>
        <n v="94.562727691399999" u="1"/>
        <n v="94.525819468799995" u="1"/>
        <n v="70.412961086400003" u="1"/>
        <n v="99.853703703700006" u="1"/>
        <n v="89.301896625699996" u="1"/>
        <n v="93.000908775100001" u="1"/>
        <n v="98.656623692400004" u="1"/>
        <n v="94.460591260300006" u="1"/>
        <n v="98.951289398699998" u="1"/>
        <n v="90.746071794499997" u="1"/>
        <n v="78.401013473199995" u="1"/>
        <n v="92.303527304499994" u="1"/>
        <n v="74.933409064200006" u="1"/>
        <n v="94.055547127799997" u="1"/>
        <n v="87.189713695400002" u="1"/>
        <n v="99.980506822600006" u="1"/>
        <n v="99.980486777899998" u="1"/>
        <n v="99.982122231899993" u="1"/>
        <n v="99.999486825000005" u="1"/>
        <n v="78.550703397700005" u="1"/>
        <n v="99.982188295200004" u="1"/>
        <n v="92.5" u="1"/>
        <n v="50.053915273800001" u="1"/>
        <n v="85.1940891494" u="1"/>
        <n v="81.238837201600006" u="1"/>
        <n v="54.568513166000002" u="1"/>
        <n v="94.666666666699996" u="1"/>
        <n v="95.554109365900004" u="1"/>
        <n v="93.696984126999993" u="1"/>
        <n v="94.993589743599998" u="1"/>
        <n v="97.970725477800002" u="1"/>
        <n v="80.0088061342" u="1"/>
        <n v="82.199640696499998" u="1"/>
        <n v="65.317468556500003" u="1"/>
        <n v="74.607874687099994" u="1"/>
        <n v="98.123686341600006" u="1"/>
        <n v="94.997337278100005" u="1"/>
        <n v="93.862291467299997" u="1"/>
        <n v="77.342082985600001" u="1"/>
        <n v="79.935514236399996" u="1"/>
        <n v="56.615080899299997" u="1"/>
        <n v="53.097768430999999" u="1"/>
        <n v="54.371938497499997" u="1"/>
        <n v="94.9354033921" u="1"/>
        <n v="91.538461538500002" u="1"/>
        <n v="91.449603054199997" u="1"/>
        <n v="76.392901761000005" u="1"/>
        <n v="53.582341469299998" u="1"/>
        <n v="99.998091603099994" u="1"/>
        <n v="94.979545454499998" u="1"/>
        <n v="90.278496861099995" u="1"/>
        <n v="92.629112061900003" u="1"/>
        <n v="99.292357460600002" u="1"/>
        <n v="90.803333333300003" u="1"/>
        <n v="89.277517975099997" u="1"/>
        <n v="94.954811226299995" u="1"/>
        <n v="99.739056075500002" u="1"/>
        <n v="50.0167336011" u="1"/>
        <n v="99.968082413100007" u="1"/>
        <n v="94.537160791199994" u="1"/>
        <n v="65.790033918299997" u="1"/>
        <n v="74.570168415699996" u="1"/>
        <n v="92.730263157899998" u="1"/>
        <n v="89.873593185900006" u="1"/>
        <n v="71.371978469400005" u="1"/>
        <n v="53.186373305899998" u="1"/>
        <n v="99.981140047699995" u="1"/>
        <n v="99.898773989999995" u="1"/>
        <n v="69.295069120099996" u="1"/>
        <n v="89.606014234599996" u="1"/>
        <n v="87.100356585499995" u="1"/>
        <n v="50.875208148900001" u="1"/>
        <n v="92.713612166499999" u="1"/>
        <n v="53.729127202999997" u="1"/>
        <n v="89.868333333300001" u="1"/>
        <n v="51.358756430299998" u="1"/>
        <n v="52.185969248699998" u="1"/>
        <n v="89.921443222700006" u="1"/>
        <n v="51.711026615999998" u="1"/>
        <n v="97.2822765234" u="1"/>
        <n v="85.463332018100004" u="1"/>
        <n v="93.516377898900004" u="1"/>
        <n v="74.909849668600003" u="1"/>
        <n v="96.790778937900001" u="1"/>
        <n v="51.436617619400003" u="1"/>
        <n v="50.714285714299997" u="1"/>
        <n v="50.093808630399998" u="1"/>
        <n v="50.888777267499997" u="1"/>
        <n v="99.983520487299998" u="1"/>
        <n v="92.802411873799997" u="1"/>
        <n v="82.142857142899999" u="1"/>
        <n v="91.170828340699998" u="1"/>
        <n v="99.977272727300004" u="1"/>
        <n v="91.659066727500004" u="1"/>
        <n v="50.085941646599998" u="1"/>
        <n v="94.579126213600006" u="1"/>
        <n v="94.586211771400002" u="1"/>
        <n v="70.769230769200007" u="1"/>
        <n v="57.458254406000002" u="1"/>
        <n v="74.3103237726" u="1"/>
        <n v="78.374851831100003" u="1"/>
      </sharedItems>
    </cacheField>
    <cacheField name="iati_data_quality_passed" numFmtId="0">
      <sharedItems containsSemiMixedTypes="0" containsString="0" containsNumber="1" minValue="0" maxValue="100"/>
    </cacheField>
    <cacheField name="iati_data_quality_points" numFmtId="0">
      <sharedItems containsSemiMixedTypes="0" containsString="0" containsNumber="1" minValue="0" maxValue="50"/>
    </cacheField>
    <cacheField name="iati_data_quality_frequency" numFmtId="0">
      <sharedItems containsBlank="1"/>
    </cacheField>
    <cacheField name="iati_data_quality_frequency_value" numFmtId="0">
      <sharedItems containsSemiMixedTypes="0" containsString="0" containsNumber="1" minValue="0.5" maxValue="1"/>
    </cacheField>
    <cacheField name="iati_data_quality_frequency_multiplier" numFmtId="0">
      <sharedItems containsSemiMixedTypes="0" containsString="0" containsNumber="1" minValue="0.5" maxValue="1"/>
    </cacheField>
    <cacheField name="iati_data_quality_total_points" numFmtId="0">
      <sharedItems containsSemiMixedTypes="0" containsString="0" containsNumber="1" minValue="0" maxValue="50"/>
    </cacheField>
    <cacheField name="survey_publication_status" numFmtId="0">
      <sharedItems containsBlank="1" count="4">
        <s v="not published"/>
        <s v="always"/>
        <s v="sometimes"/>
        <m/>
      </sharedItems>
    </cacheField>
    <cacheField name="survey_publication_status_value" numFmtId="0">
      <sharedItems containsString="0" containsBlank="1" containsNumber="1" containsInteger="1" minValue="0" maxValue="1"/>
    </cacheField>
    <cacheField name="survey_ordinal_value" numFmtId="0">
      <sharedItems containsString="0" containsBlank="1" containsNumber="1" minValue="0" maxValue="100"/>
    </cacheField>
    <cacheField name="survey_publication_format" numFmtId="0">
      <sharedItems containsBlank="1"/>
    </cacheField>
    <cacheField name="survey_publication_format_value" numFmtId="0">
      <sharedItems containsString="0" containsBlank="1" containsNumber="1" minValue="0" maxValue="50"/>
    </cacheField>
    <cacheField name="survey_total_points" numFmtId="0">
      <sharedItems containsSemiMixedTypes="0" containsString="0" containsNumber="1" minValue="0" maxValue="100"/>
    </cacheField>
  </cacheFields>
  <extLst>
    <ext xmlns:x14="http://schemas.microsoft.com/office/spreadsheetml/2009/9/main" uri="{725AE2AE-9491-48be-B2B4-4EB974FC3084}">
      <x14:pivotCacheDefinition pivotCacheId="1"/>
    </ext>
  </extLst>
</pivotCacheDefinition>
</file>

<file path=xl/pivotCache/pivotCacheDefinition4.xml><?xml version="1.0" encoding="utf-8"?>
<pivotCacheDefinition xmlns="http://schemas.openxmlformats.org/spreadsheetml/2006/main" xmlns:r="http://schemas.openxmlformats.org/officeDocument/2006/relationships" r:id="rId1" refreshedBy="Shreya" refreshedDate="41887.473526620372" createdVersion="5" refreshedVersion="5" minRefreshableVersion="3" recordCount="69">
  <cacheSource type="worksheet">
    <worksheetSource ref="A3:J72" sheet="% scores - sub-groups"/>
  </cacheSource>
  <cacheFields count="10">
    <cacheField name="Donor Name" numFmtId="0">
      <sharedItems/>
    </cacheField>
    <cacheField name="Commitment" numFmtId="2">
      <sharedItems containsSemiMixedTypes="0" containsString="0" containsNumber="1" minValue="0" maxValue="98.234999999999985"/>
    </cacheField>
    <cacheField name="Organisation - Planning" numFmtId="2">
      <sharedItems containsSemiMixedTypes="0" containsString="0" containsNumber="1" minValue="0" maxValue="100"/>
    </cacheField>
    <cacheField name="Organisation - Financial" numFmtId="2">
      <sharedItems containsSemiMixedTypes="0" containsString="0" containsNumber="1" minValue="0" maxValue="100.08"/>
    </cacheField>
    <cacheField name="Activity - Basic information" numFmtId="2">
      <sharedItems containsSemiMixedTypes="0" containsString="0" containsNumber="1" minValue="0" maxValue="100.30769230769222"/>
    </cacheField>
    <cacheField name="Activity - classifications" numFmtId="2">
      <sharedItems containsSemiMixedTypes="0" containsString="0" containsNumber="1" minValue="0" maxValue="100.15384615384563"/>
    </cacheField>
    <cacheField name="Activity - related documents" numFmtId="2">
      <sharedItems containsSemiMixedTypes="0" containsString="0" containsNumber="1" minValue="0" maxValue="93.323903340539701"/>
    </cacheField>
    <cacheField name="Activity - financial" numFmtId="2">
      <sharedItems containsSemiMixedTypes="0" containsString="0" containsNumber="1" minValue="0" maxValue="93.092054361156769"/>
    </cacheField>
    <cacheField name="Activity - performance" numFmtId="2">
      <sharedItems containsSemiMixedTypes="0" containsString="0" containsNumber="1" minValue="0" maxValue="91.269138667845468"/>
    </cacheField>
    <cacheField name="Performance category" numFmtId="0">
      <sharedItems containsBlank="1" count="6">
        <s v="Good"/>
        <s v="Very good"/>
        <s v="Fair"/>
        <s v="Very Poor"/>
        <s v="Poor"/>
        <m/>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68">
  <r>
    <n v="46002"/>
    <s v="AfDB"/>
    <n v="74.51602883307369"/>
    <n v="8"/>
    <x v="0"/>
    <n v="6058.1135891610338"/>
    <x v="0"/>
  </r>
  <r>
    <n v="46004"/>
    <s v="AsDB"/>
    <n v="83.842838162282519"/>
    <n v="5"/>
    <x v="1"/>
    <n v="8734.4327893718182"/>
    <x v="0"/>
  </r>
  <r>
    <s v="AU-5"/>
    <s v="Australia, DFAT"/>
    <n v="45.912189861504473"/>
    <n v="25"/>
    <x v="2"/>
    <n v="4088.5485107525997"/>
    <x v="1"/>
  </r>
  <r>
    <s v="AT-8"/>
    <s v="Austria, ADA"/>
    <n v="19.072684999999986"/>
    <n v="47"/>
    <x v="3"/>
    <n v="87.746475476349332"/>
    <x v="2"/>
  </r>
  <r>
    <s v="BE-10"/>
    <s v="Belgium, DGCD"/>
    <n v="18.846488999999988"/>
    <n v="49"/>
    <x v="3"/>
    <n v="804.99456812339076"/>
    <x v="3"/>
  </r>
  <r>
    <s v="BR-1"/>
    <s v="Brazil, ABC"/>
    <n v="9.6461599999999983"/>
    <n v="59"/>
    <x v="3"/>
    <n v="499.7"/>
    <x v="3"/>
  </r>
  <r>
    <s v="BG-1"/>
    <s v="Bulgaria, MFA"/>
    <n v="8.1649999999999991"/>
    <n v="63"/>
    <x v="3"/>
    <n v="39.950000000000003"/>
    <x v="2"/>
  </r>
  <r>
    <s v="CA-1"/>
    <s v="Canada, DFATD"/>
    <n v="71.671348938086496"/>
    <n v="11"/>
    <x v="0"/>
    <n v="3099"/>
    <x v="1"/>
  </r>
  <r>
    <s v="CN-1"/>
    <s v="China, MOFCOM"/>
    <n v="2.2197779999999998"/>
    <n v="68"/>
    <x v="3"/>
    <n v="2644.2"/>
    <x v="1"/>
  </r>
  <r>
    <s v="HR-1"/>
    <s v="Croatia, MFA"/>
    <n v="11.814868499999999"/>
    <n v="56"/>
    <x v="3"/>
    <n v="21"/>
    <x v="2"/>
  </r>
  <r>
    <s v="CY-1"/>
    <s v="Cyprus, CyprusAid"/>
    <n v="5.909658999999988"/>
    <n v="66"/>
    <x v="3"/>
    <n v="25.08"/>
    <x v="2"/>
  </r>
  <r>
    <s v="CZ-1"/>
    <s v="Czech Republic, CzDA"/>
    <n v="29.489809999999995"/>
    <n v="40"/>
    <x v="4"/>
    <n v="21.734204101687428"/>
    <x v="2"/>
  </r>
  <r>
    <s v="DK-2"/>
    <s v="Denmark, MFA"/>
    <n v="49.639004137678008"/>
    <n v="22"/>
    <x v="2"/>
    <n v="2029.2120762016593"/>
    <x v="1"/>
  </r>
  <r>
    <n v="46015"/>
    <s v="EBRD"/>
    <n v="24.502645999999995"/>
    <n v="46"/>
    <x v="4"/>
    <n v="3336.3200947489622"/>
    <x v="1"/>
  </r>
  <r>
    <s v="EU-1"/>
    <s v="EC, DEVCO"/>
    <n v="68.230851769636672"/>
    <n v="13"/>
    <x v="0"/>
    <n v="12477.82"/>
    <x v="4"/>
  </r>
  <r>
    <s v="EU-4"/>
    <s v="EC, ECHO"/>
    <n v="59.913796849686776"/>
    <n v="16"/>
    <x v="2"/>
    <n v="1775.81"/>
    <x v="1"/>
  </r>
  <r>
    <s v="EU-5"/>
    <s v="EC, ELARG"/>
    <n v="61.767921206882917"/>
    <n v="15"/>
    <x v="0"/>
    <n v="2462.14"/>
    <x v="1"/>
  </r>
  <r>
    <s v="EU-6"/>
    <s v="EC, FPI"/>
    <n v="69.076054883904291"/>
    <n v="12"/>
    <x v="0"/>
    <n v="303"/>
    <x v="3"/>
  </r>
  <r>
    <n v="42004"/>
    <s v="EIB"/>
    <n v="24.577408999999996"/>
    <n v="45"/>
    <x v="4"/>
    <n v="6825.7544705912405"/>
    <x v="0"/>
  </r>
  <r>
    <s v="EE-1"/>
    <s v="Estonia, MFA"/>
    <n v="28.231219999999993"/>
    <n v="41"/>
    <x v="4"/>
    <n v="23.24"/>
    <x v="2"/>
  </r>
  <r>
    <s v="FI-3"/>
    <s v="Finland, MFA"/>
    <n v="46.272840186650129"/>
    <n v="24"/>
    <x v="2"/>
    <n v="730.50915129366513"/>
    <x v="3"/>
  </r>
  <r>
    <s v="FR-3"/>
    <s v="France, AFD"/>
    <n v="24.667978499999986"/>
    <n v="44"/>
    <x v="4"/>
    <n v="5571.9438554215149"/>
    <x v="0"/>
  </r>
  <r>
    <s v="FR-6"/>
    <s v="France, MAE"/>
    <n v="42.402737318470088"/>
    <n v="28"/>
    <x v="2"/>
    <n v="985.62706283090188"/>
    <x v="3"/>
  </r>
  <r>
    <s v="FR-10"/>
    <s v="France, MINEFI"/>
    <n v="10.3011585"/>
    <n v="58"/>
    <x v="3"/>
    <n v="1921.4261645159163"/>
    <x v="1"/>
  </r>
  <r>
    <s v="US-EIN-562618866"/>
    <s v="Gates Foundation"/>
    <n v="46.551687042519696"/>
    <n v="23"/>
    <x v="2"/>
    <n v="2372"/>
    <x v="1"/>
  </r>
  <r>
    <n v="47122"/>
    <s v="GAVI"/>
    <n v="86.745722206106777"/>
    <n v="4"/>
    <x v="1"/>
    <n v="1068.2603169999993"/>
    <x v="1"/>
  </r>
  <r>
    <s v="DE-1"/>
    <s v="Germany, BMZ-GIZ"/>
    <n v="53.922389450033187"/>
    <n v="17"/>
    <x v="2"/>
    <n v="5780.12"/>
    <x v="0"/>
  </r>
  <r>
    <s v="DE-2"/>
    <s v="Germany, BMZ-KFW"/>
    <n v="50.824189529418135"/>
    <n v="20"/>
    <x v="2"/>
    <n v="1318.9303284099976"/>
    <x v="1"/>
  </r>
  <r>
    <s v="DE-11"/>
    <s v="Germany, FO"/>
    <n v="9.1154984999999993"/>
    <n v="61"/>
    <x v="3"/>
    <n v="1055.9043893499988"/>
    <x v="1"/>
  </r>
  <r>
    <n v="47045"/>
    <s v="Global Fund"/>
    <n v="73.298105355600043"/>
    <n v="10"/>
    <x v="0"/>
    <n v="3358.8449999999966"/>
    <x v="1"/>
  </r>
  <r>
    <s v="GR-3"/>
    <s v="Greece, HellenicAid"/>
    <n v="4.7197779999999998"/>
    <n v="67"/>
    <x v="3"/>
    <n v="107.31433477172212"/>
    <x v="3"/>
  </r>
  <r>
    <s v="HU-1"/>
    <s v="Hungary, MFA"/>
    <n v="8.3047779999999989"/>
    <n v="62"/>
    <x v="3"/>
    <n v="118.38"/>
    <x v="3"/>
  </r>
  <r>
    <n v="46012"/>
    <s v="IADB"/>
    <n v="73.917398103455028"/>
    <n v="9"/>
    <x v="0"/>
    <n v="8114.5058939999963"/>
    <x v="0"/>
  </r>
  <r>
    <n v="43000"/>
    <s v="IMF"/>
    <n v="31.595881999999996"/>
    <n v="37"/>
    <x v="4"/>
    <n v="1506.4470299999971"/>
    <x v="1"/>
  </r>
  <r>
    <s v="IE-1"/>
    <s v="Ireland, IrishAid"/>
    <n v="42.468069724950233"/>
    <n v="27"/>
    <x v="2"/>
    <n v="528.42339798200351"/>
    <x v="3"/>
  </r>
  <r>
    <s v="IT-4"/>
    <s v="Italy, MAE"/>
    <n v="15.646043999999986"/>
    <n v="54"/>
    <x v="3"/>
    <n v="252.76032133676014"/>
    <x v="3"/>
  </r>
  <r>
    <s v="JP-8"/>
    <s v="Japan, JICA"/>
    <n v="37.214129285714243"/>
    <n v="33"/>
    <x v="4"/>
    <n v="10066.530127697526"/>
    <x v="4"/>
  </r>
  <r>
    <s v="JP-2"/>
    <s v="Japan, MOFA"/>
    <n v="17.012573999999987"/>
    <n v="53"/>
    <x v="3"/>
    <n v="3886.126811428383"/>
    <x v="1"/>
  </r>
  <r>
    <s v="KR-4"/>
    <s v="Korea, KOICA"/>
    <n v="35.579400999999983"/>
    <n v="35"/>
    <x v="4"/>
    <n v="444.53731199999686"/>
    <x v="3"/>
  </r>
  <r>
    <s v="LV-1"/>
    <s v="Latvia, MFA"/>
    <n v="19.032905999999997"/>
    <n v="48"/>
    <x v="3"/>
    <n v="21.11"/>
    <x v="2"/>
  </r>
  <r>
    <s v="LT-1"/>
    <s v="Lithuania, MFA"/>
    <n v="6.5130569999999999"/>
    <n v="65"/>
    <x v="3"/>
    <n v="51.91"/>
    <x v="2"/>
  </r>
  <r>
    <s v="LU-1"/>
    <s v="Luxembourg, MFA"/>
    <n v="18.812663999999987"/>
    <n v="50"/>
    <x v="3"/>
    <n v="279.49746323341827"/>
    <x v="3"/>
  </r>
  <r>
    <s v="MT-1"/>
    <s v="Malta, MFA"/>
    <n v="6.5897159999999975"/>
    <n v="64"/>
    <x v="3"/>
    <n v="18.579999999999998"/>
    <x v="2"/>
  </r>
  <r>
    <s v="NL-1"/>
    <s v="Netherlands, MFA"/>
    <n v="53.764271701626981"/>
    <n v="19"/>
    <x v="2"/>
    <n v="3963.9788207670044"/>
    <x v="1"/>
  </r>
  <r>
    <s v="NZ-2"/>
    <s v="New Zealand, MFAT"/>
    <n v="45.12154717964065"/>
    <n v="26"/>
    <x v="2"/>
    <n v="346.23670742570158"/>
    <x v="3"/>
  </r>
  <r>
    <s v="NO-4"/>
    <s v="Norway, MFA"/>
    <n v="27.648543999999998"/>
    <n v="42"/>
    <x v="4"/>
    <n v="3212.27"/>
    <x v="1"/>
  </r>
  <r>
    <s v="PL-1"/>
    <s v="Poland, MFA"/>
    <n v="14.359405999999987"/>
    <n v="55"/>
    <x v="3"/>
    <n v="483.09"/>
    <x v="3"/>
  </r>
  <r>
    <s v="PT-2"/>
    <s v="Portugal, CICL"/>
    <n v="26.544537499999997"/>
    <n v="43"/>
    <x v="4"/>
    <n v="27.877892030848262"/>
    <x v="2"/>
  </r>
  <r>
    <s v="RO-1"/>
    <s v="Romania, MFA"/>
    <n v="10.551111499999996"/>
    <n v="57"/>
    <x v="3"/>
    <n v="142.41"/>
    <x v="3"/>
  </r>
  <r>
    <s v="SK-1"/>
    <s v="Slovakia, SAIDC"/>
    <n v="18.250666999999986"/>
    <n v="51"/>
    <x v="3"/>
    <n v="82.95"/>
    <x v="2"/>
  </r>
  <r>
    <s v="SI-1"/>
    <s v="Slovenia, MFA"/>
    <n v="17.784162999999985"/>
    <n v="52"/>
    <x v="3"/>
    <n v="58"/>
    <x v="2"/>
  </r>
  <r>
    <s v="ES-5"/>
    <s v="Spain, MAEC"/>
    <n v="50.598212522694539"/>
    <n v="21"/>
    <x v="2"/>
    <n v="618"/>
    <x v="3"/>
  </r>
  <r>
    <s v="SE-6"/>
    <s v="Sweden, MFA-Sida"/>
    <n v="83.274009759093047"/>
    <n v="6"/>
    <x v="1"/>
    <n v="3587.0513101094398"/>
    <x v="1"/>
  </r>
  <r>
    <s v="CH-4"/>
    <s v="Switzerland, SDC"/>
    <n v="53.780289086474419"/>
    <n v="18"/>
    <x v="2"/>
    <n v="1283.0058815999946"/>
    <x v="1"/>
  </r>
  <r>
    <s v="US-7"/>
    <s v="U.S., Defense"/>
    <n v="30.756310119433174"/>
    <n v="38"/>
    <x v="4"/>
    <n v="489.80787199999969"/>
    <x v="3"/>
  </r>
  <r>
    <s v="US-18"/>
    <s v="U.S., MCC"/>
    <n v="86.894622379238967"/>
    <n v="3"/>
    <x v="1"/>
    <n v="1354.5793899999994"/>
    <x v="1"/>
  </r>
  <r>
    <s v="US-14"/>
    <s v="U.S., PEPFAR"/>
    <n v="40.666519451891098"/>
    <n v="30"/>
    <x v="2"/>
    <n v="6639"/>
    <x v="0"/>
  </r>
  <r>
    <s v="US-11"/>
    <s v="U.S., State"/>
    <n v="38.802452131578917"/>
    <n v="32"/>
    <x v="4"/>
    <n v="4198.1307190000043"/>
    <x v="1"/>
  </r>
  <r>
    <s v="US-6"/>
    <s v="U.S., Treasury"/>
    <n v="34.8284995"/>
    <n v="36"/>
    <x v="4"/>
    <n v="184.68668000000005"/>
    <x v="3"/>
  </r>
  <r>
    <s v="US-1"/>
    <s v="U.S., USAID"/>
    <n v="40.312333617246189"/>
    <n v="31"/>
    <x v="2"/>
    <n v="15572.462420999709"/>
    <x v="4"/>
  </r>
  <r>
    <s v="GB-1"/>
    <s v="UK, DFID"/>
    <n v="88.336740299014735"/>
    <n v="2"/>
    <x v="1"/>
    <n v="7227.8603810489385"/>
    <x v="0"/>
  </r>
  <r>
    <s v="GB-3"/>
    <s v="UK, FCO"/>
    <n v="35.797104351262803"/>
    <n v="34"/>
    <x v="4"/>
    <n v="413.36551334336815"/>
    <x v="3"/>
  </r>
  <r>
    <s v="GB-6"/>
    <s v="UK, MOD"/>
    <n v="9.6282870000000003"/>
    <n v="60"/>
    <x v="3"/>
    <n v="7.9226746949770197"/>
    <x v="2"/>
  </r>
  <r>
    <n v="41127"/>
    <s v="UN OCHA"/>
    <n v="41.297011839690136"/>
    <n v="29"/>
    <x v="2"/>
    <n v="919"/>
    <x v="3"/>
  </r>
  <r>
    <n v="41114"/>
    <s v="UNDP"/>
    <n v="90.637111812083049"/>
    <n v="1"/>
    <x v="1"/>
    <n v="487.21"/>
    <x v="3"/>
  </r>
  <r>
    <n v="41122"/>
    <s v="UNICEF"/>
    <n v="64.648942945170745"/>
    <n v="14"/>
    <x v="0"/>
    <n v="1154.9704235904981"/>
    <x v="1"/>
  </r>
  <r>
    <n v="44002"/>
    <s v="World Bank, IDA"/>
    <n v="82.268961451623738"/>
    <n v="7"/>
    <x v="1"/>
    <n v="12163.364455978917"/>
    <x v="4"/>
  </r>
  <r>
    <n v="44004"/>
    <s v="World Bank, IFC"/>
    <n v="30.617910000000002"/>
    <n v="39"/>
    <x v="4"/>
    <n v="18000"/>
    <x v="4"/>
  </r>
</pivotCacheRecords>
</file>

<file path=xl/pivotCache/pivotCacheRecords2.xml><?xml version="1.0" encoding="utf-8"?>
<pivotCacheRecords xmlns="http://schemas.openxmlformats.org/spreadsheetml/2006/main" xmlns:r="http://schemas.openxmlformats.org/officeDocument/2006/relationships" count="70">
  <r>
    <n v="87.798779999999994"/>
    <n v="100.00753246753243"/>
    <n v="87.469770300307573"/>
    <x v="0"/>
  </r>
  <r>
    <n v="95.903999999999996"/>
    <n v="88.919999999999987"/>
    <n v="86.948215844638057"/>
    <x v="0"/>
  </r>
  <r>
    <n v="80.47278"/>
    <n v="94.025454545454508"/>
    <n v="85.139970373654435"/>
    <x v="0"/>
  </r>
  <r>
    <n v="43.732889999999998"/>
    <n v="100.03999999999999"/>
    <n v="88.249897240164273"/>
    <x v="0"/>
  </r>
  <r>
    <n v="85.800780000000003"/>
    <n v="99.414999999999992"/>
    <n v="77.552323326588507"/>
    <x v="0"/>
  </r>
  <r>
    <n v="98.234999999999985"/>
    <n v="99.279570591608277"/>
    <n v="74.816334017216917"/>
    <x v="0"/>
  </r>
  <r>
    <n v="74.035889999999995"/>
    <n v="87.205871175488994"/>
    <n v="81.636776396540739"/>
    <x v="0"/>
  </r>
  <r>
    <n v="64.598669999999984"/>
    <n v="99.839999999999989"/>
    <n v="66.301787435497971"/>
    <x v="1"/>
  </r>
  <r>
    <n v="57.938669999999995"/>
    <n v="70.38657400000001"/>
    <n v="77.733673236084641"/>
    <x v="1"/>
  </r>
  <r>
    <n v="56.939669999999992"/>
    <n v="57.24"/>
    <n v="81.990982085538519"/>
    <x v="1"/>
  </r>
  <r>
    <n v="86.799779999999998"/>
    <n v="97.067027027026995"/>
    <n v="59.576329509738059"/>
    <x v="1"/>
  </r>
  <r>
    <n v="96.903000000000006"/>
    <n v="93.146666666666633"/>
    <n v="55.537058795750205"/>
    <x v="1"/>
  </r>
  <r>
    <n v="95.570999999999998"/>
    <n v="91.35499999999999"/>
    <n v="55.130771953287194"/>
    <x v="1"/>
  </r>
  <r>
    <n v="64.598669999999984"/>
    <n v="67.018726114649681"/>
    <n v="63.745222179243576"/>
    <x v="1"/>
  </r>
  <r>
    <n v="92.241"/>
    <n v="78.36"/>
    <n v="50.69818647212756"/>
    <x v="1"/>
  </r>
  <r>
    <n v="86.247"/>
    <n v="89.47999999999999"/>
    <n v="44.490918230287335"/>
    <x v="2"/>
  </r>
  <r>
    <n v="42.620669999999997"/>
    <n v="68.001334903225796"/>
    <n v="50.246136498810358"/>
    <x v="2"/>
  </r>
  <r>
    <n v="49.946669999999997"/>
    <n v="57.239443999999999"/>
    <n v="53.039632440729868"/>
    <x v="2"/>
  </r>
  <r>
    <n v="69.703559999999996"/>
    <n v="47.013734053416115"/>
    <n v="53.908434135804555"/>
    <x v="2"/>
  </r>
  <r>
    <n v="31.521779999999996"/>
    <n v="68.001334903225796"/>
    <n v="47.187196620941045"/>
    <x v="2"/>
  </r>
  <r>
    <n v="42.177779999999998"/>
    <n v="68.464489795918354"/>
    <n v="45.022018574946074"/>
    <x v="2"/>
  </r>
  <r>
    <n v="67.039559999999994"/>
    <n v="39.459721999999999"/>
    <n v="50.877104057966164"/>
    <x v="2"/>
  </r>
  <r>
    <n v="34.352279999999993"/>
    <n v="61.68"/>
    <n v="42.609936988491832"/>
    <x v="2"/>
  </r>
  <r>
    <n v="40.959000000000003"/>
    <n v="52.8"/>
    <n v="44.57990797946173"/>
    <x v="2"/>
  </r>
  <r>
    <n v="34.851779999999998"/>
    <n v="66.313147999999984"/>
    <n v="39.767269017699185"/>
    <x v="2"/>
  </r>
  <r>
    <n v="51.281999999999996"/>
    <n v="37.046295999999998"/>
    <n v="47.279651045600993"/>
    <x v="2"/>
  </r>
  <r>
    <n v="52.946999999999996"/>
    <n v="60.58"/>
    <n v="33.889799576846528"/>
    <x v="2"/>
  </r>
  <r>
    <n v="26.360279999999996"/>
    <n v="32.779722"/>
    <n v="48.571967413030897"/>
    <x v="2"/>
  </r>
  <r>
    <n v="32.853779999999993"/>
    <n v="40.752592"/>
    <n v="42.805362830292516"/>
    <x v="2"/>
  </r>
  <r>
    <n v="32.520779999999995"/>
    <n v="32.046295999999998"/>
    <n v="45.235180695217075"/>
    <x v="2"/>
  </r>
  <r>
    <n v="54.718559999999997"/>
    <n v="29.266573999999999"/>
    <n v="42.344360180378757"/>
    <x v="2"/>
  </r>
  <r>
    <n v="54.718559999999997"/>
    <n v="34.266573999999999"/>
    <n v="38.098388663967569"/>
    <x v="3"/>
  </r>
  <r>
    <n v="33.296669999999992"/>
    <n v="72.8"/>
    <n v="24.12994197802194"/>
    <x v="3"/>
  </r>
  <r>
    <n v="35.351279999999996"/>
    <n v="44.46"/>
    <n v="34.222496923076903"/>
    <x v="3"/>
  </r>
  <r>
    <n v="54.278999999999996"/>
    <n v="29.266573999999999"/>
    <n v="35.465478232712002"/>
    <x v="3"/>
  </r>
  <r>
    <n v="54.718559999999997"/>
    <n v="40.386573999999996"/>
    <n v="29.630769230769225"/>
    <x v="3"/>
  </r>
  <r>
    <n v="33.296669999999992"/>
    <n v="36.119721999999996"/>
    <n v="29.594283846153839"/>
    <x v="3"/>
  </r>
  <r>
    <n v="32.520779999999995"/>
    <n v="31.119721999999999"/>
    <n v="30.345079414512568"/>
    <x v="3"/>
  </r>
  <r>
    <n v="55.497779999999999"/>
    <n v="37.046295999999998"/>
    <n v="24.317781538461535"/>
    <x v="3"/>
  </r>
  <r>
    <n v="35.351279999999996"/>
    <n v="50.019999999999996"/>
    <n v="20.691818461538453"/>
    <x v="3"/>
  </r>
  <r>
    <n v="55.497779999999999"/>
    <n v="26.853148000000001"/>
    <n v="24.566392307692301"/>
    <x v="3"/>
  </r>
  <r>
    <n v="66.819779999999994"/>
    <n v="35.193148000000001"/>
    <n v="18.720429230769227"/>
    <x v="3"/>
  </r>
  <r>
    <n v="22.197779999999998"/>
    <n v="37.606574000000002"/>
    <n v="22.958639999999995"/>
    <x v="3"/>
  </r>
  <r>
    <n v="43.619669999999999"/>
    <n v="33.340000000000003"/>
    <n v="18.416940769230752"/>
    <x v="3"/>
  </r>
  <r>
    <n v="44.395559999999996"/>
    <n v="33.899444000000003"/>
    <n v="17.943064615384614"/>
    <x v="3"/>
  </r>
  <r>
    <n v="22.197779999999998"/>
    <n v="35.193148000000001"/>
    <n v="20.745509230769223"/>
    <x v="3"/>
  </r>
  <r>
    <n v="22.197779999999998"/>
    <n v="43.533147999999997"/>
    <n v="9.1840307692307519"/>
    <x v="4"/>
  </r>
  <r>
    <n v="22.197779999999998"/>
    <n v="31.119722000000003"/>
    <n v="13.897226923076918"/>
    <x v="4"/>
  </r>
  <r>
    <n v="41.73489"/>
    <n v="36.68"/>
    <n v="8.4661538461538282"/>
    <x v="4"/>
  </r>
  <r>
    <n v="11.098889999999999"/>
    <n v="31.119999999999997"/>
    <n v="15.265807692307671"/>
    <x v="4"/>
  </r>
  <r>
    <n v="33.296669999999992"/>
    <n v="21.853148000000001"/>
    <n v="14.550327692307672"/>
    <x v="4"/>
  </r>
  <r>
    <n v="33.299999999999997"/>
    <n v="23.706296000000002"/>
    <n v="13.119367692307668"/>
    <x v="4"/>
  </r>
  <r>
    <n v="33.296669999999992"/>
    <n v="33.340000000000003"/>
    <n v="8.2275492307692097"/>
    <x v="4"/>
  </r>
  <r>
    <n v="11.098889999999999"/>
    <n v="33.340000000000003"/>
    <n v="9.5402384615384399"/>
    <x v="4"/>
  </r>
  <r>
    <n v="22.197779999999998"/>
    <n v="26.853148000000001"/>
    <n v="8.3482169230769063"/>
    <x v="4"/>
  </r>
  <r>
    <n v="33.299999999999997"/>
    <n v="22.779722"/>
    <n v="4.2922123076923056"/>
    <x v="4"/>
  </r>
  <r>
    <n v="22.197779999999998"/>
    <n v="21.853148000000001"/>
    <n v="4.4123792307692247"/>
    <x v="4"/>
  </r>
  <r>
    <n v="24.362279999999998"/>
    <n v="22.779722"/>
    <n v="3.3384615384615381"/>
    <x v="4"/>
  </r>
  <r>
    <n v="44.398889999999994"/>
    <n v="5"/>
    <n v="6.0865707692307653"/>
    <x v="4"/>
  </r>
  <r>
    <n v="33.299999999999997"/>
    <n v="25.193148000000001"/>
    <n v="0"/>
    <x v="4"/>
  </r>
  <r>
    <n v="20.422889999999995"/>
    <n v="26.119721999999999"/>
    <n v="0.83581384615384602"/>
    <x v="4"/>
  </r>
  <r>
    <n v="22.197779999999998"/>
    <n v="20"/>
    <n v="1.6692307692307691"/>
    <x v="4"/>
  </r>
  <r>
    <n v="33.299999999999997"/>
    <n v="15"/>
    <n v="1.6692307692307691"/>
    <x v="4"/>
  </r>
  <r>
    <n v="22.197779999999998"/>
    <n v="15"/>
    <n v="0.95375076923076607"/>
    <x v="4"/>
  </r>
  <r>
    <n v="22.197779999999998"/>
    <n v="15"/>
    <n v="0.83581384615384602"/>
    <x v="4"/>
  </r>
  <r>
    <n v="0"/>
    <n v="10"/>
    <n v="5.2456292307692118"/>
    <x v="4"/>
  </r>
  <r>
    <n v="22.197779999999998"/>
    <n v="10"/>
    <n v="0"/>
    <x v="4"/>
  </r>
  <r>
    <n v="22.197779999999998"/>
    <n v="0"/>
    <n v="0"/>
    <x v="4"/>
  </r>
  <r>
    <n v="46.001795294117656"/>
    <n v="47.677558209473744"/>
    <n v="34.473047091229944"/>
    <x v="5"/>
  </r>
  <r>
    <n v="100"/>
    <n v="100"/>
    <n v="100"/>
    <x v="5"/>
  </r>
</pivotCacheRecords>
</file>

<file path=xl/pivotCache/pivotCacheRecords3.xml><?xml version="1.0" encoding="utf-8"?>
<pivotCacheRecords xmlns="http://schemas.openxmlformats.org/spreadsheetml/2006/main" xmlns:r="http://schemas.openxmlformats.org/officeDocument/2006/relationships" count="2652">
  <r>
    <s v="AT-8-dates-actual"/>
    <x v="0"/>
    <s v="AT-8"/>
    <x v="0"/>
    <s v="dates-actual"/>
    <x v="0"/>
    <x v="0"/>
    <x v="0"/>
    <x v="0"/>
    <n v="17"/>
    <n v="1.6299999999999999E-2"/>
    <x v="0"/>
    <x v="0"/>
    <n v="0"/>
    <x v="0"/>
    <n v="0"/>
    <n v="0"/>
    <m/>
    <n v="1"/>
    <n v="1"/>
    <n v="0"/>
    <x v="0"/>
    <n v="0"/>
    <m/>
    <m/>
    <n v="0"/>
    <n v="0"/>
  </r>
  <r>
    <s v="AT-8-contact-details"/>
    <x v="0"/>
    <s v="AT-8"/>
    <x v="1"/>
    <s v="contact-details"/>
    <x v="1"/>
    <x v="0"/>
    <x v="0"/>
    <x v="0"/>
    <n v="19"/>
    <n v="1.6299999999999999E-2"/>
    <x v="0"/>
    <x v="1"/>
    <n v="33.33"/>
    <x v="1"/>
    <n v="0"/>
    <n v="0"/>
    <m/>
    <n v="1"/>
    <n v="1"/>
    <n v="0"/>
    <x v="1"/>
    <n v="1"/>
    <m/>
    <s v="website"/>
    <n v="33.33"/>
    <n v="33.33"/>
  </r>
  <r>
    <s v="AT-8-current-status"/>
    <x v="0"/>
    <s v="AT-8"/>
    <x v="0"/>
    <s v="current-status"/>
    <x v="2"/>
    <x v="0"/>
    <x v="0"/>
    <x v="0"/>
    <n v="18"/>
    <n v="1.6299999999999999E-2"/>
    <x v="0"/>
    <x v="0"/>
    <n v="0"/>
    <x v="0"/>
    <n v="0"/>
    <n v="0"/>
    <m/>
    <n v="1"/>
    <n v="1"/>
    <n v="0"/>
    <x v="0"/>
    <n v="0"/>
    <m/>
    <m/>
    <n v="0"/>
    <n v="0"/>
  </r>
  <r>
    <s v="AT-8-description"/>
    <x v="0"/>
    <s v="AT-8"/>
    <x v="1"/>
    <s v="description"/>
    <x v="3"/>
    <x v="0"/>
    <x v="0"/>
    <x v="0"/>
    <n v="15"/>
    <n v="1.6299999999999999E-2"/>
    <x v="0"/>
    <x v="1"/>
    <n v="33.33"/>
    <x v="1"/>
    <n v="0"/>
    <n v="0"/>
    <m/>
    <n v="1"/>
    <n v="1"/>
    <n v="0"/>
    <x v="1"/>
    <n v="1"/>
    <m/>
    <s v="website"/>
    <n v="33.33"/>
    <n v="33.33"/>
  </r>
  <r>
    <s v="AT-8-implementer"/>
    <x v="0"/>
    <s v="AT-8"/>
    <x v="1"/>
    <s v="implementer"/>
    <x v="4"/>
    <x v="0"/>
    <x v="0"/>
    <x v="0"/>
    <n v="12"/>
    <n v="1.6299999999999999E-2"/>
    <x v="0"/>
    <x v="1"/>
    <n v="33.33"/>
    <x v="1"/>
    <n v="0"/>
    <n v="0"/>
    <m/>
    <n v="1"/>
    <n v="1"/>
    <n v="0"/>
    <x v="1"/>
    <n v="1"/>
    <m/>
    <s v="website"/>
    <n v="33.33"/>
    <n v="33.33"/>
  </r>
  <r>
    <s v="AT-8-dates-planned"/>
    <x v="0"/>
    <s v="AT-8"/>
    <x v="0"/>
    <s v="dates-planned"/>
    <x v="5"/>
    <x v="0"/>
    <x v="0"/>
    <x v="0"/>
    <n v="16"/>
    <n v="1.6299999999999999E-2"/>
    <x v="0"/>
    <x v="0"/>
    <n v="0"/>
    <x v="0"/>
    <n v="0"/>
    <n v="0"/>
    <m/>
    <n v="1"/>
    <n v="1"/>
    <n v="0"/>
    <x v="0"/>
    <n v="0"/>
    <m/>
    <m/>
    <n v="0"/>
    <n v="0"/>
  </r>
  <r>
    <s v="AT-8-title"/>
    <x v="0"/>
    <s v="AT-8"/>
    <x v="1"/>
    <s v="title"/>
    <x v="6"/>
    <x v="0"/>
    <x v="0"/>
    <x v="0"/>
    <n v="14"/>
    <n v="1.6299999999999999E-2"/>
    <x v="0"/>
    <x v="1"/>
    <n v="33.33"/>
    <x v="1"/>
    <n v="0"/>
    <n v="0"/>
    <m/>
    <n v="1"/>
    <n v="1"/>
    <n v="0"/>
    <x v="1"/>
    <n v="1"/>
    <m/>
    <s v="website"/>
    <n v="33.33"/>
    <n v="33.33"/>
  </r>
  <r>
    <s v="AT-8-unique-id"/>
    <x v="0"/>
    <s v="AT-8"/>
    <x v="1"/>
    <s v="unique-id"/>
    <x v="7"/>
    <x v="0"/>
    <x v="0"/>
    <x v="0"/>
    <n v="13"/>
    <n v="1.6299999999999999E-2"/>
    <x v="0"/>
    <x v="1"/>
    <n v="33.33"/>
    <x v="1"/>
    <n v="0"/>
    <n v="0"/>
    <m/>
    <n v="1"/>
    <n v="1"/>
    <n v="0"/>
    <x v="1"/>
    <n v="1"/>
    <m/>
    <s v="website"/>
    <n v="33.33"/>
    <n v="33.33"/>
  </r>
  <r>
    <s v="AT-8-aid-type"/>
    <x v="0"/>
    <s v="AT-8"/>
    <x v="0"/>
    <s v="aid-type"/>
    <x v="8"/>
    <x v="0"/>
    <x v="1"/>
    <x v="1"/>
    <n v="22"/>
    <n v="1.8599999999999998E-2"/>
    <x v="0"/>
    <x v="0"/>
    <n v="0"/>
    <x v="0"/>
    <n v="0"/>
    <n v="0"/>
    <m/>
    <n v="1"/>
    <n v="1"/>
    <n v="0"/>
    <x v="0"/>
    <n v="0"/>
    <m/>
    <m/>
    <n v="0"/>
    <n v="0"/>
  </r>
  <r>
    <s v="AT-8-collaboration-type"/>
    <x v="0"/>
    <s v="AT-8"/>
    <x v="0"/>
    <s v="collaboration-type"/>
    <x v="9"/>
    <x v="0"/>
    <x v="1"/>
    <x v="1"/>
    <n v="20"/>
    <n v="1.8599999999999998E-2"/>
    <x v="0"/>
    <x v="0"/>
    <n v="0"/>
    <x v="0"/>
    <n v="0"/>
    <n v="0"/>
    <m/>
    <n v="1"/>
    <n v="1"/>
    <n v="0"/>
    <x v="0"/>
    <n v="0"/>
    <m/>
    <m/>
    <n v="0"/>
    <n v="0"/>
  </r>
  <r>
    <s v="AT-8-finance-type"/>
    <x v="0"/>
    <s v="AT-8"/>
    <x v="0"/>
    <s v="finance-type"/>
    <x v="10"/>
    <x v="0"/>
    <x v="1"/>
    <x v="1"/>
    <n v="23"/>
    <n v="1.8599999999999998E-2"/>
    <x v="0"/>
    <x v="0"/>
    <n v="0"/>
    <x v="0"/>
    <n v="0"/>
    <n v="0"/>
    <m/>
    <n v="1"/>
    <n v="1"/>
    <n v="0"/>
    <x v="0"/>
    <n v="0"/>
    <m/>
    <m/>
    <n v="0"/>
    <n v="0"/>
  </r>
  <r>
    <s v="AT-8-flow-type"/>
    <x v="0"/>
    <s v="AT-8"/>
    <x v="0"/>
    <s v="flow-type"/>
    <x v="11"/>
    <x v="0"/>
    <x v="1"/>
    <x v="1"/>
    <n v="21"/>
    <n v="1.8599999999999998E-2"/>
    <x v="0"/>
    <x v="0"/>
    <n v="0"/>
    <x v="0"/>
    <n v="0"/>
    <n v="0"/>
    <m/>
    <n v="1"/>
    <n v="1"/>
    <n v="0"/>
    <x v="0"/>
    <n v="0"/>
    <m/>
    <m/>
    <n v="0"/>
    <n v="0"/>
  </r>
  <r>
    <s v="AT-8-sector"/>
    <x v="0"/>
    <s v="AT-8"/>
    <x v="0"/>
    <s v="sector"/>
    <x v="12"/>
    <x v="0"/>
    <x v="1"/>
    <x v="1"/>
    <n v="24"/>
    <n v="1.8599999999999998E-2"/>
    <x v="0"/>
    <x v="0"/>
    <n v="0"/>
    <x v="0"/>
    <n v="0"/>
    <n v="0"/>
    <m/>
    <n v="1"/>
    <n v="1"/>
    <n v="0"/>
    <x v="0"/>
    <n v="0"/>
    <m/>
    <m/>
    <n v="0"/>
    <n v="0"/>
  </r>
  <r>
    <s v="AT-8-location"/>
    <x v="0"/>
    <s v="AT-8"/>
    <x v="0"/>
    <s v="location"/>
    <x v="13"/>
    <x v="0"/>
    <x v="1"/>
    <x v="1"/>
    <n v="25"/>
    <n v="1.8599999999999998E-2"/>
    <x v="0"/>
    <x v="1"/>
    <n v="0"/>
    <x v="0"/>
    <n v="0"/>
    <n v="0"/>
    <m/>
    <n v="1"/>
    <n v="1"/>
    <n v="0"/>
    <x v="2"/>
    <n v="0"/>
    <m/>
    <s v="website"/>
    <n v="33.33"/>
    <n v="0"/>
  </r>
  <r>
    <s v="AT-8-tied-aid-status"/>
    <x v="0"/>
    <s v="AT-8"/>
    <x v="0"/>
    <s v="tied-aid-status"/>
    <x v="14"/>
    <x v="0"/>
    <x v="1"/>
    <x v="1"/>
    <n v="26"/>
    <n v="1.8599999999999998E-2"/>
    <x v="0"/>
    <x v="0"/>
    <n v="0"/>
    <x v="0"/>
    <n v="0"/>
    <n v="0"/>
    <m/>
    <n v="1"/>
    <n v="1"/>
    <n v="0"/>
    <x v="0"/>
    <n v="0"/>
    <m/>
    <m/>
    <n v="0"/>
    <n v="0"/>
  </r>
  <r>
    <s v="AT-8-expenditure-actual"/>
    <x v="0"/>
    <s v="AT-8"/>
    <x v="0"/>
    <s v="expenditure-actual"/>
    <x v="15"/>
    <x v="0"/>
    <x v="2"/>
    <x v="2"/>
    <n v="35"/>
    <n v="3.2500000000000001E-2"/>
    <x v="0"/>
    <x v="0"/>
    <n v="0"/>
    <x v="0"/>
    <n v="0"/>
    <n v="0"/>
    <m/>
    <n v="1"/>
    <n v="1"/>
    <n v="0"/>
    <x v="0"/>
    <n v="0"/>
    <m/>
    <m/>
    <n v="0"/>
    <n v="0"/>
  </r>
  <r>
    <s v="AT-8-cost-overall"/>
    <x v="0"/>
    <s v="AT-8"/>
    <x v="0"/>
    <s v="cost-overall"/>
    <x v="16"/>
    <x v="0"/>
    <x v="2"/>
    <x v="2"/>
    <n v="33"/>
    <n v="3.2500000000000001E-2"/>
    <x v="0"/>
    <x v="0"/>
    <n v="0"/>
    <x v="0"/>
    <n v="0"/>
    <n v="0"/>
    <m/>
    <n v="1"/>
    <n v="1"/>
    <n v="0"/>
    <x v="0"/>
    <n v="0"/>
    <m/>
    <m/>
    <n v="0"/>
    <n v="0"/>
  </r>
  <r>
    <s v="AT-8-expenditure-planned"/>
    <x v="0"/>
    <s v="AT-8"/>
    <x v="2"/>
    <s v="expenditure-planned"/>
    <x v="17"/>
    <x v="0"/>
    <x v="2"/>
    <x v="2"/>
    <n v="34"/>
    <n v="3.2500000000000001E-2"/>
    <x v="0"/>
    <x v="1"/>
    <n v="33.33"/>
    <x v="1"/>
    <n v="0"/>
    <n v="0"/>
    <m/>
    <n v="1"/>
    <n v="1"/>
    <n v="0"/>
    <x v="1"/>
    <n v="1"/>
    <m/>
    <s v="website"/>
    <n v="33.33"/>
    <n v="33.33"/>
  </r>
  <r>
    <s v="AT-8-budget-identifier"/>
    <x v="0"/>
    <s v="AT-8"/>
    <x v="0"/>
    <s v="budget-identifier"/>
    <x v="18"/>
    <x v="0"/>
    <x v="2"/>
    <x v="2"/>
    <n v="36"/>
    <n v="3.2500000000000001E-2"/>
    <x v="0"/>
    <x v="0"/>
    <n v="0"/>
    <x v="0"/>
    <n v="0"/>
    <n v="0"/>
    <m/>
    <n v="1"/>
    <n v="1"/>
    <n v="0"/>
    <x v="0"/>
    <n v="0"/>
    <m/>
    <m/>
    <n v="0"/>
    <n v="0"/>
  </r>
  <r>
    <s v="AT-8-conditions"/>
    <x v="0"/>
    <s v="AT-8"/>
    <x v="0"/>
    <s v="conditions"/>
    <x v="19"/>
    <x v="0"/>
    <x v="3"/>
    <x v="3"/>
    <n v="39"/>
    <n v="4.3299999999999998E-2"/>
    <x v="0"/>
    <x v="2"/>
    <n v="0"/>
    <x v="0"/>
    <n v="0"/>
    <n v="0"/>
    <m/>
    <n v="1"/>
    <n v="1"/>
    <n v="0"/>
    <x v="0"/>
    <n v="0"/>
    <m/>
    <s v="document"/>
    <n v="50"/>
    <n v="0"/>
  </r>
  <r>
    <s v="AT-8-impact-appraisals"/>
    <x v="0"/>
    <s v="AT-8"/>
    <x v="0"/>
    <s v="impact-appraisals"/>
    <x v="20"/>
    <x v="0"/>
    <x v="3"/>
    <x v="3"/>
    <n v="38"/>
    <n v="4.3299999999999998E-2"/>
    <x v="0"/>
    <x v="2"/>
    <n v="0"/>
    <x v="0"/>
    <n v="0"/>
    <n v="0"/>
    <m/>
    <n v="1"/>
    <n v="1"/>
    <n v="0"/>
    <x v="0"/>
    <n v="0"/>
    <m/>
    <s v="document"/>
    <n v="50"/>
    <n v="0"/>
  </r>
  <r>
    <s v="AT-8-results"/>
    <x v="0"/>
    <s v="AT-8"/>
    <x v="0"/>
    <s v="results"/>
    <x v="21"/>
    <x v="0"/>
    <x v="3"/>
    <x v="3"/>
    <n v="37"/>
    <n v="4.3299999999999998E-2"/>
    <x v="0"/>
    <x v="3"/>
    <n v="0"/>
    <x v="0"/>
    <n v="0"/>
    <n v="0"/>
    <m/>
    <n v="1"/>
    <n v="1"/>
    <n v="0"/>
    <x v="2"/>
    <n v="0"/>
    <m/>
    <s v="pdf"/>
    <n v="16.664999999999999"/>
    <n v="0"/>
  </r>
  <r>
    <s v="AT-8-budget"/>
    <x v="0"/>
    <s v="AT-8"/>
    <x v="0"/>
    <s v="budget"/>
    <x v="22"/>
    <x v="0"/>
    <x v="4"/>
    <x v="4"/>
    <n v="30"/>
    <n v="2.1700000000000001E-2"/>
    <x v="0"/>
    <x v="2"/>
    <n v="0"/>
    <x v="0"/>
    <n v="0"/>
    <n v="0"/>
    <m/>
    <n v="1"/>
    <n v="1"/>
    <n v="0"/>
    <x v="0"/>
    <n v="0"/>
    <m/>
    <s v="document"/>
    <n v="50"/>
    <n v="0"/>
  </r>
  <r>
    <s v="AT-8-contracts"/>
    <x v="0"/>
    <s v="AT-8"/>
    <x v="0"/>
    <s v="contracts"/>
    <x v="23"/>
    <x v="0"/>
    <x v="4"/>
    <x v="4"/>
    <n v="31"/>
    <n v="2.1700000000000001E-2"/>
    <x v="0"/>
    <x v="2"/>
    <n v="0"/>
    <x v="0"/>
    <n v="0"/>
    <n v="0"/>
    <m/>
    <n v="1"/>
    <n v="1"/>
    <n v="0"/>
    <x v="2"/>
    <n v="0"/>
    <m/>
    <s v="document"/>
    <n v="50"/>
    <n v="0"/>
  </r>
  <r>
    <s v="AT-8-evaluations"/>
    <x v="0"/>
    <s v="AT-8"/>
    <x v="3"/>
    <s v="evaluations"/>
    <x v="24"/>
    <x v="0"/>
    <x v="4"/>
    <x v="4"/>
    <n v="28"/>
    <n v="2.1700000000000001E-2"/>
    <x v="0"/>
    <x v="2"/>
    <n v="50"/>
    <x v="2"/>
    <n v="0"/>
    <n v="0"/>
    <m/>
    <n v="1"/>
    <n v="1"/>
    <n v="0"/>
    <x v="1"/>
    <n v="1"/>
    <m/>
    <s v="document"/>
    <n v="50"/>
    <n v="50"/>
  </r>
  <r>
    <s v="AT-8-mou"/>
    <x v="0"/>
    <s v="AT-8"/>
    <x v="0"/>
    <s v="mou"/>
    <x v="25"/>
    <x v="0"/>
    <x v="4"/>
    <x v="4"/>
    <n v="27"/>
    <n v="2.1700000000000001E-2"/>
    <x v="0"/>
    <x v="2"/>
    <n v="0"/>
    <x v="0"/>
    <n v="0"/>
    <n v="0"/>
    <m/>
    <n v="1"/>
    <n v="1"/>
    <n v="0"/>
    <x v="0"/>
    <n v="0"/>
    <m/>
    <s v="document"/>
    <n v="50"/>
    <n v="0"/>
  </r>
  <r>
    <s v="AT-8-objectives"/>
    <x v="0"/>
    <s v="AT-8"/>
    <x v="0"/>
    <s v="objectives"/>
    <x v="26"/>
    <x v="0"/>
    <x v="4"/>
    <x v="4"/>
    <n v="29"/>
    <n v="2.1700000000000001E-2"/>
    <x v="0"/>
    <x v="2"/>
    <n v="0"/>
    <x v="0"/>
    <n v="0"/>
    <n v="0"/>
    <m/>
    <n v="1"/>
    <n v="1"/>
    <n v="0"/>
    <x v="2"/>
    <n v="0"/>
    <m/>
    <s v="document"/>
    <n v="50"/>
    <n v="0"/>
  </r>
  <r>
    <s v="AT-8-tenders"/>
    <x v="0"/>
    <s v="AT-8"/>
    <x v="3"/>
    <s v="tenders"/>
    <x v="27"/>
    <x v="0"/>
    <x v="4"/>
    <x v="4"/>
    <n v="32"/>
    <n v="2.1700000000000001E-2"/>
    <x v="0"/>
    <x v="2"/>
    <n v="50"/>
    <x v="2"/>
    <n v="0"/>
    <n v="0"/>
    <m/>
    <n v="1"/>
    <n v="1"/>
    <n v="0"/>
    <x v="1"/>
    <n v="1"/>
    <m/>
    <s v="document"/>
    <n v="50"/>
    <n v="50"/>
  </r>
  <r>
    <s v="AT-8-audit"/>
    <x v="0"/>
    <s v="AT-8"/>
    <x v="4"/>
    <s v="audit"/>
    <x v="28"/>
    <x v="1"/>
    <x v="2"/>
    <x v="5"/>
    <n v="11"/>
    <n v="4.1700000000000001E-2"/>
    <x v="0"/>
    <x v="2"/>
    <n v="50"/>
    <x v="2"/>
    <n v="0"/>
    <n v="0"/>
    <m/>
    <n v="1"/>
    <n v="1"/>
    <n v="0"/>
    <x v="1"/>
    <n v="1"/>
    <m/>
    <s v="document"/>
    <n v="50"/>
    <n v="50"/>
  </r>
  <r>
    <s v="AT-8-total-budget"/>
    <x v="0"/>
    <s v="AT-8"/>
    <x v="5"/>
    <s v="total-budget"/>
    <x v="29"/>
    <x v="1"/>
    <x v="2"/>
    <x v="5"/>
    <n v="9"/>
    <n v="4.1700000000000001E-2"/>
    <x v="0"/>
    <x v="3"/>
    <n v="11.11"/>
    <x v="3"/>
    <n v="0"/>
    <n v="0"/>
    <m/>
    <n v="1"/>
    <n v="1"/>
    <n v="0"/>
    <x v="3"/>
    <n v="0"/>
    <n v="2"/>
    <s v="pdf"/>
    <n v="16.664999999999999"/>
    <n v="11.11"/>
  </r>
  <r>
    <s v="AT-8-disaggregated-budgets"/>
    <x v="0"/>
    <s v="AT-8"/>
    <x v="4"/>
    <s v="disaggregated-budgets"/>
    <x v="30"/>
    <x v="1"/>
    <x v="2"/>
    <x v="5"/>
    <n v="10"/>
    <n v="4.1700000000000001E-2"/>
    <x v="0"/>
    <x v="4"/>
    <n v="50"/>
    <x v="2"/>
    <n v="0"/>
    <n v="0"/>
    <m/>
    <n v="1"/>
    <n v="1"/>
    <n v="0"/>
    <x v="3"/>
    <n v="0"/>
    <n v="3"/>
    <s v="machine-readable"/>
    <n v="50"/>
    <n v="50"/>
  </r>
  <r>
    <s v="AT-8-strategy"/>
    <x v="0"/>
    <s v="AT-8"/>
    <x v="6"/>
    <s v="strategy"/>
    <x v="31"/>
    <x v="1"/>
    <x v="5"/>
    <x v="6"/>
    <n v="4"/>
    <n v="2.5000000000000001E-2"/>
    <x v="0"/>
    <x v="2"/>
    <n v="50"/>
    <x v="2"/>
    <n v="0"/>
    <n v="0"/>
    <m/>
    <n v="1"/>
    <n v="1"/>
    <n v="0"/>
    <x v="1"/>
    <n v="1"/>
    <m/>
    <s v="document"/>
    <n v="50"/>
    <n v="50"/>
  </r>
  <r>
    <s v="AT-8-annual-report"/>
    <x v="0"/>
    <s v="AT-8"/>
    <x v="6"/>
    <s v="annual-report"/>
    <x v="32"/>
    <x v="1"/>
    <x v="5"/>
    <x v="6"/>
    <n v="5"/>
    <n v="2.5000000000000001E-2"/>
    <x v="0"/>
    <x v="2"/>
    <n v="50"/>
    <x v="2"/>
    <n v="0"/>
    <n v="0"/>
    <m/>
    <n v="1"/>
    <n v="1"/>
    <n v="0"/>
    <x v="1"/>
    <n v="1"/>
    <m/>
    <s v="document"/>
    <n v="50"/>
    <n v="50"/>
  </r>
  <r>
    <s v="AT-8-allocation"/>
    <x v="0"/>
    <s v="AT-8"/>
    <x v="6"/>
    <s v="allocation"/>
    <x v="33"/>
    <x v="1"/>
    <x v="5"/>
    <x v="6"/>
    <n v="6"/>
    <n v="2.5000000000000001E-2"/>
    <x v="0"/>
    <x v="2"/>
    <n v="50"/>
    <x v="2"/>
    <n v="0"/>
    <n v="0"/>
    <m/>
    <n v="1"/>
    <n v="1"/>
    <n v="0"/>
    <x v="1"/>
    <n v="1"/>
    <m/>
    <s v="document"/>
    <n v="50"/>
    <n v="50"/>
  </r>
  <r>
    <s v="AT-8-procurement-policy"/>
    <x v="0"/>
    <s v="AT-8"/>
    <x v="6"/>
    <s v="procurement-policy"/>
    <x v="34"/>
    <x v="1"/>
    <x v="5"/>
    <x v="6"/>
    <n v="7"/>
    <n v="2.5000000000000001E-2"/>
    <x v="0"/>
    <x v="2"/>
    <n v="50"/>
    <x v="2"/>
    <n v="0"/>
    <n v="0"/>
    <m/>
    <n v="1"/>
    <n v="1"/>
    <n v="0"/>
    <x v="1"/>
    <n v="1"/>
    <m/>
    <s v="document"/>
    <n v="50"/>
    <n v="50"/>
  </r>
  <r>
    <s v="AT-8-country-strategy"/>
    <x v="0"/>
    <s v="AT-8"/>
    <x v="6"/>
    <s v="country-strategy"/>
    <x v="35"/>
    <x v="1"/>
    <x v="5"/>
    <x v="6"/>
    <n v="8"/>
    <n v="2.5000000000000001E-2"/>
    <x v="0"/>
    <x v="2"/>
    <n v="50"/>
    <x v="2"/>
    <n v="0"/>
    <n v="0"/>
    <m/>
    <n v="1"/>
    <n v="1"/>
    <n v="0"/>
    <x v="1"/>
    <n v="1"/>
    <m/>
    <s v="document"/>
    <n v="50"/>
    <n v="50"/>
  </r>
  <r>
    <s v="AT-8-foia"/>
    <x v="0"/>
    <s v="AT-8"/>
    <x v="7"/>
    <s v="foia"/>
    <x v="36"/>
    <x v="2"/>
    <x v="6"/>
    <x v="7"/>
    <n v="1"/>
    <n v="3.3300000000000003E-2"/>
    <x v="0"/>
    <x v="5"/>
    <n v="33.33"/>
    <x v="1"/>
    <n v="0"/>
    <n v="0"/>
    <m/>
    <n v="1"/>
    <n v="1"/>
    <n v="0"/>
    <x v="3"/>
    <n v="0"/>
    <n v="33.33"/>
    <m/>
    <n v="0"/>
    <n v="33.33"/>
  </r>
  <r>
    <s v="AT-8-accessibility"/>
    <x v="0"/>
    <s v="AT-8"/>
    <x v="7"/>
    <s v="accessibility"/>
    <x v="37"/>
    <x v="2"/>
    <x v="6"/>
    <x v="7"/>
    <n v="3"/>
    <n v="3.3300000000000003E-2"/>
    <x v="0"/>
    <x v="5"/>
    <n v="33.33"/>
    <x v="1"/>
    <n v="0"/>
    <n v="0"/>
    <m/>
    <n v="1"/>
    <n v="1"/>
    <n v="0"/>
    <x v="3"/>
    <n v="0"/>
    <n v="33.33"/>
    <m/>
    <n v="0"/>
    <n v="33.33"/>
  </r>
  <r>
    <s v="AT-8-implementation-schedules"/>
    <x v="0"/>
    <s v="AT-8"/>
    <x v="0"/>
    <s v="implementation-schedules"/>
    <x v="38"/>
    <x v="2"/>
    <x v="6"/>
    <x v="7"/>
    <n v="2"/>
    <n v="3.3300000000000003E-2"/>
    <x v="0"/>
    <x v="5"/>
    <n v="0"/>
    <x v="0"/>
    <n v="0"/>
    <n v="0"/>
    <m/>
    <n v="1"/>
    <n v="1"/>
    <n v="0"/>
    <x v="3"/>
    <n v="0"/>
    <n v="0"/>
    <m/>
    <n v="0"/>
    <n v="0"/>
  </r>
  <r>
    <s v="HR-1-dates-actual"/>
    <x v="1"/>
    <s v="HR-1"/>
    <x v="0"/>
    <s v="dates-actual"/>
    <x v="0"/>
    <x v="0"/>
    <x v="0"/>
    <x v="0"/>
    <n v="17"/>
    <n v="1.6299999999999999E-2"/>
    <x v="0"/>
    <x v="0"/>
    <n v="0"/>
    <x v="0"/>
    <n v="0"/>
    <n v="0"/>
    <m/>
    <n v="1"/>
    <n v="1"/>
    <n v="0"/>
    <x v="0"/>
    <n v="0"/>
    <m/>
    <m/>
    <n v="0"/>
    <n v="0"/>
  </r>
  <r>
    <s v="HR-1-contact-details"/>
    <x v="1"/>
    <s v="HR-1"/>
    <x v="0"/>
    <s v="contact-details"/>
    <x v="1"/>
    <x v="0"/>
    <x v="0"/>
    <x v="0"/>
    <n v="19"/>
    <n v="1.6299999999999999E-2"/>
    <x v="0"/>
    <x v="0"/>
    <n v="0"/>
    <x v="0"/>
    <n v="0"/>
    <n v="0"/>
    <m/>
    <n v="1"/>
    <n v="1"/>
    <n v="0"/>
    <x v="0"/>
    <n v="0"/>
    <m/>
    <m/>
    <n v="0"/>
    <n v="0"/>
  </r>
  <r>
    <s v="HR-1-current-status"/>
    <x v="1"/>
    <s v="HR-1"/>
    <x v="0"/>
    <s v="current-status"/>
    <x v="2"/>
    <x v="0"/>
    <x v="0"/>
    <x v="0"/>
    <n v="18"/>
    <n v="1.6299999999999999E-2"/>
    <x v="0"/>
    <x v="0"/>
    <n v="0"/>
    <x v="0"/>
    <n v="0"/>
    <n v="0"/>
    <m/>
    <n v="1"/>
    <n v="1"/>
    <n v="0"/>
    <x v="0"/>
    <n v="0"/>
    <m/>
    <m/>
    <n v="0"/>
    <n v="0"/>
  </r>
  <r>
    <s v="HR-1-description"/>
    <x v="1"/>
    <s v="HR-1"/>
    <x v="0"/>
    <s v="description"/>
    <x v="3"/>
    <x v="0"/>
    <x v="0"/>
    <x v="0"/>
    <n v="15"/>
    <n v="1.6299999999999999E-2"/>
    <x v="0"/>
    <x v="3"/>
    <n v="0"/>
    <x v="0"/>
    <n v="0"/>
    <n v="0"/>
    <m/>
    <n v="1"/>
    <n v="1"/>
    <n v="0"/>
    <x v="2"/>
    <n v="0"/>
    <m/>
    <s v="pdf"/>
    <n v="16.664999999999999"/>
    <n v="0"/>
  </r>
  <r>
    <s v="HR-1-implementer"/>
    <x v="1"/>
    <s v="HR-1"/>
    <x v="0"/>
    <s v="implementer"/>
    <x v="4"/>
    <x v="0"/>
    <x v="0"/>
    <x v="0"/>
    <n v="12"/>
    <n v="1.6299999999999999E-2"/>
    <x v="0"/>
    <x v="0"/>
    <n v="0"/>
    <x v="0"/>
    <n v="0"/>
    <n v="0"/>
    <m/>
    <n v="1"/>
    <n v="1"/>
    <n v="0"/>
    <x v="0"/>
    <n v="0"/>
    <m/>
    <m/>
    <n v="0"/>
    <n v="0"/>
  </r>
  <r>
    <s v="HR-1-dates-planned"/>
    <x v="1"/>
    <s v="HR-1"/>
    <x v="0"/>
    <s v="dates-planned"/>
    <x v="5"/>
    <x v="0"/>
    <x v="0"/>
    <x v="0"/>
    <n v="16"/>
    <n v="1.6299999999999999E-2"/>
    <x v="0"/>
    <x v="0"/>
    <n v="0"/>
    <x v="0"/>
    <n v="0"/>
    <n v="0"/>
    <m/>
    <n v="1"/>
    <n v="1"/>
    <n v="0"/>
    <x v="0"/>
    <n v="0"/>
    <m/>
    <m/>
    <n v="0"/>
    <n v="0"/>
  </r>
  <r>
    <s v="HR-1-title"/>
    <x v="1"/>
    <s v="HR-1"/>
    <x v="0"/>
    <s v="title"/>
    <x v="6"/>
    <x v="0"/>
    <x v="0"/>
    <x v="0"/>
    <n v="14"/>
    <n v="1.6299999999999999E-2"/>
    <x v="0"/>
    <x v="3"/>
    <n v="0"/>
    <x v="0"/>
    <n v="0"/>
    <n v="0"/>
    <m/>
    <n v="1"/>
    <n v="1"/>
    <n v="0"/>
    <x v="2"/>
    <n v="0"/>
    <m/>
    <s v="pdf"/>
    <n v="16.664999999999999"/>
    <n v="0"/>
  </r>
  <r>
    <s v="HR-1-unique-id"/>
    <x v="1"/>
    <s v="HR-1"/>
    <x v="0"/>
    <s v="unique-id"/>
    <x v="7"/>
    <x v="0"/>
    <x v="0"/>
    <x v="0"/>
    <n v="13"/>
    <n v="1.6299999999999999E-2"/>
    <x v="0"/>
    <x v="0"/>
    <n v="0"/>
    <x v="0"/>
    <n v="0"/>
    <n v="0"/>
    <m/>
    <n v="1"/>
    <n v="1"/>
    <n v="0"/>
    <x v="0"/>
    <n v="0"/>
    <m/>
    <m/>
    <n v="0"/>
    <n v="0"/>
  </r>
  <r>
    <s v="HR-1-aid-type"/>
    <x v="1"/>
    <s v="HR-1"/>
    <x v="0"/>
    <s v="aid-type"/>
    <x v="8"/>
    <x v="0"/>
    <x v="1"/>
    <x v="1"/>
    <n v="22"/>
    <n v="1.8599999999999998E-2"/>
    <x v="0"/>
    <x v="3"/>
    <n v="0"/>
    <x v="0"/>
    <n v="0"/>
    <n v="0"/>
    <m/>
    <n v="1"/>
    <n v="1"/>
    <n v="0"/>
    <x v="0"/>
    <n v="0"/>
    <m/>
    <s v="pdf"/>
    <n v="16.664999999999999"/>
    <n v="0"/>
  </r>
  <r>
    <s v="HR-1-collaboration-type"/>
    <x v="1"/>
    <s v="HR-1"/>
    <x v="0"/>
    <s v="collaboration-type"/>
    <x v="9"/>
    <x v="0"/>
    <x v="1"/>
    <x v="1"/>
    <n v="20"/>
    <n v="1.8599999999999998E-2"/>
    <x v="0"/>
    <x v="0"/>
    <n v="0"/>
    <x v="0"/>
    <n v="0"/>
    <n v="0"/>
    <m/>
    <n v="1"/>
    <n v="1"/>
    <n v="0"/>
    <x v="0"/>
    <n v="0"/>
    <m/>
    <m/>
    <n v="0"/>
    <n v="0"/>
  </r>
  <r>
    <s v="HR-1-finance-type"/>
    <x v="1"/>
    <s v="HR-1"/>
    <x v="0"/>
    <s v="finance-type"/>
    <x v="10"/>
    <x v="0"/>
    <x v="1"/>
    <x v="1"/>
    <n v="23"/>
    <n v="1.8599999999999998E-2"/>
    <x v="0"/>
    <x v="0"/>
    <n v="0"/>
    <x v="0"/>
    <n v="0"/>
    <n v="0"/>
    <m/>
    <n v="1"/>
    <n v="1"/>
    <n v="0"/>
    <x v="0"/>
    <n v="0"/>
    <m/>
    <m/>
    <n v="0"/>
    <n v="0"/>
  </r>
  <r>
    <s v="HR-1-flow-type"/>
    <x v="1"/>
    <s v="HR-1"/>
    <x v="8"/>
    <s v="flow-type"/>
    <x v="11"/>
    <x v="0"/>
    <x v="1"/>
    <x v="1"/>
    <n v="21"/>
    <n v="1.8599999999999998E-2"/>
    <x v="0"/>
    <x v="1"/>
    <n v="33.33"/>
    <x v="1"/>
    <n v="0"/>
    <n v="0"/>
    <m/>
    <n v="1"/>
    <n v="1"/>
    <n v="0"/>
    <x v="1"/>
    <n v="1"/>
    <m/>
    <s v="website"/>
    <n v="33.33"/>
    <n v="33.33"/>
  </r>
  <r>
    <s v="HR-1-sector"/>
    <x v="1"/>
    <s v="HR-1"/>
    <x v="0"/>
    <s v="sector"/>
    <x v="12"/>
    <x v="0"/>
    <x v="1"/>
    <x v="1"/>
    <n v="24"/>
    <n v="1.8599999999999998E-2"/>
    <x v="0"/>
    <x v="3"/>
    <n v="0"/>
    <x v="0"/>
    <n v="0"/>
    <n v="0"/>
    <m/>
    <n v="1"/>
    <n v="1"/>
    <n v="0"/>
    <x v="2"/>
    <n v="0"/>
    <m/>
    <s v="pdf"/>
    <n v="16.664999999999999"/>
    <n v="0"/>
  </r>
  <r>
    <s v="HR-1-location"/>
    <x v="1"/>
    <s v="HR-1"/>
    <x v="0"/>
    <s v="location"/>
    <x v="13"/>
    <x v="0"/>
    <x v="1"/>
    <x v="1"/>
    <n v="25"/>
    <n v="1.8599999999999998E-2"/>
    <x v="0"/>
    <x v="3"/>
    <n v="0"/>
    <x v="0"/>
    <n v="0"/>
    <n v="0"/>
    <m/>
    <n v="1"/>
    <n v="1"/>
    <n v="0"/>
    <x v="2"/>
    <n v="0"/>
    <m/>
    <s v="pdf"/>
    <n v="16.664999999999999"/>
    <n v="0"/>
  </r>
  <r>
    <s v="HR-1-tied-aid-status"/>
    <x v="1"/>
    <s v="HR-1"/>
    <x v="0"/>
    <s v="tied-aid-status"/>
    <x v="14"/>
    <x v="0"/>
    <x v="1"/>
    <x v="1"/>
    <n v="26"/>
    <n v="1.8599999999999998E-2"/>
    <x v="0"/>
    <x v="0"/>
    <n v="0"/>
    <x v="0"/>
    <n v="0"/>
    <n v="0"/>
    <m/>
    <n v="1"/>
    <n v="1"/>
    <n v="0"/>
    <x v="0"/>
    <n v="0"/>
    <m/>
    <m/>
    <n v="0"/>
    <n v="0"/>
  </r>
  <r>
    <s v="HR-1-expenditure-actual"/>
    <x v="1"/>
    <s v="HR-1"/>
    <x v="0"/>
    <s v="expenditure-actual"/>
    <x v="15"/>
    <x v="0"/>
    <x v="2"/>
    <x v="2"/>
    <n v="35"/>
    <n v="3.2500000000000001E-2"/>
    <x v="0"/>
    <x v="0"/>
    <n v="0"/>
    <x v="0"/>
    <n v="0"/>
    <n v="0"/>
    <m/>
    <n v="1"/>
    <n v="1"/>
    <n v="0"/>
    <x v="0"/>
    <n v="0"/>
    <m/>
    <m/>
    <n v="0"/>
    <n v="0"/>
  </r>
  <r>
    <s v="HR-1-cost-overall"/>
    <x v="1"/>
    <s v="HR-1"/>
    <x v="0"/>
    <s v="cost-overall"/>
    <x v="16"/>
    <x v="0"/>
    <x v="2"/>
    <x v="2"/>
    <n v="33"/>
    <n v="3.2500000000000001E-2"/>
    <x v="0"/>
    <x v="0"/>
    <n v="0"/>
    <x v="0"/>
    <n v="0"/>
    <n v="0"/>
    <m/>
    <n v="1"/>
    <n v="1"/>
    <n v="0"/>
    <x v="0"/>
    <n v="0"/>
    <m/>
    <m/>
    <n v="0"/>
    <n v="0"/>
  </r>
  <r>
    <s v="HR-1-expenditure-planned"/>
    <x v="1"/>
    <s v="HR-1"/>
    <x v="0"/>
    <s v="expenditure-planned"/>
    <x v="17"/>
    <x v="0"/>
    <x v="2"/>
    <x v="2"/>
    <n v="34"/>
    <n v="3.2500000000000001E-2"/>
    <x v="0"/>
    <x v="3"/>
    <n v="0"/>
    <x v="0"/>
    <n v="0"/>
    <n v="0"/>
    <m/>
    <n v="1"/>
    <n v="1"/>
    <n v="0"/>
    <x v="2"/>
    <n v="0"/>
    <m/>
    <s v="pdf"/>
    <n v="16.664999999999999"/>
    <n v="0"/>
  </r>
  <r>
    <s v="HR-1-budget-identifier"/>
    <x v="1"/>
    <s v="HR-1"/>
    <x v="0"/>
    <s v="budget-identifier"/>
    <x v="18"/>
    <x v="0"/>
    <x v="2"/>
    <x v="2"/>
    <n v="36"/>
    <n v="3.2500000000000001E-2"/>
    <x v="0"/>
    <x v="0"/>
    <n v="0"/>
    <x v="0"/>
    <n v="0"/>
    <n v="0"/>
    <m/>
    <n v="1"/>
    <n v="1"/>
    <n v="0"/>
    <x v="0"/>
    <n v="0"/>
    <m/>
    <m/>
    <n v="0"/>
    <n v="0"/>
  </r>
  <r>
    <s v="HR-1-conditions"/>
    <x v="1"/>
    <s v="HR-1"/>
    <x v="0"/>
    <s v="conditions"/>
    <x v="19"/>
    <x v="0"/>
    <x v="3"/>
    <x v="3"/>
    <n v="39"/>
    <n v="4.3299999999999998E-2"/>
    <x v="0"/>
    <x v="2"/>
    <n v="0"/>
    <x v="0"/>
    <n v="0"/>
    <n v="0"/>
    <m/>
    <n v="1"/>
    <n v="1"/>
    <n v="0"/>
    <x v="0"/>
    <n v="0"/>
    <m/>
    <s v="document"/>
    <n v="50"/>
    <n v="0"/>
  </r>
  <r>
    <s v="HR-1-impact-appraisals"/>
    <x v="1"/>
    <s v="HR-1"/>
    <x v="0"/>
    <s v="impact-appraisals"/>
    <x v="20"/>
    <x v="0"/>
    <x v="3"/>
    <x v="3"/>
    <n v="38"/>
    <n v="4.3299999999999998E-2"/>
    <x v="0"/>
    <x v="2"/>
    <n v="0"/>
    <x v="0"/>
    <n v="0"/>
    <n v="0"/>
    <m/>
    <n v="1"/>
    <n v="1"/>
    <n v="0"/>
    <x v="0"/>
    <n v="0"/>
    <m/>
    <s v="document"/>
    <n v="50"/>
    <n v="0"/>
  </r>
  <r>
    <s v="HR-1-results"/>
    <x v="1"/>
    <s v="HR-1"/>
    <x v="0"/>
    <s v="results"/>
    <x v="21"/>
    <x v="0"/>
    <x v="3"/>
    <x v="3"/>
    <n v="37"/>
    <n v="4.3299999999999998E-2"/>
    <x v="0"/>
    <x v="3"/>
    <n v="0"/>
    <x v="0"/>
    <n v="0"/>
    <n v="0"/>
    <m/>
    <n v="1"/>
    <n v="1"/>
    <n v="0"/>
    <x v="2"/>
    <n v="0"/>
    <m/>
    <s v="pdf"/>
    <n v="16.664999999999999"/>
    <n v="0"/>
  </r>
  <r>
    <s v="HR-1-budget"/>
    <x v="1"/>
    <s v="HR-1"/>
    <x v="0"/>
    <s v="budget"/>
    <x v="22"/>
    <x v="0"/>
    <x v="4"/>
    <x v="4"/>
    <n v="30"/>
    <n v="2.1700000000000001E-2"/>
    <x v="0"/>
    <x v="2"/>
    <n v="0"/>
    <x v="0"/>
    <n v="0"/>
    <n v="0"/>
    <m/>
    <n v="1"/>
    <n v="1"/>
    <n v="0"/>
    <x v="0"/>
    <n v="0"/>
    <m/>
    <s v="document"/>
    <n v="50"/>
    <n v="0"/>
  </r>
  <r>
    <s v="HR-1-contracts"/>
    <x v="1"/>
    <s v="HR-1"/>
    <x v="3"/>
    <s v="contracts"/>
    <x v="23"/>
    <x v="0"/>
    <x v="4"/>
    <x v="4"/>
    <n v="31"/>
    <n v="2.1700000000000001E-2"/>
    <x v="0"/>
    <x v="2"/>
    <n v="50"/>
    <x v="2"/>
    <n v="0"/>
    <n v="0"/>
    <m/>
    <n v="1"/>
    <n v="1"/>
    <n v="0"/>
    <x v="1"/>
    <n v="1"/>
    <m/>
    <s v="document"/>
    <n v="50"/>
    <n v="50"/>
  </r>
  <r>
    <s v="HR-1-evaluations"/>
    <x v="1"/>
    <s v="HR-1"/>
    <x v="0"/>
    <s v="evaluations"/>
    <x v="24"/>
    <x v="0"/>
    <x v="4"/>
    <x v="4"/>
    <n v="28"/>
    <n v="2.1700000000000001E-2"/>
    <x v="0"/>
    <x v="2"/>
    <n v="0"/>
    <x v="0"/>
    <n v="0"/>
    <n v="0"/>
    <m/>
    <n v="1"/>
    <n v="1"/>
    <n v="0"/>
    <x v="0"/>
    <n v="0"/>
    <m/>
    <s v="document"/>
    <n v="50"/>
    <n v="0"/>
  </r>
  <r>
    <s v="HR-1-mou"/>
    <x v="1"/>
    <s v="HR-1"/>
    <x v="0"/>
    <s v="mou"/>
    <x v="25"/>
    <x v="0"/>
    <x v="4"/>
    <x v="4"/>
    <n v="27"/>
    <n v="2.1700000000000001E-2"/>
    <x v="0"/>
    <x v="2"/>
    <n v="0"/>
    <x v="0"/>
    <n v="0"/>
    <n v="0"/>
    <m/>
    <n v="1"/>
    <n v="1"/>
    <n v="0"/>
    <x v="0"/>
    <n v="0"/>
    <m/>
    <s v="document"/>
    <n v="50"/>
    <n v="0"/>
  </r>
  <r>
    <s v="HR-1-objectives"/>
    <x v="1"/>
    <s v="HR-1"/>
    <x v="0"/>
    <s v="objectives"/>
    <x v="26"/>
    <x v="0"/>
    <x v="4"/>
    <x v="4"/>
    <n v="29"/>
    <n v="2.1700000000000001E-2"/>
    <x v="0"/>
    <x v="2"/>
    <n v="0"/>
    <x v="0"/>
    <n v="0"/>
    <n v="0"/>
    <m/>
    <n v="1"/>
    <n v="1"/>
    <n v="0"/>
    <x v="0"/>
    <n v="0"/>
    <m/>
    <s v="document"/>
    <n v="50"/>
    <n v="0"/>
  </r>
  <r>
    <s v="HR-1-tenders"/>
    <x v="1"/>
    <s v="HR-1"/>
    <x v="3"/>
    <s v="tenders"/>
    <x v="27"/>
    <x v="0"/>
    <x v="4"/>
    <x v="4"/>
    <n v="32"/>
    <n v="2.1700000000000001E-2"/>
    <x v="0"/>
    <x v="2"/>
    <n v="50"/>
    <x v="2"/>
    <n v="0"/>
    <n v="0"/>
    <m/>
    <n v="1"/>
    <n v="1"/>
    <n v="0"/>
    <x v="1"/>
    <n v="1"/>
    <m/>
    <s v="document"/>
    <n v="50"/>
    <n v="50"/>
  </r>
  <r>
    <s v="HR-1-audit"/>
    <x v="1"/>
    <s v="HR-1"/>
    <x v="0"/>
    <s v="audit"/>
    <x v="28"/>
    <x v="1"/>
    <x v="2"/>
    <x v="5"/>
    <n v="11"/>
    <n v="4.1700000000000001E-2"/>
    <x v="0"/>
    <x v="2"/>
    <n v="0"/>
    <x v="0"/>
    <n v="0"/>
    <n v="0"/>
    <m/>
    <n v="1"/>
    <n v="1"/>
    <n v="0"/>
    <x v="2"/>
    <n v="0"/>
    <m/>
    <s v="document"/>
    <n v="50"/>
    <n v="0"/>
  </r>
  <r>
    <s v="HR-1-total-budget"/>
    <x v="1"/>
    <s v="HR-1"/>
    <x v="9"/>
    <s v="total-budget"/>
    <x v="29"/>
    <x v="1"/>
    <x v="2"/>
    <x v="5"/>
    <n v="9"/>
    <n v="4.1700000000000001E-2"/>
    <x v="0"/>
    <x v="3"/>
    <n v="16.664999999999999"/>
    <x v="4"/>
    <n v="0"/>
    <n v="0"/>
    <m/>
    <n v="1"/>
    <n v="1"/>
    <n v="0"/>
    <x v="3"/>
    <n v="0"/>
    <n v="3"/>
    <s v="pdf"/>
    <n v="16.664999999999999"/>
    <n v="16.664999999999999"/>
  </r>
  <r>
    <s v="HR-1-disaggregated-budgets"/>
    <x v="1"/>
    <s v="HR-1"/>
    <x v="0"/>
    <s v="disaggregated-budgets"/>
    <x v="30"/>
    <x v="1"/>
    <x v="2"/>
    <x v="5"/>
    <n v="10"/>
    <n v="4.1700000000000001E-2"/>
    <x v="0"/>
    <x v="0"/>
    <n v="0"/>
    <x v="0"/>
    <n v="0"/>
    <n v="0"/>
    <m/>
    <n v="1"/>
    <n v="1"/>
    <n v="0"/>
    <x v="3"/>
    <n v="0"/>
    <n v="0"/>
    <m/>
    <n v="0"/>
    <n v="0"/>
  </r>
  <r>
    <s v="HR-1-strategy"/>
    <x v="1"/>
    <s v="HR-1"/>
    <x v="6"/>
    <s v="strategy"/>
    <x v="31"/>
    <x v="1"/>
    <x v="5"/>
    <x v="6"/>
    <n v="4"/>
    <n v="2.5000000000000001E-2"/>
    <x v="0"/>
    <x v="2"/>
    <n v="50"/>
    <x v="2"/>
    <n v="0"/>
    <n v="0"/>
    <m/>
    <n v="1"/>
    <n v="1"/>
    <n v="0"/>
    <x v="1"/>
    <n v="1"/>
    <m/>
    <s v="document"/>
    <n v="50"/>
    <n v="50"/>
  </r>
  <r>
    <s v="HR-1-annual-report"/>
    <x v="1"/>
    <s v="HR-1"/>
    <x v="6"/>
    <s v="annual-report"/>
    <x v="32"/>
    <x v="1"/>
    <x v="5"/>
    <x v="6"/>
    <n v="5"/>
    <n v="2.5000000000000001E-2"/>
    <x v="0"/>
    <x v="2"/>
    <n v="50"/>
    <x v="2"/>
    <n v="0"/>
    <n v="0"/>
    <m/>
    <n v="1"/>
    <n v="1"/>
    <n v="0"/>
    <x v="1"/>
    <n v="1"/>
    <m/>
    <s v="document"/>
    <n v="50"/>
    <n v="50"/>
  </r>
  <r>
    <s v="HR-1-allocation"/>
    <x v="1"/>
    <s v="HR-1"/>
    <x v="6"/>
    <s v="allocation"/>
    <x v="33"/>
    <x v="1"/>
    <x v="5"/>
    <x v="6"/>
    <n v="6"/>
    <n v="2.5000000000000001E-2"/>
    <x v="0"/>
    <x v="2"/>
    <n v="50"/>
    <x v="2"/>
    <n v="0"/>
    <n v="0"/>
    <m/>
    <n v="1"/>
    <n v="1"/>
    <n v="0"/>
    <x v="1"/>
    <n v="1"/>
    <m/>
    <s v="document"/>
    <n v="50"/>
    <n v="50"/>
  </r>
  <r>
    <s v="HR-1-procurement-policy"/>
    <x v="1"/>
    <s v="HR-1"/>
    <x v="6"/>
    <s v="procurement-policy"/>
    <x v="34"/>
    <x v="1"/>
    <x v="5"/>
    <x v="6"/>
    <n v="7"/>
    <n v="2.5000000000000001E-2"/>
    <x v="0"/>
    <x v="2"/>
    <n v="50"/>
    <x v="2"/>
    <n v="0"/>
    <n v="0"/>
    <m/>
    <n v="1"/>
    <n v="1"/>
    <n v="0"/>
    <x v="1"/>
    <n v="1"/>
    <m/>
    <s v="document"/>
    <n v="50"/>
    <n v="50"/>
  </r>
  <r>
    <s v="HR-1-country-strategy"/>
    <x v="1"/>
    <s v="HR-1"/>
    <x v="0"/>
    <s v="country-strategy"/>
    <x v="35"/>
    <x v="1"/>
    <x v="5"/>
    <x v="6"/>
    <n v="8"/>
    <n v="2.5000000000000001E-2"/>
    <x v="0"/>
    <x v="2"/>
    <n v="0"/>
    <x v="0"/>
    <n v="0"/>
    <n v="0"/>
    <m/>
    <n v="1"/>
    <n v="1"/>
    <n v="0"/>
    <x v="0"/>
    <n v="0"/>
    <m/>
    <s v="document"/>
    <n v="50"/>
    <n v="0"/>
  </r>
  <r>
    <s v="HR-1-foia"/>
    <x v="1"/>
    <s v="HR-1"/>
    <x v="10"/>
    <s v="foia"/>
    <x v="36"/>
    <x v="2"/>
    <x v="6"/>
    <x v="7"/>
    <n v="1"/>
    <n v="3.3300000000000003E-2"/>
    <x v="0"/>
    <x v="5"/>
    <n v="100"/>
    <x v="5"/>
    <n v="0"/>
    <n v="0"/>
    <m/>
    <n v="1"/>
    <n v="1"/>
    <n v="0"/>
    <x v="3"/>
    <n v="0"/>
    <n v="100"/>
    <m/>
    <n v="0"/>
    <n v="100"/>
  </r>
  <r>
    <s v="HR-1-accessibility"/>
    <x v="1"/>
    <s v="HR-1"/>
    <x v="0"/>
    <s v="accessibility"/>
    <x v="37"/>
    <x v="2"/>
    <x v="6"/>
    <x v="7"/>
    <n v="3"/>
    <n v="3.3300000000000003E-2"/>
    <x v="0"/>
    <x v="5"/>
    <n v="0"/>
    <x v="0"/>
    <n v="0"/>
    <n v="0"/>
    <m/>
    <n v="1"/>
    <n v="1"/>
    <n v="0"/>
    <x v="3"/>
    <n v="0"/>
    <n v="0"/>
    <m/>
    <n v="0"/>
    <n v="0"/>
  </r>
  <r>
    <s v="HR-1-implementation-schedules"/>
    <x v="1"/>
    <s v="HR-1"/>
    <x v="0"/>
    <s v="implementation-schedules"/>
    <x v="38"/>
    <x v="2"/>
    <x v="6"/>
    <x v="7"/>
    <n v="2"/>
    <n v="3.3300000000000003E-2"/>
    <x v="0"/>
    <x v="5"/>
    <n v="0"/>
    <x v="0"/>
    <n v="0"/>
    <n v="0"/>
    <m/>
    <n v="1"/>
    <n v="1"/>
    <n v="0"/>
    <x v="3"/>
    <n v="0"/>
    <n v="0"/>
    <m/>
    <n v="0"/>
    <n v="0"/>
  </r>
  <r>
    <s v="CZ-1-dates-actual"/>
    <x v="2"/>
    <s v="CZ-1"/>
    <x v="0"/>
    <s v="dates-actual"/>
    <x v="0"/>
    <x v="0"/>
    <x v="0"/>
    <x v="0"/>
    <n v="17"/>
    <n v="1.6299999999999999E-2"/>
    <x v="0"/>
    <x v="0"/>
    <n v="0"/>
    <x v="0"/>
    <n v="0"/>
    <n v="0"/>
    <m/>
    <n v="1"/>
    <n v="1"/>
    <n v="0"/>
    <x v="0"/>
    <n v="0"/>
    <m/>
    <m/>
    <n v="0"/>
    <n v="0"/>
  </r>
  <r>
    <s v="CZ-1-contact-details"/>
    <x v="2"/>
    <s v="CZ-1"/>
    <x v="1"/>
    <s v="contact-details"/>
    <x v="1"/>
    <x v="0"/>
    <x v="0"/>
    <x v="0"/>
    <n v="19"/>
    <n v="1.6299999999999999E-2"/>
    <x v="0"/>
    <x v="1"/>
    <n v="33.33"/>
    <x v="1"/>
    <n v="0"/>
    <n v="0"/>
    <m/>
    <n v="1"/>
    <n v="1"/>
    <n v="0"/>
    <x v="1"/>
    <n v="1"/>
    <m/>
    <s v="website"/>
    <n v="33.33"/>
    <n v="33.33"/>
  </r>
  <r>
    <s v="CZ-1-current-status"/>
    <x v="2"/>
    <s v="CZ-1"/>
    <x v="1"/>
    <s v="current-status"/>
    <x v="2"/>
    <x v="0"/>
    <x v="0"/>
    <x v="0"/>
    <n v="18"/>
    <n v="1.6299999999999999E-2"/>
    <x v="0"/>
    <x v="1"/>
    <n v="33.33"/>
    <x v="1"/>
    <n v="0"/>
    <n v="0"/>
    <m/>
    <n v="1"/>
    <n v="1"/>
    <n v="0"/>
    <x v="1"/>
    <n v="1"/>
    <m/>
    <s v="website"/>
    <n v="33.33"/>
    <n v="33.33"/>
  </r>
  <r>
    <s v="CZ-1-description"/>
    <x v="2"/>
    <s v="CZ-1"/>
    <x v="11"/>
    <s v="description"/>
    <x v="3"/>
    <x v="0"/>
    <x v="0"/>
    <x v="0"/>
    <n v="15"/>
    <n v="1.6299999999999999E-2"/>
    <x v="0"/>
    <x v="4"/>
    <n v="50"/>
    <x v="2"/>
    <n v="0"/>
    <n v="0"/>
    <m/>
    <n v="1"/>
    <n v="1"/>
    <n v="0"/>
    <x v="1"/>
    <n v="1"/>
    <m/>
    <s v="machine-readable"/>
    <n v="50"/>
    <n v="50"/>
  </r>
  <r>
    <s v="CZ-1-implementer"/>
    <x v="2"/>
    <s v="CZ-1"/>
    <x v="11"/>
    <s v="implementer"/>
    <x v="4"/>
    <x v="0"/>
    <x v="0"/>
    <x v="0"/>
    <n v="12"/>
    <n v="1.6299999999999999E-2"/>
    <x v="0"/>
    <x v="4"/>
    <n v="50"/>
    <x v="2"/>
    <n v="0"/>
    <n v="0"/>
    <m/>
    <n v="1"/>
    <n v="1"/>
    <n v="0"/>
    <x v="1"/>
    <n v="1"/>
    <m/>
    <s v="machine-readable"/>
    <n v="50"/>
    <n v="50"/>
  </r>
  <r>
    <s v="CZ-1-dates-planned"/>
    <x v="2"/>
    <s v="CZ-1"/>
    <x v="0"/>
    <s v="dates-planned"/>
    <x v="5"/>
    <x v="0"/>
    <x v="0"/>
    <x v="0"/>
    <n v="16"/>
    <n v="1.6299999999999999E-2"/>
    <x v="0"/>
    <x v="1"/>
    <n v="0"/>
    <x v="0"/>
    <n v="0"/>
    <n v="0"/>
    <m/>
    <n v="1"/>
    <n v="1"/>
    <n v="0"/>
    <x v="2"/>
    <n v="0"/>
    <m/>
    <s v="website"/>
    <n v="33.33"/>
    <n v="0"/>
  </r>
  <r>
    <s v="CZ-1-title"/>
    <x v="2"/>
    <s v="CZ-1"/>
    <x v="11"/>
    <s v="title"/>
    <x v="6"/>
    <x v="0"/>
    <x v="0"/>
    <x v="0"/>
    <n v="14"/>
    <n v="1.6299999999999999E-2"/>
    <x v="0"/>
    <x v="4"/>
    <n v="50"/>
    <x v="2"/>
    <n v="0"/>
    <n v="0"/>
    <m/>
    <n v="1"/>
    <n v="1"/>
    <n v="0"/>
    <x v="1"/>
    <n v="1"/>
    <m/>
    <s v="machine-readable"/>
    <n v="50"/>
    <n v="50"/>
  </r>
  <r>
    <s v="CZ-1-unique-id"/>
    <x v="2"/>
    <s v="CZ-1"/>
    <x v="1"/>
    <s v="unique-id"/>
    <x v="7"/>
    <x v="0"/>
    <x v="0"/>
    <x v="0"/>
    <n v="13"/>
    <n v="1.6299999999999999E-2"/>
    <x v="0"/>
    <x v="1"/>
    <n v="33.33"/>
    <x v="1"/>
    <n v="0"/>
    <n v="0"/>
    <m/>
    <n v="1"/>
    <n v="1"/>
    <n v="0"/>
    <x v="1"/>
    <n v="1"/>
    <m/>
    <s v="website"/>
    <n v="33.33"/>
    <n v="33.33"/>
  </r>
  <r>
    <s v="CZ-1-aid-type"/>
    <x v="2"/>
    <s v="CZ-1"/>
    <x v="8"/>
    <s v="aid-type"/>
    <x v="8"/>
    <x v="0"/>
    <x v="1"/>
    <x v="1"/>
    <n v="22"/>
    <n v="1.8599999999999998E-2"/>
    <x v="0"/>
    <x v="1"/>
    <n v="33.33"/>
    <x v="1"/>
    <n v="0"/>
    <n v="0"/>
    <m/>
    <n v="1"/>
    <n v="1"/>
    <n v="0"/>
    <x v="1"/>
    <n v="1"/>
    <m/>
    <s v="website"/>
    <n v="33.33"/>
    <n v="33.33"/>
  </r>
  <r>
    <s v="CZ-1-collaboration-type"/>
    <x v="2"/>
    <s v="CZ-1"/>
    <x v="12"/>
    <s v="collaboration-type"/>
    <x v="9"/>
    <x v="0"/>
    <x v="1"/>
    <x v="1"/>
    <n v="20"/>
    <n v="1.8599999999999998E-2"/>
    <x v="0"/>
    <x v="4"/>
    <n v="50"/>
    <x v="2"/>
    <n v="0"/>
    <n v="0"/>
    <m/>
    <n v="1"/>
    <n v="1"/>
    <n v="0"/>
    <x v="1"/>
    <n v="1"/>
    <m/>
    <s v="machine-readable"/>
    <n v="50"/>
    <n v="50"/>
  </r>
  <r>
    <s v="CZ-1-finance-type"/>
    <x v="2"/>
    <s v="CZ-1"/>
    <x v="0"/>
    <s v="finance-type"/>
    <x v="10"/>
    <x v="0"/>
    <x v="1"/>
    <x v="1"/>
    <n v="23"/>
    <n v="1.8599999999999998E-2"/>
    <x v="0"/>
    <x v="1"/>
    <n v="0"/>
    <x v="0"/>
    <n v="0"/>
    <n v="0"/>
    <m/>
    <n v="1"/>
    <n v="1"/>
    <n v="0"/>
    <x v="2"/>
    <n v="0"/>
    <m/>
    <s v="website"/>
    <n v="33.33"/>
    <n v="0"/>
  </r>
  <r>
    <s v="CZ-1-flow-type"/>
    <x v="2"/>
    <s v="CZ-1"/>
    <x v="13"/>
    <s v="flow-type"/>
    <x v="11"/>
    <x v="0"/>
    <x v="1"/>
    <x v="1"/>
    <n v="21"/>
    <n v="1.8599999999999998E-2"/>
    <x v="0"/>
    <x v="3"/>
    <n v="16.664999999999999"/>
    <x v="4"/>
    <n v="0"/>
    <n v="0"/>
    <m/>
    <n v="1"/>
    <n v="1"/>
    <n v="0"/>
    <x v="1"/>
    <n v="1"/>
    <m/>
    <s v="pdf"/>
    <n v="16.664999999999999"/>
    <n v="16.664999999999999"/>
  </r>
  <r>
    <s v="CZ-1-sector"/>
    <x v="2"/>
    <s v="CZ-1"/>
    <x v="12"/>
    <s v="sector"/>
    <x v="12"/>
    <x v="0"/>
    <x v="1"/>
    <x v="1"/>
    <n v="24"/>
    <n v="1.8599999999999998E-2"/>
    <x v="0"/>
    <x v="4"/>
    <n v="50"/>
    <x v="2"/>
    <n v="0"/>
    <n v="0"/>
    <m/>
    <n v="1"/>
    <n v="1"/>
    <n v="0"/>
    <x v="1"/>
    <n v="1"/>
    <m/>
    <s v="machine-readable"/>
    <n v="50"/>
    <n v="50"/>
  </r>
  <r>
    <s v="CZ-1-location"/>
    <x v="2"/>
    <s v="CZ-1"/>
    <x v="8"/>
    <s v="location"/>
    <x v="13"/>
    <x v="0"/>
    <x v="1"/>
    <x v="1"/>
    <n v="25"/>
    <n v="1.8599999999999998E-2"/>
    <x v="0"/>
    <x v="1"/>
    <n v="33.33"/>
    <x v="1"/>
    <n v="0"/>
    <n v="0"/>
    <m/>
    <n v="1"/>
    <n v="1"/>
    <n v="0"/>
    <x v="1"/>
    <n v="1"/>
    <m/>
    <s v="website"/>
    <n v="33.33"/>
    <n v="33.33"/>
  </r>
  <r>
    <s v="CZ-1-tied-aid-status"/>
    <x v="2"/>
    <s v="CZ-1"/>
    <x v="0"/>
    <s v="tied-aid-status"/>
    <x v="14"/>
    <x v="0"/>
    <x v="1"/>
    <x v="1"/>
    <n v="26"/>
    <n v="1.8599999999999998E-2"/>
    <x v="0"/>
    <x v="0"/>
    <n v="0"/>
    <x v="0"/>
    <n v="0"/>
    <n v="0"/>
    <m/>
    <n v="1"/>
    <n v="1"/>
    <n v="0"/>
    <x v="0"/>
    <n v="0"/>
    <m/>
    <m/>
    <n v="0"/>
    <n v="0"/>
  </r>
  <r>
    <s v="CZ-1-expenditure-actual"/>
    <x v="2"/>
    <s v="CZ-1"/>
    <x v="0"/>
    <s v="expenditure-actual"/>
    <x v="15"/>
    <x v="0"/>
    <x v="2"/>
    <x v="2"/>
    <n v="35"/>
    <n v="3.2500000000000001E-2"/>
    <x v="0"/>
    <x v="3"/>
    <n v="0"/>
    <x v="0"/>
    <n v="0"/>
    <n v="0"/>
    <m/>
    <n v="1"/>
    <n v="1"/>
    <n v="0"/>
    <x v="2"/>
    <n v="0"/>
    <m/>
    <s v="pdf"/>
    <n v="16.664999999999999"/>
    <n v="0"/>
  </r>
  <r>
    <s v="CZ-1-cost-overall"/>
    <x v="2"/>
    <s v="CZ-1"/>
    <x v="0"/>
    <s v="cost-overall"/>
    <x v="16"/>
    <x v="0"/>
    <x v="2"/>
    <x v="2"/>
    <n v="33"/>
    <n v="3.2500000000000001E-2"/>
    <x v="0"/>
    <x v="4"/>
    <n v="0"/>
    <x v="0"/>
    <n v="0"/>
    <n v="0"/>
    <m/>
    <n v="1"/>
    <n v="1"/>
    <n v="0"/>
    <x v="2"/>
    <n v="0"/>
    <m/>
    <s v="machine-readable"/>
    <n v="50"/>
    <n v="0"/>
  </r>
  <r>
    <s v="CZ-1-expenditure-planned"/>
    <x v="2"/>
    <s v="CZ-1"/>
    <x v="14"/>
    <s v="expenditure-planned"/>
    <x v="17"/>
    <x v="0"/>
    <x v="2"/>
    <x v="2"/>
    <n v="34"/>
    <n v="3.2500000000000001E-2"/>
    <x v="0"/>
    <x v="4"/>
    <n v="50"/>
    <x v="2"/>
    <n v="0"/>
    <n v="0"/>
    <m/>
    <n v="1"/>
    <n v="1"/>
    <n v="0"/>
    <x v="1"/>
    <n v="1"/>
    <m/>
    <s v="machine-readable"/>
    <n v="50"/>
    <n v="50"/>
  </r>
  <r>
    <s v="CZ-1-budget-identifier"/>
    <x v="2"/>
    <s v="CZ-1"/>
    <x v="0"/>
    <s v="budget-identifier"/>
    <x v="18"/>
    <x v="0"/>
    <x v="2"/>
    <x v="2"/>
    <n v="36"/>
    <n v="3.2500000000000001E-2"/>
    <x v="0"/>
    <x v="0"/>
    <n v="0"/>
    <x v="0"/>
    <n v="0"/>
    <n v="0"/>
    <m/>
    <n v="1"/>
    <n v="1"/>
    <n v="0"/>
    <x v="0"/>
    <n v="0"/>
    <m/>
    <m/>
    <n v="0"/>
    <n v="0"/>
  </r>
  <r>
    <s v="CZ-1-conditions"/>
    <x v="2"/>
    <s v="CZ-1"/>
    <x v="0"/>
    <s v="conditions"/>
    <x v="19"/>
    <x v="0"/>
    <x v="3"/>
    <x v="3"/>
    <n v="39"/>
    <n v="4.3299999999999998E-2"/>
    <x v="0"/>
    <x v="2"/>
    <n v="0"/>
    <x v="0"/>
    <n v="0"/>
    <n v="0"/>
    <m/>
    <n v="1"/>
    <n v="1"/>
    <n v="0"/>
    <x v="2"/>
    <n v="0"/>
    <m/>
    <s v="document"/>
    <n v="50"/>
    <n v="0"/>
  </r>
  <r>
    <s v="CZ-1-impact-appraisals"/>
    <x v="2"/>
    <s v="CZ-1"/>
    <x v="0"/>
    <s v="impact-appraisals"/>
    <x v="20"/>
    <x v="0"/>
    <x v="3"/>
    <x v="3"/>
    <n v="38"/>
    <n v="4.3299999999999998E-2"/>
    <x v="0"/>
    <x v="2"/>
    <n v="0"/>
    <x v="0"/>
    <n v="0"/>
    <n v="0"/>
    <m/>
    <n v="1"/>
    <n v="1"/>
    <n v="0"/>
    <x v="0"/>
    <n v="0"/>
    <m/>
    <s v="document"/>
    <n v="50"/>
    <n v="0"/>
  </r>
  <r>
    <s v="CZ-1-results"/>
    <x v="2"/>
    <s v="CZ-1"/>
    <x v="0"/>
    <s v="results"/>
    <x v="21"/>
    <x v="0"/>
    <x v="3"/>
    <x v="3"/>
    <n v="37"/>
    <n v="4.3299999999999998E-2"/>
    <x v="0"/>
    <x v="1"/>
    <n v="0"/>
    <x v="0"/>
    <n v="0"/>
    <n v="0"/>
    <m/>
    <n v="1"/>
    <n v="1"/>
    <n v="0"/>
    <x v="2"/>
    <n v="0"/>
    <m/>
    <s v="website"/>
    <n v="33.33"/>
    <n v="0"/>
  </r>
  <r>
    <s v="CZ-1-budget"/>
    <x v="2"/>
    <s v="CZ-1"/>
    <x v="0"/>
    <s v="budget"/>
    <x v="22"/>
    <x v="0"/>
    <x v="4"/>
    <x v="4"/>
    <n v="30"/>
    <n v="2.1700000000000001E-2"/>
    <x v="0"/>
    <x v="2"/>
    <n v="0"/>
    <x v="0"/>
    <n v="0"/>
    <n v="0"/>
    <m/>
    <n v="1"/>
    <n v="1"/>
    <n v="0"/>
    <x v="0"/>
    <n v="0"/>
    <m/>
    <s v="document"/>
    <n v="50"/>
    <n v="0"/>
  </r>
  <r>
    <s v="CZ-1-contracts"/>
    <x v="2"/>
    <s v="CZ-1"/>
    <x v="3"/>
    <s v="contracts"/>
    <x v="23"/>
    <x v="0"/>
    <x v="4"/>
    <x v="4"/>
    <n v="31"/>
    <n v="2.1700000000000001E-2"/>
    <x v="0"/>
    <x v="2"/>
    <n v="50"/>
    <x v="2"/>
    <n v="0"/>
    <n v="0"/>
    <m/>
    <n v="1"/>
    <n v="1"/>
    <n v="0"/>
    <x v="1"/>
    <n v="1"/>
    <m/>
    <s v="document"/>
    <n v="50"/>
    <n v="50"/>
  </r>
  <r>
    <s v="CZ-1-evaluations"/>
    <x v="2"/>
    <s v="CZ-1"/>
    <x v="3"/>
    <s v="evaluations"/>
    <x v="24"/>
    <x v="0"/>
    <x v="4"/>
    <x v="4"/>
    <n v="28"/>
    <n v="2.1700000000000001E-2"/>
    <x v="0"/>
    <x v="2"/>
    <n v="50"/>
    <x v="2"/>
    <n v="0"/>
    <n v="0"/>
    <m/>
    <n v="1"/>
    <n v="1"/>
    <n v="0"/>
    <x v="1"/>
    <n v="1"/>
    <m/>
    <s v="document"/>
    <n v="50"/>
    <n v="50"/>
  </r>
  <r>
    <s v="CZ-1-mou"/>
    <x v="2"/>
    <s v="CZ-1"/>
    <x v="0"/>
    <s v="mou"/>
    <x v="25"/>
    <x v="0"/>
    <x v="4"/>
    <x v="4"/>
    <n v="27"/>
    <n v="2.1700000000000001E-2"/>
    <x v="0"/>
    <x v="2"/>
    <n v="0"/>
    <x v="0"/>
    <n v="0"/>
    <n v="0"/>
    <m/>
    <n v="1"/>
    <n v="1"/>
    <n v="0"/>
    <x v="0"/>
    <n v="0"/>
    <m/>
    <s v="document"/>
    <n v="50"/>
    <n v="0"/>
  </r>
  <r>
    <s v="CZ-1-objectives"/>
    <x v="2"/>
    <s v="CZ-1"/>
    <x v="3"/>
    <s v="objectives"/>
    <x v="26"/>
    <x v="0"/>
    <x v="4"/>
    <x v="4"/>
    <n v="29"/>
    <n v="2.1700000000000001E-2"/>
    <x v="0"/>
    <x v="2"/>
    <n v="50"/>
    <x v="2"/>
    <n v="0"/>
    <n v="0"/>
    <m/>
    <n v="1"/>
    <n v="1"/>
    <n v="0"/>
    <x v="1"/>
    <n v="1"/>
    <m/>
    <s v="document"/>
    <n v="50"/>
    <n v="50"/>
  </r>
  <r>
    <s v="CZ-1-tenders"/>
    <x v="2"/>
    <s v="CZ-1"/>
    <x v="3"/>
    <s v="tenders"/>
    <x v="27"/>
    <x v="0"/>
    <x v="4"/>
    <x v="4"/>
    <n v="32"/>
    <n v="2.1700000000000001E-2"/>
    <x v="0"/>
    <x v="2"/>
    <n v="50"/>
    <x v="2"/>
    <n v="0"/>
    <n v="0"/>
    <m/>
    <n v="1"/>
    <n v="1"/>
    <n v="0"/>
    <x v="1"/>
    <n v="1"/>
    <m/>
    <s v="document"/>
    <n v="50"/>
    <n v="50"/>
  </r>
  <r>
    <s v="CZ-1-audit"/>
    <x v="2"/>
    <s v="CZ-1"/>
    <x v="4"/>
    <s v="audit"/>
    <x v="28"/>
    <x v="1"/>
    <x v="2"/>
    <x v="5"/>
    <n v="11"/>
    <n v="4.1700000000000001E-2"/>
    <x v="0"/>
    <x v="2"/>
    <n v="50"/>
    <x v="2"/>
    <n v="0"/>
    <n v="0"/>
    <m/>
    <n v="1"/>
    <n v="1"/>
    <n v="0"/>
    <x v="1"/>
    <n v="1"/>
    <m/>
    <s v="document"/>
    <n v="50"/>
    <n v="50"/>
  </r>
  <r>
    <s v="CZ-1-total-budget"/>
    <x v="2"/>
    <s v="CZ-1"/>
    <x v="4"/>
    <s v="total-budget"/>
    <x v="29"/>
    <x v="1"/>
    <x v="2"/>
    <x v="5"/>
    <n v="9"/>
    <n v="4.1700000000000001E-2"/>
    <x v="0"/>
    <x v="4"/>
    <n v="50"/>
    <x v="2"/>
    <n v="0"/>
    <n v="0"/>
    <m/>
    <n v="1"/>
    <n v="1"/>
    <n v="0"/>
    <x v="3"/>
    <n v="0"/>
    <n v="3"/>
    <s v="machine-readable"/>
    <n v="50"/>
    <n v="50"/>
  </r>
  <r>
    <s v="CZ-1-disaggregated-budgets"/>
    <x v="2"/>
    <s v="CZ-1"/>
    <x v="4"/>
    <s v="disaggregated-budgets"/>
    <x v="30"/>
    <x v="1"/>
    <x v="2"/>
    <x v="5"/>
    <n v="10"/>
    <n v="4.1700000000000001E-2"/>
    <x v="0"/>
    <x v="4"/>
    <n v="50"/>
    <x v="2"/>
    <n v="0"/>
    <n v="0"/>
    <m/>
    <n v="1"/>
    <n v="1"/>
    <n v="0"/>
    <x v="3"/>
    <n v="0"/>
    <n v="3"/>
    <s v="machine-readable"/>
    <n v="50"/>
    <n v="50"/>
  </r>
  <r>
    <s v="CZ-1-strategy"/>
    <x v="2"/>
    <s v="CZ-1"/>
    <x v="6"/>
    <s v="strategy"/>
    <x v="31"/>
    <x v="1"/>
    <x v="5"/>
    <x v="6"/>
    <n v="4"/>
    <n v="2.5000000000000001E-2"/>
    <x v="0"/>
    <x v="2"/>
    <n v="50"/>
    <x v="2"/>
    <n v="0"/>
    <n v="0"/>
    <m/>
    <n v="1"/>
    <n v="1"/>
    <n v="0"/>
    <x v="1"/>
    <n v="1"/>
    <m/>
    <s v="document"/>
    <n v="50"/>
    <n v="50"/>
  </r>
  <r>
    <s v="CZ-1-annual-report"/>
    <x v="2"/>
    <s v="CZ-1"/>
    <x v="6"/>
    <s v="annual-report"/>
    <x v="32"/>
    <x v="1"/>
    <x v="5"/>
    <x v="6"/>
    <n v="5"/>
    <n v="2.5000000000000001E-2"/>
    <x v="0"/>
    <x v="2"/>
    <n v="50"/>
    <x v="2"/>
    <n v="0"/>
    <n v="0"/>
    <m/>
    <n v="1"/>
    <n v="1"/>
    <n v="0"/>
    <x v="1"/>
    <n v="1"/>
    <m/>
    <s v="document"/>
    <n v="50"/>
    <n v="50"/>
  </r>
  <r>
    <s v="CZ-1-allocation"/>
    <x v="2"/>
    <s v="CZ-1"/>
    <x v="6"/>
    <s v="allocation"/>
    <x v="33"/>
    <x v="1"/>
    <x v="5"/>
    <x v="6"/>
    <n v="6"/>
    <n v="2.5000000000000001E-2"/>
    <x v="0"/>
    <x v="2"/>
    <n v="50"/>
    <x v="2"/>
    <n v="0"/>
    <n v="0"/>
    <m/>
    <n v="1"/>
    <n v="1"/>
    <n v="0"/>
    <x v="1"/>
    <n v="1"/>
    <m/>
    <s v="document"/>
    <n v="50"/>
    <n v="50"/>
  </r>
  <r>
    <s v="CZ-1-procurement-policy"/>
    <x v="2"/>
    <s v="CZ-1"/>
    <x v="6"/>
    <s v="procurement-policy"/>
    <x v="34"/>
    <x v="1"/>
    <x v="5"/>
    <x v="6"/>
    <n v="7"/>
    <n v="2.5000000000000001E-2"/>
    <x v="0"/>
    <x v="2"/>
    <n v="50"/>
    <x v="2"/>
    <n v="0"/>
    <n v="0"/>
    <m/>
    <n v="1"/>
    <n v="1"/>
    <n v="0"/>
    <x v="1"/>
    <n v="1"/>
    <m/>
    <s v="document"/>
    <n v="50"/>
    <n v="50"/>
  </r>
  <r>
    <s v="CZ-1-country-strategy"/>
    <x v="2"/>
    <s v="CZ-1"/>
    <x v="6"/>
    <s v="country-strategy"/>
    <x v="35"/>
    <x v="1"/>
    <x v="5"/>
    <x v="6"/>
    <n v="8"/>
    <n v="2.5000000000000001E-2"/>
    <x v="0"/>
    <x v="2"/>
    <n v="50"/>
    <x v="2"/>
    <n v="0"/>
    <n v="0"/>
    <m/>
    <n v="1"/>
    <n v="1"/>
    <n v="0"/>
    <x v="1"/>
    <n v="1"/>
    <m/>
    <s v="document"/>
    <n v="50"/>
    <n v="50"/>
  </r>
  <r>
    <s v="CZ-1-foia"/>
    <x v="2"/>
    <s v="CZ-1"/>
    <x v="15"/>
    <s v="foia"/>
    <x v="36"/>
    <x v="2"/>
    <x v="6"/>
    <x v="7"/>
    <n v="1"/>
    <n v="3.3300000000000003E-2"/>
    <x v="0"/>
    <x v="5"/>
    <n v="66.66"/>
    <x v="6"/>
    <n v="0"/>
    <n v="0"/>
    <m/>
    <n v="1"/>
    <n v="1"/>
    <n v="0"/>
    <x v="3"/>
    <n v="0"/>
    <n v="66.66"/>
    <m/>
    <n v="0"/>
    <n v="66.66"/>
  </r>
  <r>
    <s v="CZ-1-accessibility"/>
    <x v="2"/>
    <s v="CZ-1"/>
    <x v="0"/>
    <s v="accessibility"/>
    <x v="37"/>
    <x v="2"/>
    <x v="6"/>
    <x v="7"/>
    <n v="3"/>
    <n v="3.3300000000000003E-2"/>
    <x v="0"/>
    <x v="5"/>
    <n v="0"/>
    <x v="0"/>
    <n v="0"/>
    <n v="0"/>
    <m/>
    <n v="1"/>
    <n v="1"/>
    <n v="0"/>
    <x v="3"/>
    <n v="0"/>
    <n v="0"/>
    <m/>
    <n v="0"/>
    <n v="0"/>
  </r>
  <r>
    <s v="CZ-1-implementation-schedules"/>
    <x v="2"/>
    <s v="CZ-1"/>
    <x v="16"/>
    <s v="implementation-schedules"/>
    <x v="38"/>
    <x v="2"/>
    <x v="6"/>
    <x v="7"/>
    <n v="2"/>
    <n v="3.3300000000000003E-2"/>
    <x v="0"/>
    <x v="5"/>
    <n v="39.5"/>
    <x v="7"/>
    <n v="0"/>
    <n v="0"/>
    <m/>
    <n v="1"/>
    <n v="1"/>
    <n v="0"/>
    <x v="3"/>
    <n v="0"/>
    <n v="39.5"/>
    <m/>
    <n v="0"/>
    <n v="39.5"/>
  </r>
  <r>
    <s v="46015-dates-actual"/>
    <x v="3"/>
    <n v="46015"/>
    <x v="0"/>
    <s v="dates-actual"/>
    <x v="0"/>
    <x v="0"/>
    <x v="0"/>
    <x v="0"/>
    <n v="17"/>
    <n v="1.6299999999999999E-2"/>
    <x v="0"/>
    <x v="4"/>
    <n v="0"/>
    <x v="0"/>
    <n v="0"/>
    <n v="0"/>
    <m/>
    <n v="1"/>
    <n v="1"/>
    <n v="0"/>
    <x v="2"/>
    <n v="0"/>
    <m/>
    <s v="machine-readable"/>
    <n v="50"/>
    <n v="0"/>
  </r>
  <r>
    <s v="46015-contact-details"/>
    <x v="3"/>
    <n v="46015"/>
    <x v="1"/>
    <s v="contact-details"/>
    <x v="1"/>
    <x v="0"/>
    <x v="0"/>
    <x v="0"/>
    <n v="19"/>
    <n v="1.6299999999999999E-2"/>
    <x v="0"/>
    <x v="1"/>
    <n v="33.33"/>
    <x v="1"/>
    <n v="0"/>
    <n v="0"/>
    <m/>
    <n v="1"/>
    <n v="1"/>
    <n v="0"/>
    <x v="1"/>
    <n v="1"/>
    <m/>
    <s v="website"/>
    <n v="33.33"/>
    <n v="33.33"/>
  </r>
  <r>
    <s v="46015-current-status"/>
    <x v="3"/>
    <n v="46015"/>
    <x v="1"/>
    <s v="current-status"/>
    <x v="2"/>
    <x v="0"/>
    <x v="0"/>
    <x v="0"/>
    <n v="18"/>
    <n v="1.6299999999999999E-2"/>
    <x v="0"/>
    <x v="1"/>
    <n v="33.33"/>
    <x v="1"/>
    <n v="0"/>
    <n v="0"/>
    <m/>
    <n v="1"/>
    <n v="1"/>
    <n v="0"/>
    <x v="1"/>
    <n v="1"/>
    <m/>
    <s v="website"/>
    <n v="33.33"/>
    <n v="33.33"/>
  </r>
  <r>
    <s v="46015-description"/>
    <x v="3"/>
    <n v="46015"/>
    <x v="1"/>
    <s v="description"/>
    <x v="3"/>
    <x v="0"/>
    <x v="0"/>
    <x v="0"/>
    <n v="15"/>
    <n v="1.6299999999999999E-2"/>
    <x v="0"/>
    <x v="1"/>
    <n v="33.33"/>
    <x v="1"/>
    <n v="0"/>
    <n v="0"/>
    <m/>
    <n v="1"/>
    <n v="1"/>
    <n v="0"/>
    <x v="1"/>
    <n v="1"/>
    <m/>
    <s v="website"/>
    <n v="33.33"/>
    <n v="33.33"/>
  </r>
  <r>
    <s v="46015-implementer"/>
    <x v="3"/>
    <n v="46015"/>
    <x v="1"/>
    <s v="implementer"/>
    <x v="4"/>
    <x v="0"/>
    <x v="0"/>
    <x v="0"/>
    <n v="12"/>
    <n v="1.6299999999999999E-2"/>
    <x v="0"/>
    <x v="1"/>
    <n v="33.33"/>
    <x v="1"/>
    <n v="0"/>
    <n v="0"/>
    <m/>
    <n v="1"/>
    <n v="1"/>
    <n v="0"/>
    <x v="1"/>
    <n v="1"/>
    <m/>
    <s v="website"/>
    <n v="33.33"/>
    <n v="33.33"/>
  </r>
  <r>
    <s v="46015-dates-planned"/>
    <x v="3"/>
    <n v="46015"/>
    <x v="0"/>
    <s v="dates-planned"/>
    <x v="5"/>
    <x v="0"/>
    <x v="0"/>
    <x v="0"/>
    <n v="16"/>
    <n v="1.6299999999999999E-2"/>
    <x v="0"/>
    <x v="0"/>
    <n v="0"/>
    <x v="0"/>
    <n v="0"/>
    <n v="0"/>
    <m/>
    <n v="1"/>
    <n v="1"/>
    <n v="0"/>
    <x v="0"/>
    <n v="0"/>
    <m/>
    <m/>
    <n v="0"/>
    <n v="0"/>
  </r>
  <r>
    <s v="46015-title"/>
    <x v="3"/>
    <n v="46015"/>
    <x v="1"/>
    <s v="title"/>
    <x v="6"/>
    <x v="0"/>
    <x v="0"/>
    <x v="0"/>
    <n v="14"/>
    <n v="1.6299999999999999E-2"/>
    <x v="0"/>
    <x v="1"/>
    <n v="33.33"/>
    <x v="1"/>
    <n v="0"/>
    <n v="0"/>
    <m/>
    <n v="1"/>
    <n v="1"/>
    <n v="0"/>
    <x v="1"/>
    <n v="1"/>
    <m/>
    <s v="website"/>
    <n v="33.33"/>
    <n v="33.33"/>
  </r>
  <r>
    <s v="46015-unique-id"/>
    <x v="3"/>
    <n v="46015"/>
    <x v="1"/>
    <s v="unique-id"/>
    <x v="7"/>
    <x v="0"/>
    <x v="0"/>
    <x v="0"/>
    <n v="13"/>
    <n v="1.6299999999999999E-2"/>
    <x v="0"/>
    <x v="1"/>
    <n v="33.33"/>
    <x v="1"/>
    <n v="0"/>
    <n v="0"/>
    <m/>
    <n v="1"/>
    <n v="1"/>
    <n v="0"/>
    <x v="1"/>
    <n v="1"/>
    <m/>
    <s v="website"/>
    <n v="33.33"/>
    <n v="33.33"/>
  </r>
  <r>
    <s v="46015-aid-type"/>
    <x v="3"/>
    <n v="46015"/>
    <x v="8"/>
    <s v="aid-type"/>
    <x v="8"/>
    <x v="0"/>
    <x v="1"/>
    <x v="1"/>
    <n v="22"/>
    <n v="1.8599999999999998E-2"/>
    <x v="0"/>
    <x v="1"/>
    <n v="33.33"/>
    <x v="1"/>
    <n v="0"/>
    <n v="0"/>
    <m/>
    <n v="1"/>
    <n v="1"/>
    <n v="0"/>
    <x v="1"/>
    <n v="1"/>
    <m/>
    <s v="website"/>
    <n v="33.33"/>
    <n v="33.33"/>
  </r>
  <r>
    <s v="46015-collaboration-type"/>
    <x v="3"/>
    <n v="46015"/>
    <x v="12"/>
    <s v="collaboration-type"/>
    <x v="9"/>
    <x v="0"/>
    <x v="1"/>
    <x v="1"/>
    <n v="20"/>
    <n v="1.8599999999999998E-2"/>
    <x v="0"/>
    <x v="4"/>
    <n v="50"/>
    <x v="2"/>
    <n v="0"/>
    <n v="0"/>
    <m/>
    <n v="1"/>
    <n v="1"/>
    <n v="0"/>
    <x v="1"/>
    <n v="1"/>
    <m/>
    <s v="machine-readable"/>
    <n v="50"/>
    <n v="50"/>
  </r>
  <r>
    <s v="46015-finance-type"/>
    <x v="3"/>
    <n v="46015"/>
    <x v="12"/>
    <s v="finance-type"/>
    <x v="10"/>
    <x v="0"/>
    <x v="1"/>
    <x v="1"/>
    <n v="23"/>
    <n v="1.8599999999999998E-2"/>
    <x v="0"/>
    <x v="4"/>
    <n v="50"/>
    <x v="2"/>
    <n v="0"/>
    <n v="0"/>
    <m/>
    <n v="1"/>
    <n v="1"/>
    <n v="0"/>
    <x v="1"/>
    <n v="1"/>
    <m/>
    <s v="machine-readable"/>
    <n v="50"/>
    <n v="50"/>
  </r>
  <r>
    <s v="46015-flow-type"/>
    <x v="3"/>
    <n v="46015"/>
    <x v="0"/>
    <s v="flow-type"/>
    <x v="11"/>
    <x v="0"/>
    <x v="1"/>
    <x v="1"/>
    <n v="21"/>
    <n v="1.8599999999999998E-2"/>
    <x v="0"/>
    <x v="3"/>
    <n v="0"/>
    <x v="0"/>
    <n v="0"/>
    <n v="0"/>
    <m/>
    <n v="1"/>
    <n v="1"/>
    <n v="0"/>
    <x v="2"/>
    <n v="0"/>
    <m/>
    <s v="pdf"/>
    <n v="16.664999999999999"/>
    <n v="0"/>
  </r>
  <r>
    <s v="46015-sector"/>
    <x v="3"/>
    <n v="46015"/>
    <x v="12"/>
    <s v="sector"/>
    <x v="12"/>
    <x v="0"/>
    <x v="1"/>
    <x v="1"/>
    <n v="24"/>
    <n v="1.8599999999999998E-2"/>
    <x v="0"/>
    <x v="4"/>
    <n v="50"/>
    <x v="2"/>
    <n v="0"/>
    <n v="0"/>
    <m/>
    <n v="1"/>
    <n v="1"/>
    <n v="0"/>
    <x v="1"/>
    <n v="1"/>
    <m/>
    <s v="machine-readable"/>
    <n v="50"/>
    <n v="50"/>
  </r>
  <r>
    <s v="46015-location"/>
    <x v="3"/>
    <n v="46015"/>
    <x v="0"/>
    <s v="location"/>
    <x v="13"/>
    <x v="0"/>
    <x v="1"/>
    <x v="1"/>
    <n v="25"/>
    <n v="1.8599999999999998E-2"/>
    <x v="0"/>
    <x v="1"/>
    <n v="0"/>
    <x v="0"/>
    <n v="0"/>
    <n v="0"/>
    <m/>
    <n v="1"/>
    <n v="1"/>
    <n v="0"/>
    <x v="2"/>
    <n v="0"/>
    <m/>
    <s v="website"/>
    <n v="33.33"/>
    <n v="0"/>
  </r>
  <r>
    <s v="46015-tied-aid-status"/>
    <x v="3"/>
    <n v="46015"/>
    <x v="13"/>
    <s v="tied-aid-status"/>
    <x v="14"/>
    <x v="0"/>
    <x v="1"/>
    <x v="1"/>
    <n v="26"/>
    <n v="1.8599999999999998E-2"/>
    <x v="0"/>
    <x v="3"/>
    <n v="16.664999999999999"/>
    <x v="4"/>
    <n v="0"/>
    <n v="0"/>
    <m/>
    <n v="1"/>
    <n v="1"/>
    <n v="0"/>
    <x v="1"/>
    <n v="1"/>
    <m/>
    <s v="pdf"/>
    <n v="16.664999999999999"/>
    <n v="16.664999999999999"/>
  </r>
  <r>
    <s v="46015-expenditure-actual"/>
    <x v="3"/>
    <n v="46015"/>
    <x v="0"/>
    <s v="expenditure-actual"/>
    <x v="15"/>
    <x v="0"/>
    <x v="2"/>
    <x v="2"/>
    <n v="35"/>
    <n v="3.2500000000000001E-2"/>
    <x v="0"/>
    <x v="0"/>
    <n v="0"/>
    <x v="0"/>
    <n v="0"/>
    <n v="0"/>
    <m/>
    <n v="1"/>
    <n v="1"/>
    <n v="0"/>
    <x v="0"/>
    <n v="0"/>
    <m/>
    <m/>
    <n v="0"/>
    <n v="0"/>
  </r>
  <r>
    <s v="46015-cost-overall"/>
    <x v="3"/>
    <n v="46015"/>
    <x v="14"/>
    <s v="cost-overall"/>
    <x v="16"/>
    <x v="0"/>
    <x v="2"/>
    <x v="2"/>
    <n v="33"/>
    <n v="3.2500000000000001E-2"/>
    <x v="0"/>
    <x v="4"/>
    <n v="50"/>
    <x v="2"/>
    <n v="0"/>
    <n v="0"/>
    <m/>
    <n v="1"/>
    <n v="1"/>
    <n v="0"/>
    <x v="1"/>
    <n v="1"/>
    <m/>
    <s v="machine-readable"/>
    <n v="50"/>
    <n v="50"/>
  </r>
  <r>
    <s v="46015-expenditure-planned"/>
    <x v="3"/>
    <n v="46015"/>
    <x v="14"/>
    <s v="expenditure-planned"/>
    <x v="17"/>
    <x v="0"/>
    <x v="2"/>
    <x v="2"/>
    <n v="34"/>
    <n v="3.2500000000000001E-2"/>
    <x v="0"/>
    <x v="4"/>
    <n v="50"/>
    <x v="2"/>
    <n v="0"/>
    <n v="0"/>
    <m/>
    <n v="1"/>
    <n v="1"/>
    <n v="0"/>
    <x v="1"/>
    <n v="1"/>
    <m/>
    <s v="machine-readable"/>
    <n v="50"/>
    <n v="50"/>
  </r>
  <r>
    <s v="46015-budget-identifier"/>
    <x v="3"/>
    <n v="46015"/>
    <x v="0"/>
    <s v="budget-identifier"/>
    <x v="18"/>
    <x v="0"/>
    <x v="2"/>
    <x v="2"/>
    <n v="36"/>
    <n v="3.2500000000000001E-2"/>
    <x v="0"/>
    <x v="0"/>
    <n v="0"/>
    <x v="0"/>
    <n v="0"/>
    <n v="0"/>
    <m/>
    <n v="1"/>
    <n v="1"/>
    <n v="0"/>
    <x v="0"/>
    <n v="0"/>
    <m/>
    <m/>
    <n v="0"/>
    <n v="0"/>
  </r>
  <r>
    <s v="46015-conditions"/>
    <x v="3"/>
    <n v="46015"/>
    <x v="0"/>
    <s v="conditions"/>
    <x v="19"/>
    <x v="0"/>
    <x v="3"/>
    <x v="3"/>
    <n v="39"/>
    <n v="4.3299999999999998E-2"/>
    <x v="0"/>
    <x v="2"/>
    <n v="0"/>
    <x v="0"/>
    <n v="0"/>
    <n v="0"/>
    <m/>
    <n v="1"/>
    <n v="1"/>
    <n v="0"/>
    <x v="0"/>
    <n v="0"/>
    <m/>
    <s v="document"/>
    <n v="50"/>
    <n v="0"/>
  </r>
  <r>
    <s v="46015-impact-appraisals"/>
    <x v="3"/>
    <n v="46015"/>
    <x v="0"/>
    <s v="impact-appraisals"/>
    <x v="20"/>
    <x v="0"/>
    <x v="3"/>
    <x v="3"/>
    <n v="38"/>
    <n v="4.3299999999999998E-2"/>
    <x v="0"/>
    <x v="2"/>
    <n v="0"/>
    <x v="0"/>
    <n v="0"/>
    <n v="0"/>
    <m/>
    <n v="1"/>
    <n v="1"/>
    <n v="0"/>
    <x v="2"/>
    <n v="0"/>
    <m/>
    <s v="document"/>
    <n v="50"/>
    <n v="0"/>
  </r>
  <r>
    <s v="46015-results"/>
    <x v="3"/>
    <n v="46015"/>
    <x v="0"/>
    <s v="results"/>
    <x v="21"/>
    <x v="0"/>
    <x v="3"/>
    <x v="3"/>
    <n v="37"/>
    <n v="4.3299999999999998E-2"/>
    <x v="0"/>
    <x v="3"/>
    <n v="0"/>
    <x v="0"/>
    <n v="0"/>
    <n v="0"/>
    <m/>
    <n v="1"/>
    <n v="1"/>
    <n v="0"/>
    <x v="2"/>
    <n v="0"/>
    <m/>
    <s v="pdf"/>
    <n v="16.664999999999999"/>
    <n v="0"/>
  </r>
  <r>
    <s v="46015-budget"/>
    <x v="3"/>
    <n v="46015"/>
    <x v="0"/>
    <s v="budget"/>
    <x v="22"/>
    <x v="0"/>
    <x v="4"/>
    <x v="4"/>
    <n v="30"/>
    <n v="2.1700000000000001E-2"/>
    <x v="0"/>
    <x v="2"/>
    <n v="0"/>
    <x v="0"/>
    <n v="0"/>
    <n v="0"/>
    <m/>
    <n v="1"/>
    <n v="1"/>
    <n v="0"/>
    <x v="0"/>
    <n v="0"/>
    <m/>
    <s v="document"/>
    <n v="50"/>
    <n v="0"/>
  </r>
  <r>
    <s v="46015-contracts"/>
    <x v="3"/>
    <n v="46015"/>
    <x v="3"/>
    <s v="contracts"/>
    <x v="23"/>
    <x v="0"/>
    <x v="4"/>
    <x v="4"/>
    <n v="31"/>
    <n v="2.1700000000000001E-2"/>
    <x v="0"/>
    <x v="2"/>
    <n v="50"/>
    <x v="2"/>
    <n v="0"/>
    <n v="0"/>
    <m/>
    <n v="1"/>
    <n v="1"/>
    <n v="0"/>
    <x v="1"/>
    <n v="1"/>
    <m/>
    <s v="document"/>
    <n v="50"/>
    <n v="50"/>
  </r>
  <r>
    <s v="46015-evaluations"/>
    <x v="3"/>
    <n v="46015"/>
    <x v="0"/>
    <s v="evaluations"/>
    <x v="24"/>
    <x v="0"/>
    <x v="4"/>
    <x v="4"/>
    <n v="28"/>
    <n v="2.1700000000000001E-2"/>
    <x v="0"/>
    <x v="2"/>
    <n v="0"/>
    <x v="0"/>
    <n v="0"/>
    <n v="0"/>
    <m/>
    <n v="1"/>
    <n v="1"/>
    <n v="0"/>
    <x v="2"/>
    <n v="0"/>
    <m/>
    <s v="document"/>
    <n v="50"/>
    <n v="0"/>
  </r>
  <r>
    <s v="46015-mou"/>
    <x v="3"/>
    <n v="46015"/>
    <x v="0"/>
    <s v="mou"/>
    <x v="25"/>
    <x v="0"/>
    <x v="4"/>
    <x v="4"/>
    <n v="27"/>
    <n v="2.1700000000000001E-2"/>
    <x v="0"/>
    <x v="2"/>
    <n v="0"/>
    <x v="0"/>
    <n v="0"/>
    <n v="0"/>
    <m/>
    <n v="1"/>
    <n v="1"/>
    <n v="0"/>
    <x v="0"/>
    <n v="0"/>
    <m/>
    <s v="document"/>
    <n v="50"/>
    <n v="0"/>
  </r>
  <r>
    <s v="46015-objectives"/>
    <x v="3"/>
    <n v="46015"/>
    <x v="3"/>
    <s v="objectives"/>
    <x v="26"/>
    <x v="0"/>
    <x v="4"/>
    <x v="4"/>
    <n v="29"/>
    <n v="2.1700000000000001E-2"/>
    <x v="0"/>
    <x v="2"/>
    <n v="50"/>
    <x v="2"/>
    <n v="0"/>
    <n v="0"/>
    <m/>
    <n v="1"/>
    <n v="1"/>
    <n v="0"/>
    <x v="1"/>
    <n v="1"/>
    <m/>
    <s v="document"/>
    <n v="50"/>
    <n v="50"/>
  </r>
  <r>
    <s v="46015-tenders"/>
    <x v="3"/>
    <n v="46015"/>
    <x v="3"/>
    <s v="tenders"/>
    <x v="27"/>
    <x v="0"/>
    <x v="4"/>
    <x v="4"/>
    <n v="32"/>
    <n v="2.1700000000000001E-2"/>
    <x v="0"/>
    <x v="2"/>
    <n v="50"/>
    <x v="2"/>
    <n v="0"/>
    <n v="0"/>
    <m/>
    <n v="1"/>
    <n v="1"/>
    <n v="0"/>
    <x v="1"/>
    <n v="1"/>
    <m/>
    <s v="document"/>
    <n v="50"/>
    <n v="50"/>
  </r>
  <r>
    <s v="46015-audit"/>
    <x v="3"/>
    <n v="46015"/>
    <x v="4"/>
    <s v="audit"/>
    <x v="28"/>
    <x v="1"/>
    <x v="2"/>
    <x v="5"/>
    <n v="11"/>
    <n v="4.1700000000000001E-2"/>
    <x v="0"/>
    <x v="2"/>
    <n v="50"/>
    <x v="2"/>
    <n v="0"/>
    <n v="0"/>
    <m/>
    <n v="1"/>
    <n v="1"/>
    <n v="0"/>
    <x v="1"/>
    <n v="1"/>
    <m/>
    <s v="document"/>
    <n v="50"/>
    <n v="50"/>
  </r>
  <r>
    <s v="46015-total-budget"/>
    <x v="3"/>
    <n v="46015"/>
    <x v="5"/>
    <s v="total-budget"/>
    <x v="29"/>
    <x v="1"/>
    <x v="2"/>
    <x v="5"/>
    <n v="9"/>
    <n v="4.1700000000000001E-2"/>
    <x v="0"/>
    <x v="1"/>
    <n v="11.11"/>
    <x v="3"/>
    <n v="0"/>
    <n v="0"/>
    <m/>
    <n v="1"/>
    <n v="1"/>
    <n v="0"/>
    <x v="3"/>
    <n v="0"/>
    <n v="1"/>
    <s v="website"/>
    <n v="33.33"/>
    <n v="11.11"/>
  </r>
  <r>
    <s v="46015-disaggregated-budgets"/>
    <x v="3"/>
    <n v="46015"/>
    <x v="0"/>
    <s v="disaggregated-budgets"/>
    <x v="30"/>
    <x v="1"/>
    <x v="2"/>
    <x v="5"/>
    <n v="10"/>
    <n v="4.1700000000000001E-2"/>
    <x v="0"/>
    <x v="0"/>
    <n v="0"/>
    <x v="0"/>
    <n v="0"/>
    <n v="0"/>
    <m/>
    <n v="1"/>
    <n v="1"/>
    <n v="0"/>
    <x v="3"/>
    <n v="0"/>
    <n v="0"/>
    <m/>
    <n v="0"/>
    <n v="0"/>
  </r>
  <r>
    <s v="46015-strategy"/>
    <x v="3"/>
    <n v="46015"/>
    <x v="6"/>
    <s v="strategy"/>
    <x v="31"/>
    <x v="1"/>
    <x v="5"/>
    <x v="6"/>
    <n v="4"/>
    <n v="2.5000000000000001E-2"/>
    <x v="0"/>
    <x v="2"/>
    <n v="50"/>
    <x v="2"/>
    <n v="0"/>
    <n v="0"/>
    <m/>
    <n v="1"/>
    <n v="1"/>
    <n v="0"/>
    <x v="1"/>
    <n v="1"/>
    <m/>
    <s v="document"/>
    <n v="50"/>
    <n v="50"/>
  </r>
  <r>
    <s v="46015-annual-report"/>
    <x v="3"/>
    <n v="46015"/>
    <x v="6"/>
    <s v="annual-report"/>
    <x v="32"/>
    <x v="1"/>
    <x v="5"/>
    <x v="6"/>
    <n v="5"/>
    <n v="2.5000000000000001E-2"/>
    <x v="0"/>
    <x v="2"/>
    <n v="50"/>
    <x v="2"/>
    <n v="0"/>
    <n v="0"/>
    <m/>
    <n v="1"/>
    <n v="1"/>
    <n v="0"/>
    <x v="1"/>
    <n v="1"/>
    <m/>
    <s v="document"/>
    <n v="50"/>
    <n v="50"/>
  </r>
  <r>
    <s v="46015-allocation"/>
    <x v="3"/>
    <n v="46015"/>
    <x v="6"/>
    <s v="allocation"/>
    <x v="33"/>
    <x v="1"/>
    <x v="5"/>
    <x v="6"/>
    <n v="6"/>
    <n v="2.5000000000000001E-2"/>
    <x v="0"/>
    <x v="2"/>
    <n v="50"/>
    <x v="2"/>
    <n v="0"/>
    <n v="0"/>
    <m/>
    <n v="1"/>
    <n v="1"/>
    <n v="0"/>
    <x v="1"/>
    <n v="1"/>
    <m/>
    <s v="document"/>
    <n v="50"/>
    <n v="50"/>
  </r>
  <r>
    <s v="46015-procurement-policy"/>
    <x v="3"/>
    <n v="46015"/>
    <x v="6"/>
    <s v="procurement-policy"/>
    <x v="34"/>
    <x v="1"/>
    <x v="5"/>
    <x v="6"/>
    <n v="7"/>
    <n v="2.5000000000000001E-2"/>
    <x v="0"/>
    <x v="2"/>
    <n v="50"/>
    <x v="2"/>
    <n v="0"/>
    <n v="0"/>
    <m/>
    <n v="1"/>
    <n v="1"/>
    <n v="0"/>
    <x v="1"/>
    <n v="1"/>
    <m/>
    <s v="document"/>
    <n v="50"/>
    <n v="50"/>
  </r>
  <r>
    <s v="46015-country-strategy"/>
    <x v="3"/>
    <n v="46015"/>
    <x v="6"/>
    <s v="country-strategy"/>
    <x v="35"/>
    <x v="1"/>
    <x v="5"/>
    <x v="6"/>
    <n v="8"/>
    <n v="2.5000000000000001E-2"/>
    <x v="0"/>
    <x v="2"/>
    <n v="50"/>
    <x v="2"/>
    <n v="0"/>
    <n v="0"/>
    <m/>
    <n v="1"/>
    <n v="1"/>
    <n v="0"/>
    <x v="1"/>
    <n v="1"/>
    <m/>
    <s v="document"/>
    <n v="50"/>
    <n v="50"/>
  </r>
  <r>
    <s v="46015-foia"/>
    <x v="3"/>
    <n v="46015"/>
    <x v="7"/>
    <s v="foia"/>
    <x v="36"/>
    <x v="2"/>
    <x v="6"/>
    <x v="7"/>
    <n v="1"/>
    <n v="3.3300000000000003E-2"/>
    <x v="0"/>
    <x v="5"/>
    <n v="33.33"/>
    <x v="1"/>
    <n v="0"/>
    <n v="0"/>
    <m/>
    <n v="1"/>
    <n v="1"/>
    <n v="0"/>
    <x v="3"/>
    <n v="0"/>
    <n v="33.33"/>
    <m/>
    <n v="0"/>
    <n v="33.33"/>
  </r>
  <r>
    <s v="46015-accessibility"/>
    <x v="3"/>
    <n v="46015"/>
    <x v="7"/>
    <s v="accessibility"/>
    <x v="37"/>
    <x v="2"/>
    <x v="6"/>
    <x v="7"/>
    <n v="3"/>
    <n v="3.3300000000000003E-2"/>
    <x v="0"/>
    <x v="5"/>
    <n v="33.33"/>
    <x v="1"/>
    <n v="0"/>
    <n v="0"/>
    <m/>
    <n v="1"/>
    <n v="1"/>
    <n v="0"/>
    <x v="3"/>
    <n v="0"/>
    <n v="33.33"/>
    <m/>
    <n v="0"/>
    <n v="33.33"/>
  </r>
  <r>
    <s v="46015-implementation-schedules"/>
    <x v="3"/>
    <n v="46015"/>
    <x v="0"/>
    <s v="implementation-schedules"/>
    <x v="38"/>
    <x v="2"/>
    <x v="6"/>
    <x v="7"/>
    <n v="2"/>
    <n v="3.3300000000000003E-2"/>
    <x v="0"/>
    <x v="5"/>
    <n v="0"/>
    <x v="0"/>
    <n v="0"/>
    <n v="0"/>
    <m/>
    <n v="1"/>
    <n v="1"/>
    <n v="0"/>
    <x v="3"/>
    <n v="0"/>
    <n v="0"/>
    <m/>
    <n v="0"/>
    <n v="0"/>
  </r>
  <r>
    <s v="42004-dates-actual"/>
    <x v="4"/>
    <n v="42004"/>
    <x v="0"/>
    <s v="dates-actual"/>
    <x v="0"/>
    <x v="0"/>
    <x v="0"/>
    <x v="0"/>
    <n v="17"/>
    <n v="1.6299999999999999E-2"/>
    <x v="0"/>
    <x v="4"/>
    <n v="0"/>
    <x v="0"/>
    <n v="0"/>
    <n v="0"/>
    <m/>
    <n v="1"/>
    <n v="1"/>
    <n v="0"/>
    <x v="2"/>
    <n v="0"/>
    <m/>
    <s v="machine-readable"/>
    <n v="50"/>
    <n v="0"/>
  </r>
  <r>
    <s v="42004-contact-details"/>
    <x v="4"/>
    <n v="42004"/>
    <x v="1"/>
    <s v="contact-details"/>
    <x v="1"/>
    <x v="0"/>
    <x v="0"/>
    <x v="0"/>
    <n v="19"/>
    <n v="1.6299999999999999E-2"/>
    <x v="0"/>
    <x v="1"/>
    <n v="33.33"/>
    <x v="1"/>
    <n v="0"/>
    <n v="0"/>
    <m/>
    <n v="1"/>
    <n v="1"/>
    <n v="0"/>
    <x v="1"/>
    <n v="1"/>
    <m/>
    <s v="website"/>
    <n v="33.33"/>
    <n v="33.33"/>
  </r>
  <r>
    <s v="42004-current-status"/>
    <x v="4"/>
    <n v="42004"/>
    <x v="0"/>
    <s v="current-status"/>
    <x v="2"/>
    <x v="0"/>
    <x v="0"/>
    <x v="0"/>
    <n v="18"/>
    <n v="1.6299999999999999E-2"/>
    <x v="0"/>
    <x v="1"/>
    <n v="0"/>
    <x v="0"/>
    <n v="0"/>
    <n v="0"/>
    <m/>
    <n v="1"/>
    <n v="1"/>
    <n v="0"/>
    <x v="2"/>
    <n v="0"/>
    <m/>
    <s v="website"/>
    <n v="33.33"/>
    <n v="0"/>
  </r>
  <r>
    <s v="42004-description"/>
    <x v="4"/>
    <n v="42004"/>
    <x v="1"/>
    <s v="description"/>
    <x v="3"/>
    <x v="0"/>
    <x v="0"/>
    <x v="0"/>
    <n v="15"/>
    <n v="1.6299999999999999E-2"/>
    <x v="0"/>
    <x v="1"/>
    <n v="33.33"/>
    <x v="1"/>
    <n v="0"/>
    <n v="0"/>
    <m/>
    <n v="1"/>
    <n v="1"/>
    <n v="0"/>
    <x v="1"/>
    <n v="1"/>
    <m/>
    <s v="website"/>
    <n v="33.33"/>
    <n v="33.33"/>
  </r>
  <r>
    <s v="42004-implementer"/>
    <x v="4"/>
    <n v="42004"/>
    <x v="1"/>
    <s v="implementer"/>
    <x v="4"/>
    <x v="0"/>
    <x v="0"/>
    <x v="0"/>
    <n v="12"/>
    <n v="1.6299999999999999E-2"/>
    <x v="0"/>
    <x v="1"/>
    <n v="33.33"/>
    <x v="1"/>
    <n v="0"/>
    <n v="0"/>
    <m/>
    <n v="1"/>
    <n v="1"/>
    <n v="0"/>
    <x v="1"/>
    <n v="1"/>
    <m/>
    <s v="website"/>
    <n v="33.33"/>
    <n v="33.33"/>
  </r>
  <r>
    <s v="42004-dates-planned"/>
    <x v="4"/>
    <n v="42004"/>
    <x v="0"/>
    <s v="dates-planned"/>
    <x v="5"/>
    <x v="0"/>
    <x v="0"/>
    <x v="0"/>
    <n v="16"/>
    <n v="1.6299999999999999E-2"/>
    <x v="0"/>
    <x v="4"/>
    <n v="0"/>
    <x v="0"/>
    <n v="0"/>
    <n v="0"/>
    <m/>
    <n v="1"/>
    <n v="1"/>
    <n v="0"/>
    <x v="2"/>
    <n v="0"/>
    <m/>
    <s v="machine-readable"/>
    <n v="50"/>
    <n v="0"/>
  </r>
  <r>
    <s v="42004-title"/>
    <x v="4"/>
    <n v="42004"/>
    <x v="11"/>
    <s v="title"/>
    <x v="6"/>
    <x v="0"/>
    <x v="0"/>
    <x v="0"/>
    <n v="14"/>
    <n v="1.6299999999999999E-2"/>
    <x v="0"/>
    <x v="4"/>
    <n v="50"/>
    <x v="2"/>
    <n v="0"/>
    <n v="0"/>
    <m/>
    <n v="1"/>
    <n v="1"/>
    <n v="0"/>
    <x v="1"/>
    <n v="1"/>
    <m/>
    <s v="machine-readable"/>
    <n v="50"/>
    <n v="50"/>
  </r>
  <r>
    <s v="42004-unique-id"/>
    <x v="4"/>
    <n v="42004"/>
    <x v="1"/>
    <s v="unique-id"/>
    <x v="7"/>
    <x v="0"/>
    <x v="0"/>
    <x v="0"/>
    <n v="13"/>
    <n v="1.6299999999999999E-2"/>
    <x v="0"/>
    <x v="1"/>
    <n v="33.33"/>
    <x v="1"/>
    <n v="0"/>
    <n v="0"/>
    <m/>
    <n v="1"/>
    <n v="1"/>
    <n v="0"/>
    <x v="1"/>
    <n v="1"/>
    <m/>
    <s v="website"/>
    <n v="33.33"/>
    <n v="33.33"/>
  </r>
  <r>
    <s v="42004-aid-type"/>
    <x v="4"/>
    <n v="42004"/>
    <x v="8"/>
    <s v="aid-type"/>
    <x v="8"/>
    <x v="0"/>
    <x v="1"/>
    <x v="1"/>
    <n v="22"/>
    <n v="1.8599999999999998E-2"/>
    <x v="0"/>
    <x v="1"/>
    <n v="33.33"/>
    <x v="1"/>
    <n v="0"/>
    <n v="0"/>
    <m/>
    <n v="1"/>
    <n v="1"/>
    <n v="0"/>
    <x v="1"/>
    <n v="1"/>
    <m/>
    <s v="website"/>
    <n v="33.33"/>
    <n v="33.33"/>
  </r>
  <r>
    <s v="42004-collaboration-type"/>
    <x v="4"/>
    <n v="42004"/>
    <x v="0"/>
    <s v="collaboration-type"/>
    <x v="9"/>
    <x v="0"/>
    <x v="1"/>
    <x v="1"/>
    <n v="20"/>
    <n v="1.8599999999999998E-2"/>
    <x v="0"/>
    <x v="0"/>
    <n v="0"/>
    <x v="0"/>
    <n v="0"/>
    <n v="0"/>
    <m/>
    <n v="1"/>
    <n v="1"/>
    <n v="0"/>
    <x v="0"/>
    <n v="0"/>
    <m/>
    <m/>
    <n v="0"/>
    <n v="0"/>
  </r>
  <r>
    <s v="42004-finance-type"/>
    <x v="4"/>
    <n v="42004"/>
    <x v="8"/>
    <s v="finance-type"/>
    <x v="10"/>
    <x v="0"/>
    <x v="1"/>
    <x v="1"/>
    <n v="23"/>
    <n v="1.8599999999999998E-2"/>
    <x v="0"/>
    <x v="1"/>
    <n v="33.33"/>
    <x v="1"/>
    <n v="0"/>
    <n v="0"/>
    <m/>
    <n v="1"/>
    <n v="1"/>
    <n v="0"/>
    <x v="1"/>
    <n v="1"/>
    <m/>
    <s v="website"/>
    <n v="33.33"/>
    <n v="33.33"/>
  </r>
  <r>
    <s v="42004-flow-type"/>
    <x v="4"/>
    <n v="42004"/>
    <x v="0"/>
    <s v="flow-type"/>
    <x v="11"/>
    <x v="0"/>
    <x v="1"/>
    <x v="1"/>
    <n v="21"/>
    <n v="1.8599999999999998E-2"/>
    <x v="0"/>
    <x v="0"/>
    <n v="0"/>
    <x v="0"/>
    <n v="0"/>
    <n v="0"/>
    <m/>
    <n v="1"/>
    <n v="1"/>
    <n v="0"/>
    <x v="0"/>
    <n v="0"/>
    <m/>
    <m/>
    <n v="0"/>
    <n v="0"/>
  </r>
  <r>
    <s v="42004-sector"/>
    <x v="4"/>
    <n v="42004"/>
    <x v="12"/>
    <s v="sector"/>
    <x v="12"/>
    <x v="0"/>
    <x v="1"/>
    <x v="1"/>
    <n v="24"/>
    <n v="1.8599999999999998E-2"/>
    <x v="0"/>
    <x v="4"/>
    <n v="50"/>
    <x v="2"/>
    <n v="0"/>
    <n v="0"/>
    <m/>
    <n v="1"/>
    <n v="1"/>
    <n v="0"/>
    <x v="1"/>
    <n v="1"/>
    <m/>
    <s v="machine-readable"/>
    <n v="50"/>
    <n v="50"/>
  </r>
  <r>
    <s v="42004-location"/>
    <x v="4"/>
    <n v="42004"/>
    <x v="0"/>
    <s v="location"/>
    <x v="13"/>
    <x v="0"/>
    <x v="1"/>
    <x v="1"/>
    <n v="25"/>
    <n v="1.8599999999999998E-2"/>
    <x v="0"/>
    <x v="1"/>
    <n v="0"/>
    <x v="0"/>
    <n v="0"/>
    <n v="0"/>
    <m/>
    <n v="1"/>
    <n v="1"/>
    <n v="0"/>
    <x v="2"/>
    <n v="0"/>
    <m/>
    <s v="website"/>
    <n v="33.33"/>
    <n v="0"/>
  </r>
  <r>
    <s v="42004-tied-aid-status"/>
    <x v="4"/>
    <n v="42004"/>
    <x v="0"/>
    <s v="tied-aid-status"/>
    <x v="14"/>
    <x v="0"/>
    <x v="1"/>
    <x v="1"/>
    <n v="26"/>
    <n v="1.8599999999999998E-2"/>
    <x v="0"/>
    <x v="0"/>
    <n v="0"/>
    <x v="0"/>
    <n v="0"/>
    <n v="0"/>
    <m/>
    <n v="1"/>
    <n v="1"/>
    <n v="0"/>
    <x v="0"/>
    <n v="0"/>
    <m/>
    <m/>
    <n v="0"/>
    <n v="0"/>
  </r>
  <r>
    <s v="42004-expenditure-actual"/>
    <x v="4"/>
    <n v="42004"/>
    <x v="0"/>
    <s v="expenditure-actual"/>
    <x v="15"/>
    <x v="0"/>
    <x v="2"/>
    <x v="2"/>
    <n v="35"/>
    <n v="3.2500000000000001E-2"/>
    <x v="0"/>
    <x v="1"/>
    <n v="0"/>
    <x v="0"/>
    <n v="0"/>
    <n v="0"/>
    <m/>
    <n v="1"/>
    <n v="1"/>
    <n v="0"/>
    <x v="0"/>
    <n v="0"/>
    <m/>
    <s v="website"/>
    <n v="33.33"/>
    <n v="0"/>
  </r>
  <r>
    <s v="42004-cost-overall"/>
    <x v="4"/>
    <n v="42004"/>
    <x v="14"/>
    <s v="cost-overall"/>
    <x v="16"/>
    <x v="0"/>
    <x v="2"/>
    <x v="2"/>
    <n v="33"/>
    <n v="3.2500000000000001E-2"/>
    <x v="0"/>
    <x v="4"/>
    <n v="50"/>
    <x v="2"/>
    <n v="0"/>
    <n v="0"/>
    <m/>
    <n v="1"/>
    <n v="1"/>
    <n v="0"/>
    <x v="1"/>
    <n v="1"/>
    <m/>
    <s v="machine-readable"/>
    <n v="50"/>
    <n v="50"/>
  </r>
  <r>
    <s v="42004-expenditure-planned"/>
    <x v="4"/>
    <n v="42004"/>
    <x v="14"/>
    <s v="expenditure-planned"/>
    <x v="17"/>
    <x v="0"/>
    <x v="2"/>
    <x v="2"/>
    <n v="34"/>
    <n v="3.2500000000000001E-2"/>
    <x v="0"/>
    <x v="4"/>
    <n v="50"/>
    <x v="2"/>
    <n v="0"/>
    <n v="0"/>
    <m/>
    <n v="1"/>
    <n v="1"/>
    <n v="0"/>
    <x v="1"/>
    <n v="1"/>
    <m/>
    <s v="machine-readable"/>
    <n v="50"/>
    <n v="50"/>
  </r>
  <r>
    <s v="42004-budget-identifier"/>
    <x v="4"/>
    <n v="42004"/>
    <x v="0"/>
    <s v="budget-identifier"/>
    <x v="18"/>
    <x v="0"/>
    <x v="2"/>
    <x v="2"/>
    <n v="36"/>
    <n v="3.2500000000000001E-2"/>
    <x v="0"/>
    <x v="0"/>
    <n v="0"/>
    <x v="0"/>
    <n v="0"/>
    <n v="0"/>
    <m/>
    <n v="1"/>
    <n v="1"/>
    <n v="0"/>
    <x v="0"/>
    <n v="0"/>
    <m/>
    <m/>
    <n v="0"/>
    <n v="0"/>
  </r>
  <r>
    <s v="42004-conditions"/>
    <x v="4"/>
    <n v="42004"/>
    <x v="0"/>
    <s v="conditions"/>
    <x v="19"/>
    <x v="0"/>
    <x v="3"/>
    <x v="3"/>
    <n v="39"/>
    <n v="4.3299999999999998E-2"/>
    <x v="0"/>
    <x v="2"/>
    <n v="0"/>
    <x v="0"/>
    <n v="0"/>
    <n v="0"/>
    <m/>
    <n v="1"/>
    <n v="1"/>
    <n v="0"/>
    <x v="2"/>
    <n v="0"/>
    <m/>
    <s v="document"/>
    <n v="50"/>
    <n v="0"/>
  </r>
  <r>
    <s v="42004-impact-appraisals"/>
    <x v="4"/>
    <n v="42004"/>
    <x v="0"/>
    <s v="impact-appraisals"/>
    <x v="20"/>
    <x v="0"/>
    <x v="3"/>
    <x v="3"/>
    <n v="38"/>
    <n v="4.3299999999999998E-2"/>
    <x v="0"/>
    <x v="2"/>
    <n v="0"/>
    <x v="0"/>
    <n v="0"/>
    <n v="0"/>
    <m/>
    <n v="1"/>
    <n v="1"/>
    <n v="0"/>
    <x v="2"/>
    <n v="0"/>
    <m/>
    <s v="document"/>
    <n v="50"/>
    <n v="0"/>
  </r>
  <r>
    <s v="42004-results"/>
    <x v="4"/>
    <n v="42004"/>
    <x v="0"/>
    <s v="results"/>
    <x v="21"/>
    <x v="0"/>
    <x v="3"/>
    <x v="3"/>
    <n v="37"/>
    <n v="4.3299999999999998E-2"/>
    <x v="0"/>
    <x v="0"/>
    <n v="0"/>
    <x v="0"/>
    <n v="0"/>
    <n v="0"/>
    <m/>
    <n v="1"/>
    <n v="1"/>
    <n v="0"/>
    <x v="0"/>
    <n v="0"/>
    <m/>
    <m/>
    <n v="0"/>
    <n v="0"/>
  </r>
  <r>
    <s v="42004-budget"/>
    <x v="4"/>
    <n v="42004"/>
    <x v="0"/>
    <s v="budget"/>
    <x v="22"/>
    <x v="0"/>
    <x v="4"/>
    <x v="4"/>
    <n v="30"/>
    <n v="2.1700000000000001E-2"/>
    <x v="0"/>
    <x v="2"/>
    <n v="0"/>
    <x v="0"/>
    <n v="0"/>
    <n v="0"/>
    <m/>
    <n v="1"/>
    <n v="1"/>
    <n v="0"/>
    <x v="0"/>
    <n v="0"/>
    <m/>
    <s v="document"/>
    <n v="50"/>
    <n v="0"/>
  </r>
  <r>
    <s v="42004-contracts"/>
    <x v="4"/>
    <n v="42004"/>
    <x v="3"/>
    <s v="contracts"/>
    <x v="23"/>
    <x v="0"/>
    <x v="4"/>
    <x v="4"/>
    <n v="31"/>
    <n v="2.1700000000000001E-2"/>
    <x v="0"/>
    <x v="2"/>
    <n v="50"/>
    <x v="2"/>
    <n v="0"/>
    <n v="0"/>
    <m/>
    <n v="1"/>
    <n v="1"/>
    <n v="0"/>
    <x v="1"/>
    <n v="1"/>
    <m/>
    <s v="document"/>
    <n v="50"/>
    <n v="50"/>
  </r>
  <r>
    <s v="42004-evaluations"/>
    <x v="4"/>
    <n v="42004"/>
    <x v="0"/>
    <s v="evaluations"/>
    <x v="24"/>
    <x v="0"/>
    <x v="4"/>
    <x v="4"/>
    <n v="28"/>
    <n v="2.1700000000000001E-2"/>
    <x v="0"/>
    <x v="2"/>
    <n v="0"/>
    <x v="0"/>
    <n v="0"/>
    <n v="0"/>
    <m/>
    <n v="1"/>
    <n v="1"/>
    <n v="0"/>
    <x v="2"/>
    <n v="0"/>
    <m/>
    <s v="document"/>
    <n v="50"/>
    <n v="0"/>
  </r>
  <r>
    <s v="42004-mou"/>
    <x v="4"/>
    <n v="42004"/>
    <x v="0"/>
    <s v="mou"/>
    <x v="25"/>
    <x v="0"/>
    <x v="4"/>
    <x v="4"/>
    <n v="27"/>
    <n v="2.1700000000000001E-2"/>
    <x v="0"/>
    <x v="2"/>
    <n v="0"/>
    <x v="0"/>
    <n v="0"/>
    <n v="0"/>
    <m/>
    <n v="1"/>
    <n v="1"/>
    <n v="0"/>
    <x v="0"/>
    <n v="0"/>
    <m/>
    <s v="document"/>
    <n v="50"/>
    <n v="0"/>
  </r>
  <r>
    <s v="42004-objectives"/>
    <x v="4"/>
    <n v="42004"/>
    <x v="3"/>
    <s v="objectives"/>
    <x v="26"/>
    <x v="0"/>
    <x v="4"/>
    <x v="4"/>
    <n v="29"/>
    <n v="2.1700000000000001E-2"/>
    <x v="0"/>
    <x v="2"/>
    <n v="50"/>
    <x v="2"/>
    <n v="0"/>
    <n v="0"/>
    <m/>
    <n v="1"/>
    <n v="1"/>
    <n v="0"/>
    <x v="1"/>
    <n v="1"/>
    <m/>
    <s v="document"/>
    <n v="50"/>
    <n v="50"/>
  </r>
  <r>
    <s v="42004-tenders"/>
    <x v="4"/>
    <n v="42004"/>
    <x v="3"/>
    <s v="tenders"/>
    <x v="27"/>
    <x v="0"/>
    <x v="4"/>
    <x v="4"/>
    <n v="32"/>
    <n v="2.1700000000000001E-2"/>
    <x v="0"/>
    <x v="2"/>
    <n v="50"/>
    <x v="2"/>
    <n v="0"/>
    <n v="0"/>
    <m/>
    <n v="1"/>
    <n v="1"/>
    <n v="0"/>
    <x v="1"/>
    <n v="1"/>
    <m/>
    <s v="document"/>
    <n v="50"/>
    <n v="50"/>
  </r>
  <r>
    <s v="42004-audit"/>
    <x v="4"/>
    <n v="42004"/>
    <x v="4"/>
    <s v="audit"/>
    <x v="28"/>
    <x v="1"/>
    <x v="2"/>
    <x v="5"/>
    <n v="11"/>
    <n v="4.1700000000000001E-2"/>
    <x v="0"/>
    <x v="2"/>
    <n v="50"/>
    <x v="2"/>
    <n v="0"/>
    <n v="0"/>
    <m/>
    <n v="1"/>
    <n v="1"/>
    <n v="0"/>
    <x v="1"/>
    <n v="1"/>
    <m/>
    <s v="document"/>
    <n v="50"/>
    <n v="50"/>
  </r>
  <r>
    <s v="42004-total-budget"/>
    <x v="4"/>
    <n v="42004"/>
    <x v="9"/>
    <s v="total-budget"/>
    <x v="29"/>
    <x v="1"/>
    <x v="2"/>
    <x v="5"/>
    <n v="9"/>
    <n v="4.1700000000000001E-2"/>
    <x v="0"/>
    <x v="3"/>
    <n v="16.664999999999999"/>
    <x v="4"/>
    <n v="0"/>
    <n v="0"/>
    <m/>
    <n v="1"/>
    <n v="1"/>
    <n v="0"/>
    <x v="3"/>
    <n v="0"/>
    <n v="3"/>
    <s v="pdf"/>
    <n v="16.664999999999999"/>
    <n v="16.664999999999999"/>
  </r>
  <r>
    <s v="42004-disaggregated-budgets"/>
    <x v="4"/>
    <n v="42004"/>
    <x v="9"/>
    <s v="disaggregated-budgets"/>
    <x v="30"/>
    <x v="1"/>
    <x v="2"/>
    <x v="5"/>
    <n v="10"/>
    <n v="4.1700000000000001E-2"/>
    <x v="0"/>
    <x v="3"/>
    <n v="16.664999999999999"/>
    <x v="4"/>
    <n v="0"/>
    <n v="0"/>
    <m/>
    <n v="1"/>
    <n v="1"/>
    <n v="0"/>
    <x v="3"/>
    <n v="0"/>
    <n v="3"/>
    <s v="pdf"/>
    <n v="16.664999999999999"/>
    <n v="16.664999999999999"/>
  </r>
  <r>
    <s v="42004-strategy"/>
    <x v="4"/>
    <n v="42004"/>
    <x v="6"/>
    <s v="strategy"/>
    <x v="31"/>
    <x v="1"/>
    <x v="5"/>
    <x v="6"/>
    <n v="4"/>
    <n v="2.5000000000000001E-2"/>
    <x v="0"/>
    <x v="2"/>
    <n v="50"/>
    <x v="2"/>
    <n v="0"/>
    <n v="0"/>
    <m/>
    <n v="1"/>
    <n v="1"/>
    <n v="0"/>
    <x v="1"/>
    <n v="1"/>
    <m/>
    <s v="document"/>
    <n v="50"/>
    <n v="50"/>
  </r>
  <r>
    <s v="42004-annual-report"/>
    <x v="4"/>
    <n v="42004"/>
    <x v="6"/>
    <s v="annual-report"/>
    <x v="32"/>
    <x v="1"/>
    <x v="5"/>
    <x v="6"/>
    <n v="5"/>
    <n v="2.5000000000000001E-2"/>
    <x v="0"/>
    <x v="2"/>
    <n v="50"/>
    <x v="2"/>
    <n v="0"/>
    <n v="0"/>
    <m/>
    <n v="1"/>
    <n v="1"/>
    <n v="0"/>
    <x v="1"/>
    <n v="1"/>
    <m/>
    <s v="document"/>
    <n v="50"/>
    <n v="50"/>
  </r>
  <r>
    <s v="42004-allocation"/>
    <x v="4"/>
    <n v="42004"/>
    <x v="6"/>
    <s v="allocation"/>
    <x v="33"/>
    <x v="1"/>
    <x v="5"/>
    <x v="6"/>
    <n v="6"/>
    <n v="2.5000000000000001E-2"/>
    <x v="0"/>
    <x v="2"/>
    <n v="50"/>
    <x v="2"/>
    <n v="0"/>
    <n v="0"/>
    <m/>
    <n v="1"/>
    <n v="1"/>
    <n v="0"/>
    <x v="1"/>
    <n v="1"/>
    <m/>
    <s v="document"/>
    <n v="50"/>
    <n v="50"/>
  </r>
  <r>
    <s v="42004-procurement-policy"/>
    <x v="4"/>
    <n v="42004"/>
    <x v="6"/>
    <s v="procurement-policy"/>
    <x v="34"/>
    <x v="1"/>
    <x v="5"/>
    <x v="6"/>
    <n v="7"/>
    <n v="2.5000000000000001E-2"/>
    <x v="0"/>
    <x v="2"/>
    <n v="50"/>
    <x v="2"/>
    <n v="0"/>
    <n v="0"/>
    <m/>
    <n v="1"/>
    <n v="1"/>
    <n v="0"/>
    <x v="1"/>
    <n v="1"/>
    <m/>
    <s v="document"/>
    <n v="50"/>
    <n v="50"/>
  </r>
  <r>
    <s v="42004-country-strategy"/>
    <x v="4"/>
    <n v="42004"/>
    <x v="0"/>
    <s v="country-strategy"/>
    <x v="35"/>
    <x v="1"/>
    <x v="5"/>
    <x v="6"/>
    <n v="8"/>
    <n v="2.5000000000000001E-2"/>
    <x v="0"/>
    <x v="2"/>
    <n v="0"/>
    <x v="0"/>
    <n v="0"/>
    <n v="0"/>
    <m/>
    <n v="1"/>
    <n v="1"/>
    <n v="0"/>
    <x v="2"/>
    <n v="0"/>
    <m/>
    <s v="document"/>
    <n v="50"/>
    <n v="0"/>
  </r>
  <r>
    <s v="42004-foia"/>
    <x v="4"/>
    <n v="42004"/>
    <x v="15"/>
    <s v="foia"/>
    <x v="36"/>
    <x v="2"/>
    <x v="6"/>
    <x v="7"/>
    <n v="1"/>
    <n v="3.3300000000000003E-2"/>
    <x v="0"/>
    <x v="5"/>
    <n v="66.66"/>
    <x v="6"/>
    <n v="0"/>
    <n v="0"/>
    <m/>
    <n v="1"/>
    <n v="1"/>
    <n v="0"/>
    <x v="3"/>
    <n v="0"/>
    <n v="66.66"/>
    <m/>
    <n v="0"/>
    <n v="66.66"/>
  </r>
  <r>
    <s v="42004-accessibility"/>
    <x v="4"/>
    <n v="42004"/>
    <x v="15"/>
    <s v="accessibility"/>
    <x v="37"/>
    <x v="2"/>
    <x v="6"/>
    <x v="7"/>
    <n v="3"/>
    <n v="3.3300000000000003E-2"/>
    <x v="0"/>
    <x v="5"/>
    <n v="66.66"/>
    <x v="6"/>
    <n v="0"/>
    <n v="0"/>
    <m/>
    <n v="1"/>
    <n v="1"/>
    <n v="0"/>
    <x v="3"/>
    <n v="0"/>
    <n v="66.66"/>
    <m/>
    <n v="0"/>
    <n v="66.66"/>
  </r>
  <r>
    <s v="42004-implementation-schedules"/>
    <x v="4"/>
    <n v="42004"/>
    <x v="0"/>
    <s v="implementation-schedules"/>
    <x v="38"/>
    <x v="2"/>
    <x v="6"/>
    <x v="7"/>
    <n v="2"/>
    <n v="3.3300000000000003E-2"/>
    <x v="0"/>
    <x v="5"/>
    <n v="0"/>
    <x v="0"/>
    <n v="0"/>
    <n v="0"/>
    <m/>
    <n v="1"/>
    <n v="1"/>
    <n v="0"/>
    <x v="3"/>
    <n v="0"/>
    <n v="0"/>
    <m/>
    <n v="0"/>
    <n v="0"/>
  </r>
  <r>
    <s v="EE-1-dates-actual"/>
    <x v="5"/>
    <s v="EE-1"/>
    <x v="0"/>
    <s v="dates-actual"/>
    <x v="0"/>
    <x v="0"/>
    <x v="0"/>
    <x v="0"/>
    <n v="17"/>
    <n v="1.6299999999999999E-2"/>
    <x v="0"/>
    <x v="0"/>
    <n v="0"/>
    <x v="0"/>
    <n v="0"/>
    <n v="0"/>
    <m/>
    <n v="1"/>
    <n v="1"/>
    <n v="0"/>
    <x v="0"/>
    <n v="0"/>
    <m/>
    <m/>
    <n v="0"/>
    <n v="0"/>
  </r>
  <r>
    <s v="EE-1-contact-details"/>
    <x v="5"/>
    <s v="EE-1"/>
    <x v="1"/>
    <s v="contact-details"/>
    <x v="1"/>
    <x v="0"/>
    <x v="0"/>
    <x v="0"/>
    <n v="19"/>
    <n v="1.6299999999999999E-2"/>
    <x v="0"/>
    <x v="1"/>
    <n v="33.33"/>
    <x v="1"/>
    <n v="0"/>
    <n v="0"/>
    <m/>
    <n v="1"/>
    <n v="1"/>
    <n v="0"/>
    <x v="1"/>
    <n v="1"/>
    <m/>
    <s v="website"/>
    <n v="33.33"/>
    <n v="33.33"/>
  </r>
  <r>
    <s v="EE-1-current-status"/>
    <x v="5"/>
    <s v="EE-1"/>
    <x v="11"/>
    <s v="current-status"/>
    <x v="2"/>
    <x v="0"/>
    <x v="0"/>
    <x v="0"/>
    <n v="18"/>
    <n v="1.6299999999999999E-2"/>
    <x v="0"/>
    <x v="4"/>
    <n v="50"/>
    <x v="2"/>
    <n v="0"/>
    <n v="0"/>
    <m/>
    <n v="1"/>
    <n v="1"/>
    <n v="0"/>
    <x v="1"/>
    <n v="1"/>
    <m/>
    <s v="machine-readable"/>
    <n v="50"/>
    <n v="50"/>
  </r>
  <r>
    <s v="EE-1-description"/>
    <x v="5"/>
    <s v="EE-1"/>
    <x v="11"/>
    <s v="description"/>
    <x v="3"/>
    <x v="0"/>
    <x v="0"/>
    <x v="0"/>
    <n v="15"/>
    <n v="1.6299999999999999E-2"/>
    <x v="0"/>
    <x v="4"/>
    <n v="50"/>
    <x v="2"/>
    <n v="0"/>
    <n v="0"/>
    <m/>
    <n v="1"/>
    <n v="1"/>
    <n v="0"/>
    <x v="1"/>
    <n v="1"/>
    <m/>
    <s v="machine-readable"/>
    <n v="50"/>
    <n v="50"/>
  </r>
  <r>
    <s v="EE-1-implementer"/>
    <x v="5"/>
    <s v="EE-1"/>
    <x v="11"/>
    <s v="implementer"/>
    <x v="4"/>
    <x v="0"/>
    <x v="0"/>
    <x v="0"/>
    <n v="12"/>
    <n v="1.6299999999999999E-2"/>
    <x v="0"/>
    <x v="4"/>
    <n v="50"/>
    <x v="2"/>
    <n v="0"/>
    <n v="0"/>
    <m/>
    <n v="1"/>
    <n v="1"/>
    <n v="0"/>
    <x v="1"/>
    <n v="1"/>
    <m/>
    <s v="machine-readable"/>
    <n v="50"/>
    <n v="50"/>
  </r>
  <r>
    <s v="EE-1-dates-planned"/>
    <x v="5"/>
    <s v="EE-1"/>
    <x v="11"/>
    <s v="dates-planned"/>
    <x v="5"/>
    <x v="0"/>
    <x v="0"/>
    <x v="0"/>
    <n v="16"/>
    <n v="1.6299999999999999E-2"/>
    <x v="0"/>
    <x v="4"/>
    <n v="50"/>
    <x v="2"/>
    <n v="0"/>
    <n v="0"/>
    <m/>
    <n v="1"/>
    <n v="1"/>
    <n v="0"/>
    <x v="1"/>
    <n v="1"/>
    <m/>
    <s v="machine-readable"/>
    <n v="50"/>
    <n v="50"/>
  </r>
  <r>
    <s v="EE-1-title"/>
    <x v="5"/>
    <s v="EE-1"/>
    <x v="11"/>
    <s v="title"/>
    <x v="6"/>
    <x v="0"/>
    <x v="0"/>
    <x v="0"/>
    <n v="14"/>
    <n v="1.6299999999999999E-2"/>
    <x v="0"/>
    <x v="4"/>
    <n v="50"/>
    <x v="2"/>
    <n v="0"/>
    <n v="0"/>
    <m/>
    <n v="1"/>
    <n v="1"/>
    <n v="0"/>
    <x v="1"/>
    <n v="1"/>
    <m/>
    <s v="machine-readable"/>
    <n v="50"/>
    <n v="50"/>
  </r>
  <r>
    <s v="EE-1-unique-id"/>
    <x v="5"/>
    <s v="EE-1"/>
    <x v="11"/>
    <s v="unique-id"/>
    <x v="7"/>
    <x v="0"/>
    <x v="0"/>
    <x v="0"/>
    <n v="13"/>
    <n v="1.6299999999999999E-2"/>
    <x v="0"/>
    <x v="4"/>
    <n v="50"/>
    <x v="2"/>
    <n v="0"/>
    <n v="0"/>
    <m/>
    <n v="1"/>
    <n v="1"/>
    <n v="0"/>
    <x v="1"/>
    <n v="1"/>
    <m/>
    <s v="machine-readable"/>
    <n v="50"/>
    <n v="50"/>
  </r>
  <r>
    <s v="EE-1-aid-type"/>
    <x v="5"/>
    <s v="EE-1"/>
    <x v="12"/>
    <s v="aid-type"/>
    <x v="8"/>
    <x v="0"/>
    <x v="1"/>
    <x v="1"/>
    <n v="22"/>
    <n v="1.8599999999999998E-2"/>
    <x v="0"/>
    <x v="4"/>
    <n v="50"/>
    <x v="2"/>
    <n v="0"/>
    <n v="0"/>
    <m/>
    <n v="1"/>
    <n v="1"/>
    <n v="0"/>
    <x v="1"/>
    <n v="1"/>
    <m/>
    <s v="machine-readable"/>
    <n v="50"/>
    <n v="50"/>
  </r>
  <r>
    <s v="EE-1-collaboration-type"/>
    <x v="5"/>
    <s v="EE-1"/>
    <x v="12"/>
    <s v="collaboration-type"/>
    <x v="9"/>
    <x v="0"/>
    <x v="1"/>
    <x v="1"/>
    <n v="20"/>
    <n v="1.8599999999999998E-2"/>
    <x v="0"/>
    <x v="4"/>
    <n v="50"/>
    <x v="2"/>
    <n v="0"/>
    <n v="0"/>
    <m/>
    <n v="1"/>
    <n v="1"/>
    <n v="0"/>
    <x v="1"/>
    <n v="1"/>
    <m/>
    <s v="machine-readable"/>
    <n v="50"/>
    <n v="50"/>
  </r>
  <r>
    <s v="EE-1-finance-type"/>
    <x v="5"/>
    <s v="EE-1"/>
    <x v="8"/>
    <s v="finance-type"/>
    <x v="10"/>
    <x v="0"/>
    <x v="1"/>
    <x v="1"/>
    <n v="23"/>
    <n v="1.8599999999999998E-2"/>
    <x v="0"/>
    <x v="1"/>
    <n v="33.33"/>
    <x v="1"/>
    <n v="0"/>
    <n v="0"/>
    <m/>
    <n v="1"/>
    <n v="1"/>
    <n v="0"/>
    <x v="1"/>
    <n v="1"/>
    <m/>
    <s v="website"/>
    <n v="33.33"/>
    <n v="33.33"/>
  </r>
  <r>
    <s v="EE-1-flow-type"/>
    <x v="5"/>
    <s v="EE-1"/>
    <x v="8"/>
    <s v="flow-type"/>
    <x v="11"/>
    <x v="0"/>
    <x v="1"/>
    <x v="1"/>
    <n v="21"/>
    <n v="1.8599999999999998E-2"/>
    <x v="0"/>
    <x v="1"/>
    <n v="33.33"/>
    <x v="1"/>
    <n v="0"/>
    <n v="0"/>
    <m/>
    <n v="1"/>
    <n v="1"/>
    <n v="0"/>
    <x v="1"/>
    <n v="1"/>
    <m/>
    <s v="website"/>
    <n v="33.33"/>
    <n v="33.33"/>
  </r>
  <r>
    <s v="EE-1-sector"/>
    <x v="5"/>
    <s v="EE-1"/>
    <x v="12"/>
    <s v="sector"/>
    <x v="12"/>
    <x v="0"/>
    <x v="1"/>
    <x v="1"/>
    <n v="24"/>
    <n v="1.8599999999999998E-2"/>
    <x v="0"/>
    <x v="4"/>
    <n v="50"/>
    <x v="2"/>
    <n v="0"/>
    <n v="0"/>
    <m/>
    <n v="1"/>
    <n v="1"/>
    <n v="0"/>
    <x v="1"/>
    <n v="1"/>
    <m/>
    <s v="machine-readable"/>
    <n v="50"/>
    <n v="50"/>
  </r>
  <r>
    <s v="EE-1-location"/>
    <x v="5"/>
    <s v="EE-1"/>
    <x v="0"/>
    <s v="location"/>
    <x v="13"/>
    <x v="0"/>
    <x v="1"/>
    <x v="1"/>
    <n v="25"/>
    <n v="1.8599999999999998E-2"/>
    <x v="0"/>
    <x v="4"/>
    <n v="0"/>
    <x v="0"/>
    <n v="0"/>
    <n v="0"/>
    <m/>
    <n v="1"/>
    <n v="1"/>
    <n v="0"/>
    <x v="2"/>
    <n v="0"/>
    <m/>
    <s v="machine-readable"/>
    <n v="50"/>
    <n v="0"/>
  </r>
  <r>
    <s v="EE-1-tied-aid-status"/>
    <x v="5"/>
    <s v="EE-1"/>
    <x v="0"/>
    <s v="tied-aid-status"/>
    <x v="14"/>
    <x v="0"/>
    <x v="1"/>
    <x v="1"/>
    <n v="26"/>
    <n v="1.8599999999999998E-2"/>
    <x v="0"/>
    <x v="0"/>
    <n v="0"/>
    <x v="0"/>
    <n v="0"/>
    <n v="0"/>
    <m/>
    <n v="1"/>
    <n v="1"/>
    <n v="0"/>
    <x v="0"/>
    <n v="0"/>
    <m/>
    <m/>
    <n v="0"/>
    <n v="0"/>
  </r>
  <r>
    <s v="EE-1-expenditure-actual"/>
    <x v="5"/>
    <s v="EE-1"/>
    <x v="0"/>
    <s v="expenditure-actual"/>
    <x v="15"/>
    <x v="0"/>
    <x v="2"/>
    <x v="2"/>
    <n v="35"/>
    <n v="3.2500000000000001E-2"/>
    <x v="0"/>
    <x v="0"/>
    <n v="0"/>
    <x v="0"/>
    <n v="0"/>
    <n v="0"/>
    <m/>
    <n v="1"/>
    <n v="1"/>
    <n v="0"/>
    <x v="0"/>
    <n v="0"/>
    <m/>
    <m/>
    <n v="0"/>
    <n v="0"/>
  </r>
  <r>
    <s v="EE-1-cost-overall"/>
    <x v="5"/>
    <s v="EE-1"/>
    <x v="14"/>
    <s v="cost-overall"/>
    <x v="16"/>
    <x v="0"/>
    <x v="2"/>
    <x v="2"/>
    <n v="33"/>
    <n v="3.2500000000000001E-2"/>
    <x v="0"/>
    <x v="4"/>
    <n v="50"/>
    <x v="2"/>
    <n v="0"/>
    <n v="0"/>
    <m/>
    <n v="1"/>
    <n v="1"/>
    <n v="0"/>
    <x v="1"/>
    <n v="1"/>
    <m/>
    <s v="machine-readable"/>
    <n v="50"/>
    <n v="50"/>
  </r>
  <r>
    <s v="EE-1-expenditure-planned"/>
    <x v="5"/>
    <s v="EE-1"/>
    <x v="14"/>
    <s v="expenditure-planned"/>
    <x v="17"/>
    <x v="0"/>
    <x v="2"/>
    <x v="2"/>
    <n v="34"/>
    <n v="3.2500000000000001E-2"/>
    <x v="0"/>
    <x v="4"/>
    <n v="50"/>
    <x v="2"/>
    <n v="0"/>
    <n v="0"/>
    <m/>
    <n v="1"/>
    <n v="1"/>
    <n v="0"/>
    <x v="1"/>
    <n v="1"/>
    <m/>
    <s v="machine-readable"/>
    <n v="50"/>
    <n v="50"/>
  </r>
  <r>
    <s v="EE-1-budget-identifier"/>
    <x v="5"/>
    <s v="EE-1"/>
    <x v="0"/>
    <s v="budget-identifier"/>
    <x v="18"/>
    <x v="0"/>
    <x v="2"/>
    <x v="2"/>
    <n v="36"/>
    <n v="3.2500000000000001E-2"/>
    <x v="0"/>
    <x v="0"/>
    <n v="0"/>
    <x v="0"/>
    <n v="0"/>
    <n v="0"/>
    <m/>
    <n v="1"/>
    <n v="1"/>
    <n v="0"/>
    <x v="0"/>
    <n v="0"/>
    <m/>
    <m/>
    <n v="0"/>
    <n v="0"/>
  </r>
  <r>
    <s v="EE-1-conditions"/>
    <x v="5"/>
    <s v="EE-1"/>
    <x v="0"/>
    <s v="conditions"/>
    <x v="19"/>
    <x v="0"/>
    <x v="3"/>
    <x v="3"/>
    <n v="39"/>
    <n v="4.3299999999999998E-2"/>
    <x v="0"/>
    <x v="2"/>
    <n v="0"/>
    <x v="0"/>
    <n v="0"/>
    <n v="0"/>
    <m/>
    <n v="1"/>
    <n v="1"/>
    <n v="0"/>
    <x v="0"/>
    <n v="0"/>
    <m/>
    <s v="document"/>
    <n v="50"/>
    <n v="0"/>
  </r>
  <r>
    <s v="EE-1-impact-appraisals"/>
    <x v="5"/>
    <s v="EE-1"/>
    <x v="0"/>
    <s v="impact-appraisals"/>
    <x v="20"/>
    <x v="0"/>
    <x v="3"/>
    <x v="3"/>
    <n v="38"/>
    <n v="4.3299999999999998E-2"/>
    <x v="0"/>
    <x v="2"/>
    <n v="0"/>
    <x v="0"/>
    <n v="0"/>
    <n v="0"/>
    <m/>
    <n v="1"/>
    <n v="1"/>
    <n v="0"/>
    <x v="0"/>
    <n v="0"/>
    <m/>
    <s v="document"/>
    <n v="50"/>
    <n v="0"/>
  </r>
  <r>
    <s v="EE-1-results"/>
    <x v="5"/>
    <s v="EE-1"/>
    <x v="0"/>
    <s v="results"/>
    <x v="21"/>
    <x v="0"/>
    <x v="3"/>
    <x v="3"/>
    <n v="37"/>
    <n v="4.3299999999999998E-2"/>
    <x v="0"/>
    <x v="0"/>
    <n v="0"/>
    <x v="0"/>
    <n v="0"/>
    <n v="0"/>
    <m/>
    <n v="1"/>
    <n v="1"/>
    <n v="0"/>
    <x v="0"/>
    <n v="0"/>
    <m/>
    <m/>
    <n v="0"/>
    <n v="0"/>
  </r>
  <r>
    <s v="EE-1-budget"/>
    <x v="5"/>
    <s v="EE-1"/>
    <x v="0"/>
    <s v="budget"/>
    <x v="22"/>
    <x v="0"/>
    <x v="4"/>
    <x v="4"/>
    <n v="30"/>
    <n v="2.1700000000000001E-2"/>
    <x v="0"/>
    <x v="2"/>
    <n v="0"/>
    <x v="0"/>
    <n v="0"/>
    <n v="0"/>
    <m/>
    <n v="1"/>
    <n v="1"/>
    <n v="0"/>
    <x v="0"/>
    <n v="0"/>
    <m/>
    <s v="document"/>
    <n v="50"/>
    <n v="0"/>
  </r>
  <r>
    <s v="EE-1-contracts"/>
    <x v="5"/>
    <s v="EE-1"/>
    <x v="3"/>
    <s v="contracts"/>
    <x v="23"/>
    <x v="0"/>
    <x v="4"/>
    <x v="4"/>
    <n v="31"/>
    <n v="2.1700000000000001E-2"/>
    <x v="0"/>
    <x v="2"/>
    <n v="50"/>
    <x v="2"/>
    <n v="0"/>
    <n v="0"/>
    <m/>
    <n v="1"/>
    <n v="1"/>
    <n v="0"/>
    <x v="1"/>
    <n v="1"/>
    <m/>
    <s v="document"/>
    <n v="50"/>
    <n v="50"/>
  </r>
  <r>
    <s v="EE-1-evaluations"/>
    <x v="5"/>
    <s v="EE-1"/>
    <x v="0"/>
    <s v="evaluations"/>
    <x v="24"/>
    <x v="0"/>
    <x v="4"/>
    <x v="4"/>
    <n v="28"/>
    <n v="2.1700000000000001E-2"/>
    <x v="0"/>
    <x v="2"/>
    <n v="0"/>
    <x v="0"/>
    <n v="0"/>
    <n v="0"/>
    <m/>
    <n v="1"/>
    <n v="1"/>
    <n v="0"/>
    <x v="0"/>
    <n v="0"/>
    <m/>
    <s v="document"/>
    <n v="50"/>
    <n v="0"/>
  </r>
  <r>
    <s v="EE-1-mou"/>
    <x v="5"/>
    <s v="EE-1"/>
    <x v="0"/>
    <s v="mou"/>
    <x v="25"/>
    <x v="0"/>
    <x v="4"/>
    <x v="4"/>
    <n v="27"/>
    <n v="2.1700000000000001E-2"/>
    <x v="0"/>
    <x v="2"/>
    <n v="0"/>
    <x v="0"/>
    <n v="0"/>
    <n v="0"/>
    <m/>
    <n v="1"/>
    <n v="1"/>
    <n v="0"/>
    <x v="0"/>
    <n v="0"/>
    <m/>
    <s v="document"/>
    <n v="50"/>
    <n v="0"/>
  </r>
  <r>
    <s v="EE-1-objectives"/>
    <x v="5"/>
    <s v="EE-1"/>
    <x v="3"/>
    <s v="objectives"/>
    <x v="26"/>
    <x v="0"/>
    <x v="4"/>
    <x v="4"/>
    <n v="29"/>
    <n v="2.1700000000000001E-2"/>
    <x v="0"/>
    <x v="2"/>
    <n v="50"/>
    <x v="2"/>
    <n v="0"/>
    <n v="0"/>
    <m/>
    <n v="1"/>
    <n v="1"/>
    <n v="0"/>
    <x v="1"/>
    <n v="1"/>
    <m/>
    <s v="document"/>
    <n v="50"/>
    <n v="50"/>
  </r>
  <r>
    <s v="EE-1-tenders"/>
    <x v="5"/>
    <s v="EE-1"/>
    <x v="3"/>
    <s v="tenders"/>
    <x v="27"/>
    <x v="0"/>
    <x v="4"/>
    <x v="4"/>
    <n v="32"/>
    <n v="2.1700000000000001E-2"/>
    <x v="0"/>
    <x v="2"/>
    <n v="50"/>
    <x v="2"/>
    <n v="0"/>
    <n v="0"/>
    <m/>
    <n v="1"/>
    <n v="1"/>
    <n v="0"/>
    <x v="1"/>
    <n v="1"/>
    <m/>
    <s v="document"/>
    <n v="50"/>
    <n v="50"/>
  </r>
  <r>
    <s v="EE-1-audit"/>
    <x v="5"/>
    <s v="EE-1"/>
    <x v="0"/>
    <s v="audit"/>
    <x v="28"/>
    <x v="1"/>
    <x v="2"/>
    <x v="5"/>
    <n v="11"/>
    <n v="4.1700000000000001E-2"/>
    <x v="0"/>
    <x v="2"/>
    <n v="0"/>
    <x v="0"/>
    <n v="0"/>
    <n v="0"/>
    <m/>
    <n v="1"/>
    <n v="1"/>
    <n v="0"/>
    <x v="0"/>
    <n v="0"/>
    <m/>
    <s v="document"/>
    <n v="50"/>
    <n v="0"/>
  </r>
  <r>
    <s v="EE-1-total-budget"/>
    <x v="5"/>
    <s v="EE-1"/>
    <x v="5"/>
    <s v="total-budget"/>
    <x v="29"/>
    <x v="1"/>
    <x v="2"/>
    <x v="5"/>
    <n v="9"/>
    <n v="4.1700000000000001E-2"/>
    <x v="0"/>
    <x v="3"/>
    <n v="11.11"/>
    <x v="3"/>
    <n v="0"/>
    <n v="0"/>
    <m/>
    <n v="1"/>
    <n v="1"/>
    <n v="0"/>
    <x v="3"/>
    <n v="0"/>
    <n v="2"/>
    <s v="pdf"/>
    <n v="16.664999999999999"/>
    <n v="11.11"/>
  </r>
  <r>
    <s v="EE-1-disaggregated-budgets"/>
    <x v="5"/>
    <s v="EE-1"/>
    <x v="0"/>
    <s v="disaggregated-budgets"/>
    <x v="30"/>
    <x v="1"/>
    <x v="2"/>
    <x v="5"/>
    <n v="10"/>
    <n v="4.1700000000000001E-2"/>
    <x v="0"/>
    <x v="0"/>
    <n v="0"/>
    <x v="0"/>
    <n v="0"/>
    <n v="0"/>
    <m/>
    <n v="1"/>
    <n v="1"/>
    <n v="0"/>
    <x v="3"/>
    <n v="0"/>
    <n v="0"/>
    <m/>
    <n v="0"/>
    <n v="0"/>
  </r>
  <r>
    <s v="EE-1-strategy"/>
    <x v="5"/>
    <s v="EE-1"/>
    <x v="6"/>
    <s v="strategy"/>
    <x v="31"/>
    <x v="1"/>
    <x v="5"/>
    <x v="6"/>
    <n v="4"/>
    <n v="2.5000000000000001E-2"/>
    <x v="0"/>
    <x v="2"/>
    <n v="50"/>
    <x v="2"/>
    <n v="0"/>
    <n v="0"/>
    <m/>
    <n v="1"/>
    <n v="1"/>
    <n v="0"/>
    <x v="1"/>
    <n v="1"/>
    <m/>
    <s v="document"/>
    <n v="50"/>
    <n v="50"/>
  </r>
  <r>
    <s v="EE-1-annual-report"/>
    <x v="5"/>
    <s v="EE-1"/>
    <x v="6"/>
    <s v="annual-report"/>
    <x v="32"/>
    <x v="1"/>
    <x v="5"/>
    <x v="6"/>
    <n v="5"/>
    <n v="2.5000000000000001E-2"/>
    <x v="0"/>
    <x v="2"/>
    <n v="50"/>
    <x v="2"/>
    <n v="0"/>
    <n v="0"/>
    <m/>
    <n v="1"/>
    <n v="1"/>
    <n v="0"/>
    <x v="1"/>
    <n v="1"/>
    <m/>
    <s v="document"/>
    <n v="50"/>
    <n v="50"/>
  </r>
  <r>
    <s v="EE-1-allocation"/>
    <x v="5"/>
    <s v="EE-1"/>
    <x v="6"/>
    <s v="allocation"/>
    <x v="33"/>
    <x v="1"/>
    <x v="5"/>
    <x v="6"/>
    <n v="6"/>
    <n v="2.5000000000000001E-2"/>
    <x v="0"/>
    <x v="2"/>
    <n v="50"/>
    <x v="2"/>
    <n v="0"/>
    <n v="0"/>
    <m/>
    <n v="1"/>
    <n v="1"/>
    <n v="0"/>
    <x v="1"/>
    <n v="1"/>
    <m/>
    <s v="document"/>
    <n v="50"/>
    <n v="50"/>
  </r>
  <r>
    <s v="EE-1-procurement-policy"/>
    <x v="5"/>
    <s v="EE-1"/>
    <x v="6"/>
    <s v="procurement-policy"/>
    <x v="34"/>
    <x v="1"/>
    <x v="5"/>
    <x v="6"/>
    <n v="7"/>
    <n v="2.5000000000000001E-2"/>
    <x v="0"/>
    <x v="2"/>
    <n v="50"/>
    <x v="2"/>
    <n v="0"/>
    <n v="0"/>
    <m/>
    <n v="1"/>
    <n v="1"/>
    <n v="0"/>
    <x v="1"/>
    <n v="1"/>
    <m/>
    <s v="document"/>
    <n v="50"/>
    <n v="50"/>
  </r>
  <r>
    <s v="EE-1-country-strategy"/>
    <x v="5"/>
    <s v="EE-1"/>
    <x v="6"/>
    <s v="country-strategy"/>
    <x v="35"/>
    <x v="1"/>
    <x v="5"/>
    <x v="6"/>
    <n v="8"/>
    <n v="2.5000000000000001E-2"/>
    <x v="0"/>
    <x v="2"/>
    <n v="50"/>
    <x v="2"/>
    <n v="0"/>
    <n v="0"/>
    <m/>
    <n v="1"/>
    <n v="1"/>
    <n v="0"/>
    <x v="1"/>
    <n v="1"/>
    <m/>
    <s v="document"/>
    <n v="50"/>
    <n v="50"/>
  </r>
  <r>
    <s v="EE-1-foia"/>
    <x v="5"/>
    <s v="EE-1"/>
    <x v="10"/>
    <s v="foia"/>
    <x v="36"/>
    <x v="2"/>
    <x v="6"/>
    <x v="7"/>
    <n v="1"/>
    <n v="3.3300000000000003E-2"/>
    <x v="0"/>
    <x v="5"/>
    <n v="100"/>
    <x v="5"/>
    <n v="0"/>
    <n v="0"/>
    <m/>
    <n v="1"/>
    <n v="1"/>
    <n v="0"/>
    <x v="3"/>
    <n v="0"/>
    <n v="100"/>
    <m/>
    <n v="0"/>
    <n v="100"/>
  </r>
  <r>
    <s v="EE-1-accessibility"/>
    <x v="5"/>
    <s v="EE-1"/>
    <x v="15"/>
    <s v="accessibility"/>
    <x v="37"/>
    <x v="2"/>
    <x v="6"/>
    <x v="7"/>
    <n v="3"/>
    <n v="3.3300000000000003E-2"/>
    <x v="0"/>
    <x v="5"/>
    <n v="66.66"/>
    <x v="6"/>
    <n v="0"/>
    <n v="0"/>
    <m/>
    <n v="1"/>
    <n v="1"/>
    <n v="0"/>
    <x v="3"/>
    <n v="0"/>
    <n v="66.66"/>
    <m/>
    <n v="0"/>
    <n v="66.66"/>
  </r>
  <r>
    <s v="EE-1-implementation-schedules"/>
    <x v="5"/>
    <s v="EE-1"/>
    <x v="0"/>
    <s v="implementation-schedules"/>
    <x v="38"/>
    <x v="2"/>
    <x v="6"/>
    <x v="7"/>
    <n v="2"/>
    <n v="3.3300000000000003E-2"/>
    <x v="0"/>
    <x v="5"/>
    <n v="0"/>
    <x v="0"/>
    <n v="0"/>
    <n v="0"/>
    <m/>
    <n v="1"/>
    <n v="1"/>
    <n v="0"/>
    <x v="3"/>
    <n v="0"/>
    <n v="0"/>
    <m/>
    <n v="0"/>
    <n v="0"/>
  </r>
  <r>
    <s v="FR-10-dates-actual"/>
    <x v="6"/>
    <s v="FR-10"/>
    <x v="0"/>
    <s v="dates-actual"/>
    <x v="0"/>
    <x v="0"/>
    <x v="0"/>
    <x v="0"/>
    <n v="17"/>
    <n v="1.6299999999999999E-2"/>
    <x v="0"/>
    <x v="0"/>
    <n v="0"/>
    <x v="0"/>
    <n v="0"/>
    <n v="0"/>
    <m/>
    <n v="1"/>
    <n v="1"/>
    <n v="0"/>
    <x v="0"/>
    <n v="0"/>
    <m/>
    <m/>
    <n v="0"/>
    <n v="0"/>
  </r>
  <r>
    <s v="FR-10-contact-details"/>
    <x v="6"/>
    <s v="FR-10"/>
    <x v="0"/>
    <s v="contact-details"/>
    <x v="1"/>
    <x v="0"/>
    <x v="0"/>
    <x v="0"/>
    <n v="19"/>
    <n v="1.6299999999999999E-2"/>
    <x v="0"/>
    <x v="0"/>
    <n v="0"/>
    <x v="0"/>
    <n v="0"/>
    <n v="0"/>
    <m/>
    <n v="1"/>
    <n v="1"/>
    <n v="0"/>
    <x v="0"/>
    <n v="0"/>
    <m/>
    <m/>
    <n v="0"/>
    <n v="0"/>
  </r>
  <r>
    <s v="FR-10-current-status"/>
    <x v="6"/>
    <s v="FR-10"/>
    <x v="0"/>
    <s v="current-status"/>
    <x v="2"/>
    <x v="0"/>
    <x v="0"/>
    <x v="0"/>
    <n v="18"/>
    <n v="1.6299999999999999E-2"/>
    <x v="0"/>
    <x v="0"/>
    <n v="0"/>
    <x v="0"/>
    <n v="0"/>
    <n v="0"/>
    <m/>
    <n v="1"/>
    <n v="1"/>
    <n v="0"/>
    <x v="0"/>
    <n v="0"/>
    <m/>
    <m/>
    <n v="0"/>
    <n v="0"/>
  </r>
  <r>
    <s v="FR-10-description"/>
    <x v="6"/>
    <s v="FR-10"/>
    <x v="0"/>
    <s v="description"/>
    <x v="3"/>
    <x v="0"/>
    <x v="0"/>
    <x v="0"/>
    <n v="15"/>
    <n v="1.6299999999999999E-2"/>
    <x v="0"/>
    <x v="0"/>
    <n v="0"/>
    <x v="0"/>
    <n v="0"/>
    <n v="0"/>
    <m/>
    <n v="1"/>
    <n v="1"/>
    <n v="0"/>
    <x v="0"/>
    <n v="0"/>
    <m/>
    <m/>
    <n v="0"/>
    <n v="0"/>
  </r>
  <r>
    <s v="FR-10-implementer"/>
    <x v="6"/>
    <s v="FR-10"/>
    <x v="0"/>
    <s v="implementer"/>
    <x v="4"/>
    <x v="0"/>
    <x v="0"/>
    <x v="0"/>
    <n v="12"/>
    <n v="1.6299999999999999E-2"/>
    <x v="0"/>
    <x v="0"/>
    <n v="0"/>
    <x v="0"/>
    <n v="0"/>
    <n v="0"/>
    <m/>
    <n v="1"/>
    <n v="1"/>
    <n v="0"/>
    <x v="0"/>
    <n v="0"/>
    <m/>
    <m/>
    <n v="0"/>
    <n v="0"/>
  </r>
  <r>
    <s v="FR-10-dates-planned"/>
    <x v="6"/>
    <s v="FR-10"/>
    <x v="0"/>
    <s v="dates-planned"/>
    <x v="5"/>
    <x v="0"/>
    <x v="0"/>
    <x v="0"/>
    <n v="16"/>
    <n v="1.6299999999999999E-2"/>
    <x v="0"/>
    <x v="0"/>
    <n v="0"/>
    <x v="0"/>
    <n v="0"/>
    <n v="0"/>
    <m/>
    <n v="1"/>
    <n v="1"/>
    <n v="0"/>
    <x v="0"/>
    <n v="0"/>
    <m/>
    <m/>
    <n v="0"/>
    <n v="0"/>
  </r>
  <r>
    <s v="FR-10-title"/>
    <x v="6"/>
    <s v="FR-10"/>
    <x v="0"/>
    <s v="title"/>
    <x v="6"/>
    <x v="0"/>
    <x v="0"/>
    <x v="0"/>
    <n v="14"/>
    <n v="1.6299999999999999E-2"/>
    <x v="0"/>
    <x v="0"/>
    <n v="0"/>
    <x v="0"/>
    <n v="0"/>
    <n v="0"/>
    <m/>
    <n v="1"/>
    <n v="1"/>
    <n v="0"/>
    <x v="0"/>
    <n v="0"/>
    <m/>
    <m/>
    <n v="0"/>
    <n v="0"/>
  </r>
  <r>
    <s v="FR-10-unique-id"/>
    <x v="6"/>
    <s v="FR-10"/>
    <x v="0"/>
    <s v="unique-id"/>
    <x v="7"/>
    <x v="0"/>
    <x v="0"/>
    <x v="0"/>
    <n v="13"/>
    <n v="1.6299999999999999E-2"/>
    <x v="0"/>
    <x v="0"/>
    <n v="0"/>
    <x v="0"/>
    <n v="0"/>
    <n v="0"/>
    <m/>
    <n v="1"/>
    <n v="1"/>
    <n v="0"/>
    <x v="0"/>
    <n v="0"/>
    <m/>
    <m/>
    <n v="0"/>
    <n v="0"/>
  </r>
  <r>
    <s v="FR-10-aid-type"/>
    <x v="6"/>
    <s v="FR-10"/>
    <x v="0"/>
    <s v="aid-type"/>
    <x v="8"/>
    <x v="0"/>
    <x v="1"/>
    <x v="1"/>
    <n v="22"/>
    <n v="1.8599999999999998E-2"/>
    <x v="0"/>
    <x v="0"/>
    <n v="0"/>
    <x v="0"/>
    <n v="0"/>
    <n v="0"/>
    <m/>
    <n v="1"/>
    <n v="1"/>
    <n v="0"/>
    <x v="0"/>
    <n v="0"/>
    <m/>
    <m/>
    <n v="0"/>
    <n v="0"/>
  </r>
  <r>
    <s v="FR-10-collaboration-type"/>
    <x v="6"/>
    <s v="FR-10"/>
    <x v="0"/>
    <s v="collaboration-type"/>
    <x v="9"/>
    <x v="0"/>
    <x v="1"/>
    <x v="1"/>
    <n v="20"/>
    <n v="1.8599999999999998E-2"/>
    <x v="0"/>
    <x v="0"/>
    <n v="0"/>
    <x v="0"/>
    <n v="0"/>
    <n v="0"/>
    <m/>
    <n v="1"/>
    <n v="1"/>
    <n v="0"/>
    <x v="0"/>
    <n v="0"/>
    <m/>
    <m/>
    <n v="0"/>
    <n v="0"/>
  </r>
  <r>
    <s v="FR-10-finance-type"/>
    <x v="6"/>
    <s v="FR-10"/>
    <x v="0"/>
    <s v="finance-type"/>
    <x v="10"/>
    <x v="0"/>
    <x v="1"/>
    <x v="1"/>
    <n v="23"/>
    <n v="1.8599999999999998E-2"/>
    <x v="0"/>
    <x v="0"/>
    <n v="0"/>
    <x v="0"/>
    <n v="0"/>
    <n v="0"/>
    <m/>
    <n v="1"/>
    <n v="1"/>
    <n v="0"/>
    <x v="0"/>
    <n v="0"/>
    <m/>
    <m/>
    <n v="0"/>
    <n v="0"/>
  </r>
  <r>
    <s v="FR-10-flow-type"/>
    <x v="6"/>
    <s v="FR-10"/>
    <x v="0"/>
    <s v="flow-type"/>
    <x v="11"/>
    <x v="0"/>
    <x v="1"/>
    <x v="1"/>
    <n v="21"/>
    <n v="1.8599999999999998E-2"/>
    <x v="0"/>
    <x v="0"/>
    <n v="0"/>
    <x v="0"/>
    <n v="0"/>
    <n v="0"/>
    <m/>
    <n v="1"/>
    <n v="1"/>
    <n v="0"/>
    <x v="0"/>
    <n v="0"/>
    <m/>
    <m/>
    <n v="0"/>
    <n v="0"/>
  </r>
  <r>
    <s v="FR-10-sector"/>
    <x v="6"/>
    <s v="FR-10"/>
    <x v="0"/>
    <s v="sector"/>
    <x v="12"/>
    <x v="0"/>
    <x v="1"/>
    <x v="1"/>
    <n v="24"/>
    <n v="1.8599999999999998E-2"/>
    <x v="0"/>
    <x v="0"/>
    <n v="0"/>
    <x v="0"/>
    <n v="0"/>
    <n v="0"/>
    <m/>
    <n v="1"/>
    <n v="1"/>
    <n v="0"/>
    <x v="0"/>
    <n v="0"/>
    <m/>
    <m/>
    <n v="0"/>
    <n v="0"/>
  </r>
  <r>
    <s v="FR-10-location"/>
    <x v="6"/>
    <s v="FR-10"/>
    <x v="0"/>
    <s v="location"/>
    <x v="13"/>
    <x v="0"/>
    <x v="1"/>
    <x v="1"/>
    <n v="25"/>
    <n v="1.8599999999999998E-2"/>
    <x v="0"/>
    <x v="0"/>
    <n v="0"/>
    <x v="0"/>
    <n v="0"/>
    <n v="0"/>
    <m/>
    <n v="1"/>
    <n v="1"/>
    <n v="0"/>
    <x v="0"/>
    <n v="0"/>
    <m/>
    <m/>
    <n v="0"/>
    <n v="0"/>
  </r>
  <r>
    <s v="FR-10-tied-aid-status"/>
    <x v="6"/>
    <s v="FR-10"/>
    <x v="0"/>
    <s v="tied-aid-status"/>
    <x v="14"/>
    <x v="0"/>
    <x v="1"/>
    <x v="1"/>
    <n v="26"/>
    <n v="1.8599999999999998E-2"/>
    <x v="0"/>
    <x v="0"/>
    <n v="0"/>
    <x v="0"/>
    <n v="0"/>
    <n v="0"/>
    <m/>
    <n v="1"/>
    <n v="1"/>
    <n v="0"/>
    <x v="0"/>
    <n v="0"/>
    <m/>
    <m/>
    <n v="0"/>
    <n v="0"/>
  </r>
  <r>
    <s v="FR-10-expenditure-actual"/>
    <x v="6"/>
    <s v="FR-10"/>
    <x v="0"/>
    <s v="expenditure-actual"/>
    <x v="15"/>
    <x v="0"/>
    <x v="2"/>
    <x v="2"/>
    <n v="35"/>
    <n v="3.2500000000000001E-2"/>
    <x v="0"/>
    <x v="0"/>
    <n v="0"/>
    <x v="0"/>
    <n v="0"/>
    <n v="0"/>
    <m/>
    <n v="1"/>
    <n v="1"/>
    <n v="0"/>
    <x v="0"/>
    <n v="0"/>
    <m/>
    <m/>
    <n v="0"/>
    <n v="0"/>
  </r>
  <r>
    <s v="FR-10-cost-overall"/>
    <x v="6"/>
    <s v="FR-10"/>
    <x v="0"/>
    <s v="cost-overall"/>
    <x v="16"/>
    <x v="0"/>
    <x v="2"/>
    <x v="2"/>
    <n v="33"/>
    <n v="3.2500000000000001E-2"/>
    <x v="0"/>
    <x v="0"/>
    <n v="0"/>
    <x v="0"/>
    <n v="0"/>
    <n v="0"/>
    <m/>
    <n v="1"/>
    <n v="1"/>
    <n v="0"/>
    <x v="0"/>
    <n v="0"/>
    <m/>
    <m/>
    <n v="0"/>
    <n v="0"/>
  </r>
  <r>
    <s v="FR-10-expenditure-planned"/>
    <x v="6"/>
    <s v="FR-10"/>
    <x v="0"/>
    <s v="expenditure-planned"/>
    <x v="17"/>
    <x v="0"/>
    <x v="2"/>
    <x v="2"/>
    <n v="34"/>
    <n v="3.2500000000000001E-2"/>
    <x v="0"/>
    <x v="0"/>
    <n v="0"/>
    <x v="0"/>
    <n v="0"/>
    <n v="0"/>
    <m/>
    <n v="1"/>
    <n v="1"/>
    <n v="0"/>
    <x v="0"/>
    <n v="0"/>
    <m/>
    <m/>
    <n v="0"/>
    <n v="0"/>
  </r>
  <r>
    <s v="FR-10-budget-identifier"/>
    <x v="6"/>
    <s v="FR-10"/>
    <x v="0"/>
    <s v="budget-identifier"/>
    <x v="18"/>
    <x v="0"/>
    <x v="2"/>
    <x v="2"/>
    <n v="36"/>
    <n v="3.2500000000000001E-2"/>
    <x v="0"/>
    <x v="0"/>
    <n v="0"/>
    <x v="0"/>
    <n v="0"/>
    <n v="0"/>
    <m/>
    <n v="1"/>
    <n v="1"/>
    <n v="0"/>
    <x v="0"/>
    <n v="0"/>
    <m/>
    <m/>
    <n v="0"/>
    <n v="0"/>
  </r>
  <r>
    <s v="FR-10-conditions"/>
    <x v="6"/>
    <s v="FR-10"/>
    <x v="0"/>
    <s v="conditions"/>
    <x v="19"/>
    <x v="0"/>
    <x v="3"/>
    <x v="3"/>
    <n v="39"/>
    <n v="4.3299999999999998E-2"/>
    <x v="0"/>
    <x v="2"/>
    <n v="0"/>
    <x v="0"/>
    <n v="0"/>
    <n v="0"/>
    <m/>
    <n v="1"/>
    <n v="1"/>
    <n v="0"/>
    <x v="0"/>
    <n v="0"/>
    <m/>
    <s v="document"/>
    <n v="50"/>
    <n v="0"/>
  </r>
  <r>
    <s v="FR-10-impact-appraisals"/>
    <x v="6"/>
    <s v="FR-10"/>
    <x v="0"/>
    <s v="impact-appraisals"/>
    <x v="20"/>
    <x v="0"/>
    <x v="3"/>
    <x v="3"/>
    <n v="38"/>
    <n v="4.3299999999999998E-2"/>
    <x v="0"/>
    <x v="2"/>
    <n v="0"/>
    <x v="0"/>
    <n v="0"/>
    <n v="0"/>
    <m/>
    <n v="1"/>
    <n v="1"/>
    <n v="0"/>
    <x v="0"/>
    <n v="0"/>
    <m/>
    <s v="document"/>
    <n v="50"/>
    <n v="0"/>
  </r>
  <r>
    <s v="FR-10-results"/>
    <x v="6"/>
    <s v="FR-10"/>
    <x v="0"/>
    <s v="results"/>
    <x v="21"/>
    <x v="0"/>
    <x v="3"/>
    <x v="3"/>
    <n v="37"/>
    <n v="4.3299999999999998E-2"/>
    <x v="0"/>
    <x v="0"/>
    <n v="0"/>
    <x v="0"/>
    <n v="0"/>
    <n v="0"/>
    <m/>
    <n v="1"/>
    <n v="1"/>
    <n v="0"/>
    <x v="0"/>
    <n v="0"/>
    <m/>
    <m/>
    <n v="0"/>
    <n v="0"/>
  </r>
  <r>
    <s v="FR-10-budget"/>
    <x v="6"/>
    <s v="FR-10"/>
    <x v="0"/>
    <s v="budget"/>
    <x v="22"/>
    <x v="0"/>
    <x v="4"/>
    <x v="4"/>
    <n v="30"/>
    <n v="2.1700000000000001E-2"/>
    <x v="0"/>
    <x v="2"/>
    <n v="0"/>
    <x v="0"/>
    <n v="0"/>
    <n v="0"/>
    <m/>
    <n v="1"/>
    <n v="1"/>
    <n v="0"/>
    <x v="0"/>
    <n v="0"/>
    <m/>
    <s v="document"/>
    <n v="50"/>
    <n v="0"/>
  </r>
  <r>
    <s v="FR-10-contracts"/>
    <x v="6"/>
    <s v="FR-10"/>
    <x v="3"/>
    <s v="contracts"/>
    <x v="23"/>
    <x v="0"/>
    <x v="4"/>
    <x v="4"/>
    <n v="31"/>
    <n v="2.1700000000000001E-2"/>
    <x v="0"/>
    <x v="2"/>
    <n v="50"/>
    <x v="2"/>
    <n v="0"/>
    <n v="0"/>
    <m/>
    <n v="1"/>
    <n v="1"/>
    <n v="0"/>
    <x v="1"/>
    <n v="1"/>
    <m/>
    <s v="document"/>
    <n v="50"/>
    <n v="50"/>
  </r>
  <r>
    <s v="FR-10-evaluations"/>
    <x v="6"/>
    <s v="FR-10"/>
    <x v="0"/>
    <s v="evaluations"/>
    <x v="24"/>
    <x v="0"/>
    <x v="4"/>
    <x v="4"/>
    <n v="28"/>
    <n v="2.1700000000000001E-2"/>
    <x v="0"/>
    <x v="2"/>
    <n v="0"/>
    <x v="0"/>
    <n v="0"/>
    <n v="0"/>
    <m/>
    <n v="1"/>
    <n v="1"/>
    <n v="0"/>
    <x v="2"/>
    <n v="0"/>
    <m/>
    <s v="document"/>
    <n v="50"/>
    <n v="0"/>
  </r>
  <r>
    <s v="FR-10-mou"/>
    <x v="6"/>
    <s v="FR-10"/>
    <x v="0"/>
    <s v="mou"/>
    <x v="25"/>
    <x v="0"/>
    <x v="4"/>
    <x v="4"/>
    <n v="27"/>
    <n v="2.1700000000000001E-2"/>
    <x v="0"/>
    <x v="2"/>
    <n v="0"/>
    <x v="0"/>
    <n v="0"/>
    <n v="0"/>
    <m/>
    <n v="1"/>
    <n v="1"/>
    <n v="0"/>
    <x v="0"/>
    <n v="0"/>
    <m/>
    <s v="document"/>
    <n v="50"/>
    <n v="0"/>
  </r>
  <r>
    <s v="FR-10-objectives"/>
    <x v="6"/>
    <s v="FR-10"/>
    <x v="0"/>
    <s v="objectives"/>
    <x v="26"/>
    <x v="0"/>
    <x v="4"/>
    <x v="4"/>
    <n v="29"/>
    <n v="2.1700000000000001E-2"/>
    <x v="0"/>
    <x v="2"/>
    <n v="0"/>
    <x v="0"/>
    <n v="0"/>
    <n v="0"/>
    <m/>
    <n v="1"/>
    <n v="1"/>
    <n v="0"/>
    <x v="0"/>
    <n v="0"/>
    <m/>
    <s v="document"/>
    <n v="50"/>
    <n v="0"/>
  </r>
  <r>
    <s v="FR-10-tenders"/>
    <x v="6"/>
    <s v="FR-10"/>
    <x v="3"/>
    <s v="tenders"/>
    <x v="27"/>
    <x v="0"/>
    <x v="4"/>
    <x v="4"/>
    <n v="32"/>
    <n v="2.1700000000000001E-2"/>
    <x v="0"/>
    <x v="2"/>
    <n v="50"/>
    <x v="2"/>
    <n v="0"/>
    <n v="0"/>
    <m/>
    <n v="1"/>
    <n v="1"/>
    <n v="0"/>
    <x v="1"/>
    <n v="1"/>
    <m/>
    <s v="document"/>
    <n v="50"/>
    <n v="50"/>
  </r>
  <r>
    <s v="FR-10-audit"/>
    <x v="6"/>
    <s v="FR-10"/>
    <x v="0"/>
    <s v="audit"/>
    <x v="28"/>
    <x v="1"/>
    <x v="2"/>
    <x v="5"/>
    <n v="11"/>
    <n v="4.1700000000000001E-2"/>
    <x v="0"/>
    <x v="2"/>
    <n v="0"/>
    <x v="0"/>
    <n v="0"/>
    <n v="0"/>
    <m/>
    <n v="1"/>
    <n v="1"/>
    <n v="0"/>
    <x v="2"/>
    <n v="0"/>
    <m/>
    <s v="document"/>
    <n v="50"/>
    <n v="0"/>
  </r>
  <r>
    <s v="FR-10-total-budget"/>
    <x v="6"/>
    <s v="FR-10"/>
    <x v="9"/>
    <s v="total-budget"/>
    <x v="29"/>
    <x v="1"/>
    <x v="2"/>
    <x v="5"/>
    <n v="9"/>
    <n v="4.1700000000000001E-2"/>
    <x v="0"/>
    <x v="3"/>
    <n v="16.664999999999999"/>
    <x v="4"/>
    <n v="0"/>
    <n v="0"/>
    <m/>
    <n v="1"/>
    <n v="1"/>
    <n v="0"/>
    <x v="3"/>
    <n v="0"/>
    <n v="3"/>
    <s v="pdf"/>
    <n v="16.664999999999999"/>
    <n v="16.664999999999999"/>
  </r>
  <r>
    <s v="FR-10-disaggregated-budgets"/>
    <x v="6"/>
    <s v="FR-10"/>
    <x v="0"/>
    <s v="disaggregated-budgets"/>
    <x v="30"/>
    <x v="1"/>
    <x v="2"/>
    <x v="5"/>
    <n v="10"/>
    <n v="4.1700000000000001E-2"/>
    <x v="0"/>
    <x v="0"/>
    <n v="0"/>
    <x v="0"/>
    <n v="0"/>
    <n v="0"/>
    <m/>
    <n v="1"/>
    <n v="1"/>
    <n v="0"/>
    <x v="3"/>
    <n v="0"/>
    <n v="0"/>
    <m/>
    <n v="0"/>
    <n v="0"/>
  </r>
  <r>
    <s v="FR-10-strategy"/>
    <x v="6"/>
    <s v="FR-10"/>
    <x v="6"/>
    <s v="strategy"/>
    <x v="31"/>
    <x v="1"/>
    <x v="5"/>
    <x v="6"/>
    <n v="4"/>
    <n v="2.5000000000000001E-2"/>
    <x v="0"/>
    <x v="2"/>
    <n v="50"/>
    <x v="2"/>
    <n v="0"/>
    <n v="0"/>
    <m/>
    <n v="1"/>
    <n v="1"/>
    <n v="0"/>
    <x v="1"/>
    <n v="1"/>
    <m/>
    <s v="document"/>
    <n v="50"/>
    <n v="50"/>
  </r>
  <r>
    <s v="FR-10-annual-report"/>
    <x v="6"/>
    <s v="FR-10"/>
    <x v="6"/>
    <s v="annual-report"/>
    <x v="32"/>
    <x v="1"/>
    <x v="5"/>
    <x v="6"/>
    <n v="5"/>
    <n v="2.5000000000000001E-2"/>
    <x v="0"/>
    <x v="2"/>
    <n v="50"/>
    <x v="2"/>
    <n v="0"/>
    <n v="0"/>
    <m/>
    <n v="1"/>
    <n v="1"/>
    <n v="0"/>
    <x v="1"/>
    <n v="1"/>
    <m/>
    <s v="document"/>
    <n v="50"/>
    <n v="50"/>
  </r>
  <r>
    <s v="FR-10-allocation"/>
    <x v="6"/>
    <s v="FR-10"/>
    <x v="6"/>
    <s v="allocation"/>
    <x v="33"/>
    <x v="1"/>
    <x v="5"/>
    <x v="6"/>
    <n v="6"/>
    <n v="2.5000000000000001E-2"/>
    <x v="0"/>
    <x v="2"/>
    <n v="50"/>
    <x v="2"/>
    <n v="0"/>
    <n v="0"/>
    <m/>
    <n v="1"/>
    <n v="1"/>
    <n v="0"/>
    <x v="1"/>
    <n v="1"/>
    <m/>
    <s v="document"/>
    <n v="50"/>
    <n v="50"/>
  </r>
  <r>
    <s v="FR-10-procurement-policy"/>
    <x v="6"/>
    <s v="FR-10"/>
    <x v="6"/>
    <s v="procurement-policy"/>
    <x v="34"/>
    <x v="1"/>
    <x v="5"/>
    <x v="6"/>
    <n v="7"/>
    <n v="2.5000000000000001E-2"/>
    <x v="0"/>
    <x v="2"/>
    <n v="50"/>
    <x v="2"/>
    <n v="0"/>
    <n v="0"/>
    <m/>
    <n v="1"/>
    <n v="1"/>
    <n v="0"/>
    <x v="1"/>
    <n v="1"/>
    <m/>
    <s v="document"/>
    <n v="50"/>
    <n v="50"/>
  </r>
  <r>
    <s v="FR-10-country-strategy"/>
    <x v="6"/>
    <s v="FR-10"/>
    <x v="0"/>
    <s v="country-strategy"/>
    <x v="35"/>
    <x v="1"/>
    <x v="5"/>
    <x v="6"/>
    <n v="8"/>
    <n v="2.5000000000000001E-2"/>
    <x v="0"/>
    <x v="2"/>
    <n v="0"/>
    <x v="0"/>
    <n v="0"/>
    <n v="0"/>
    <m/>
    <n v="1"/>
    <n v="1"/>
    <n v="0"/>
    <x v="0"/>
    <n v="0"/>
    <m/>
    <s v="document"/>
    <n v="50"/>
    <n v="0"/>
  </r>
  <r>
    <s v="FR-10-foia"/>
    <x v="6"/>
    <s v="FR-10"/>
    <x v="15"/>
    <s v="foia"/>
    <x v="36"/>
    <x v="2"/>
    <x v="6"/>
    <x v="7"/>
    <n v="1"/>
    <n v="3.3300000000000003E-2"/>
    <x v="0"/>
    <x v="5"/>
    <n v="66.66"/>
    <x v="6"/>
    <n v="0"/>
    <n v="0"/>
    <m/>
    <n v="1"/>
    <n v="1"/>
    <n v="0"/>
    <x v="3"/>
    <n v="0"/>
    <n v="66.66"/>
    <m/>
    <n v="0"/>
    <n v="66.66"/>
  </r>
  <r>
    <s v="FR-10-accessibility"/>
    <x v="6"/>
    <s v="FR-10"/>
    <x v="0"/>
    <s v="accessibility"/>
    <x v="37"/>
    <x v="2"/>
    <x v="6"/>
    <x v="7"/>
    <n v="3"/>
    <n v="3.3300000000000003E-2"/>
    <x v="0"/>
    <x v="5"/>
    <n v="0"/>
    <x v="0"/>
    <n v="0"/>
    <n v="0"/>
    <m/>
    <n v="1"/>
    <n v="1"/>
    <n v="0"/>
    <x v="3"/>
    <n v="0"/>
    <n v="0"/>
    <m/>
    <n v="0"/>
    <n v="0"/>
  </r>
  <r>
    <s v="FR-10-implementation-schedules"/>
    <x v="6"/>
    <s v="FR-10"/>
    <x v="17"/>
    <s v="implementation-schedules"/>
    <x v="38"/>
    <x v="2"/>
    <x v="6"/>
    <x v="7"/>
    <n v="2"/>
    <n v="3.3300000000000003E-2"/>
    <x v="0"/>
    <x v="5"/>
    <n v="6.5"/>
    <x v="8"/>
    <n v="0"/>
    <n v="0"/>
    <m/>
    <n v="1"/>
    <n v="1"/>
    <n v="0"/>
    <x v="3"/>
    <n v="0"/>
    <n v="6.5"/>
    <m/>
    <n v="0"/>
    <n v="6.5"/>
  </r>
  <r>
    <s v="GR-3-dates-actual"/>
    <x v="7"/>
    <s v="GR-3"/>
    <x v="0"/>
    <s v="dates-actual"/>
    <x v="0"/>
    <x v="0"/>
    <x v="0"/>
    <x v="0"/>
    <n v="17"/>
    <n v="1.6299999999999999E-2"/>
    <x v="0"/>
    <x v="0"/>
    <n v="0"/>
    <x v="0"/>
    <n v="0"/>
    <n v="0"/>
    <m/>
    <n v="1"/>
    <n v="1"/>
    <n v="0"/>
    <x v="0"/>
    <n v="0"/>
    <m/>
    <m/>
    <n v="0"/>
    <n v="0"/>
  </r>
  <r>
    <s v="GR-3-contact-details"/>
    <x v="7"/>
    <s v="GR-3"/>
    <x v="0"/>
    <s v="contact-details"/>
    <x v="1"/>
    <x v="0"/>
    <x v="0"/>
    <x v="0"/>
    <n v="19"/>
    <n v="1.6299999999999999E-2"/>
    <x v="0"/>
    <x v="0"/>
    <n v="0"/>
    <x v="0"/>
    <n v="0"/>
    <n v="0"/>
    <m/>
    <n v="1"/>
    <n v="1"/>
    <n v="0"/>
    <x v="0"/>
    <n v="0"/>
    <m/>
    <m/>
    <n v="0"/>
    <n v="0"/>
  </r>
  <r>
    <s v="GR-3-current-status"/>
    <x v="7"/>
    <s v="GR-3"/>
    <x v="0"/>
    <s v="current-status"/>
    <x v="2"/>
    <x v="0"/>
    <x v="0"/>
    <x v="0"/>
    <n v="18"/>
    <n v="1.6299999999999999E-2"/>
    <x v="0"/>
    <x v="0"/>
    <n v="0"/>
    <x v="0"/>
    <n v="0"/>
    <n v="0"/>
    <m/>
    <n v="1"/>
    <n v="1"/>
    <n v="0"/>
    <x v="0"/>
    <n v="0"/>
    <m/>
    <m/>
    <n v="0"/>
    <n v="0"/>
  </r>
  <r>
    <s v="GR-3-description"/>
    <x v="7"/>
    <s v="GR-3"/>
    <x v="0"/>
    <s v="description"/>
    <x v="3"/>
    <x v="0"/>
    <x v="0"/>
    <x v="0"/>
    <n v="15"/>
    <n v="1.6299999999999999E-2"/>
    <x v="0"/>
    <x v="0"/>
    <n v="0"/>
    <x v="0"/>
    <n v="0"/>
    <n v="0"/>
    <m/>
    <n v="1"/>
    <n v="1"/>
    <n v="0"/>
    <x v="0"/>
    <n v="0"/>
    <m/>
    <m/>
    <n v="0"/>
    <n v="0"/>
  </r>
  <r>
    <s v="GR-3-implementer"/>
    <x v="7"/>
    <s v="GR-3"/>
    <x v="0"/>
    <s v="implementer"/>
    <x v="4"/>
    <x v="0"/>
    <x v="0"/>
    <x v="0"/>
    <n v="12"/>
    <n v="1.6299999999999999E-2"/>
    <x v="0"/>
    <x v="0"/>
    <n v="0"/>
    <x v="0"/>
    <n v="0"/>
    <n v="0"/>
    <m/>
    <n v="1"/>
    <n v="1"/>
    <n v="0"/>
    <x v="0"/>
    <n v="0"/>
    <m/>
    <m/>
    <n v="0"/>
    <n v="0"/>
  </r>
  <r>
    <s v="GR-3-dates-planned"/>
    <x v="7"/>
    <s v="GR-3"/>
    <x v="0"/>
    <s v="dates-planned"/>
    <x v="5"/>
    <x v="0"/>
    <x v="0"/>
    <x v="0"/>
    <n v="16"/>
    <n v="1.6299999999999999E-2"/>
    <x v="0"/>
    <x v="0"/>
    <n v="0"/>
    <x v="0"/>
    <n v="0"/>
    <n v="0"/>
    <m/>
    <n v="1"/>
    <n v="1"/>
    <n v="0"/>
    <x v="0"/>
    <n v="0"/>
    <m/>
    <m/>
    <n v="0"/>
    <n v="0"/>
  </r>
  <r>
    <s v="GR-3-title"/>
    <x v="7"/>
    <s v="GR-3"/>
    <x v="0"/>
    <s v="title"/>
    <x v="6"/>
    <x v="0"/>
    <x v="0"/>
    <x v="0"/>
    <n v="14"/>
    <n v="1.6299999999999999E-2"/>
    <x v="0"/>
    <x v="0"/>
    <n v="0"/>
    <x v="0"/>
    <n v="0"/>
    <n v="0"/>
    <m/>
    <n v="1"/>
    <n v="1"/>
    <n v="0"/>
    <x v="0"/>
    <n v="0"/>
    <m/>
    <m/>
    <n v="0"/>
    <n v="0"/>
  </r>
  <r>
    <s v="GR-3-unique-id"/>
    <x v="7"/>
    <s v="GR-3"/>
    <x v="0"/>
    <s v="unique-id"/>
    <x v="7"/>
    <x v="0"/>
    <x v="0"/>
    <x v="0"/>
    <n v="13"/>
    <n v="1.6299999999999999E-2"/>
    <x v="0"/>
    <x v="0"/>
    <n v="0"/>
    <x v="0"/>
    <n v="0"/>
    <n v="0"/>
    <m/>
    <n v="1"/>
    <n v="1"/>
    <n v="0"/>
    <x v="0"/>
    <n v="0"/>
    <m/>
    <m/>
    <n v="0"/>
    <n v="0"/>
  </r>
  <r>
    <s v="GR-3-aid-type"/>
    <x v="7"/>
    <s v="GR-3"/>
    <x v="0"/>
    <s v="aid-type"/>
    <x v="8"/>
    <x v="0"/>
    <x v="1"/>
    <x v="1"/>
    <n v="22"/>
    <n v="1.8599999999999998E-2"/>
    <x v="0"/>
    <x v="0"/>
    <n v="0"/>
    <x v="0"/>
    <n v="0"/>
    <n v="0"/>
    <m/>
    <n v="1"/>
    <n v="1"/>
    <n v="0"/>
    <x v="0"/>
    <n v="0"/>
    <m/>
    <m/>
    <n v="0"/>
    <n v="0"/>
  </r>
  <r>
    <s v="GR-3-collaboration-type"/>
    <x v="7"/>
    <s v="GR-3"/>
    <x v="0"/>
    <s v="collaboration-type"/>
    <x v="9"/>
    <x v="0"/>
    <x v="1"/>
    <x v="1"/>
    <n v="20"/>
    <n v="1.8599999999999998E-2"/>
    <x v="0"/>
    <x v="0"/>
    <n v="0"/>
    <x v="0"/>
    <n v="0"/>
    <n v="0"/>
    <m/>
    <n v="1"/>
    <n v="1"/>
    <n v="0"/>
    <x v="0"/>
    <n v="0"/>
    <m/>
    <m/>
    <n v="0"/>
    <n v="0"/>
  </r>
  <r>
    <s v="GR-3-finance-type"/>
    <x v="7"/>
    <s v="GR-3"/>
    <x v="0"/>
    <s v="finance-type"/>
    <x v="10"/>
    <x v="0"/>
    <x v="1"/>
    <x v="1"/>
    <n v="23"/>
    <n v="1.8599999999999998E-2"/>
    <x v="0"/>
    <x v="0"/>
    <n v="0"/>
    <x v="0"/>
    <n v="0"/>
    <n v="0"/>
    <m/>
    <n v="1"/>
    <n v="1"/>
    <n v="0"/>
    <x v="0"/>
    <n v="0"/>
    <m/>
    <m/>
    <n v="0"/>
    <n v="0"/>
  </r>
  <r>
    <s v="GR-3-flow-type"/>
    <x v="7"/>
    <s v="GR-3"/>
    <x v="0"/>
    <s v="flow-type"/>
    <x v="11"/>
    <x v="0"/>
    <x v="1"/>
    <x v="1"/>
    <n v="21"/>
    <n v="1.8599999999999998E-2"/>
    <x v="0"/>
    <x v="0"/>
    <n v="0"/>
    <x v="0"/>
    <n v="0"/>
    <n v="0"/>
    <m/>
    <n v="1"/>
    <n v="1"/>
    <n v="0"/>
    <x v="0"/>
    <n v="0"/>
    <m/>
    <m/>
    <n v="0"/>
    <n v="0"/>
  </r>
  <r>
    <s v="GR-3-sector"/>
    <x v="7"/>
    <s v="GR-3"/>
    <x v="0"/>
    <s v="sector"/>
    <x v="12"/>
    <x v="0"/>
    <x v="1"/>
    <x v="1"/>
    <n v="24"/>
    <n v="1.8599999999999998E-2"/>
    <x v="0"/>
    <x v="0"/>
    <n v="0"/>
    <x v="0"/>
    <n v="0"/>
    <n v="0"/>
    <m/>
    <n v="1"/>
    <n v="1"/>
    <n v="0"/>
    <x v="0"/>
    <n v="0"/>
    <m/>
    <m/>
    <n v="0"/>
    <n v="0"/>
  </r>
  <r>
    <s v="GR-3-location"/>
    <x v="7"/>
    <s v="GR-3"/>
    <x v="0"/>
    <s v="location"/>
    <x v="13"/>
    <x v="0"/>
    <x v="1"/>
    <x v="1"/>
    <n v="25"/>
    <n v="1.8599999999999998E-2"/>
    <x v="0"/>
    <x v="0"/>
    <n v="0"/>
    <x v="0"/>
    <n v="0"/>
    <n v="0"/>
    <m/>
    <n v="1"/>
    <n v="1"/>
    <n v="0"/>
    <x v="0"/>
    <n v="0"/>
    <m/>
    <m/>
    <n v="0"/>
    <n v="0"/>
  </r>
  <r>
    <s v="GR-3-tied-aid-status"/>
    <x v="7"/>
    <s v="GR-3"/>
    <x v="0"/>
    <s v="tied-aid-status"/>
    <x v="14"/>
    <x v="0"/>
    <x v="1"/>
    <x v="1"/>
    <n v="26"/>
    <n v="1.8599999999999998E-2"/>
    <x v="0"/>
    <x v="0"/>
    <n v="0"/>
    <x v="0"/>
    <n v="0"/>
    <n v="0"/>
    <m/>
    <n v="1"/>
    <n v="1"/>
    <n v="0"/>
    <x v="0"/>
    <n v="0"/>
    <m/>
    <m/>
    <n v="0"/>
    <n v="0"/>
  </r>
  <r>
    <s v="GR-3-expenditure-actual"/>
    <x v="7"/>
    <s v="GR-3"/>
    <x v="0"/>
    <s v="expenditure-actual"/>
    <x v="15"/>
    <x v="0"/>
    <x v="2"/>
    <x v="2"/>
    <n v="35"/>
    <n v="3.2500000000000001E-2"/>
    <x v="0"/>
    <x v="0"/>
    <n v="0"/>
    <x v="0"/>
    <n v="0"/>
    <n v="0"/>
    <m/>
    <n v="1"/>
    <n v="1"/>
    <n v="0"/>
    <x v="0"/>
    <n v="0"/>
    <m/>
    <m/>
    <n v="0"/>
    <n v="0"/>
  </r>
  <r>
    <s v="GR-3-cost-overall"/>
    <x v="7"/>
    <s v="GR-3"/>
    <x v="0"/>
    <s v="cost-overall"/>
    <x v="16"/>
    <x v="0"/>
    <x v="2"/>
    <x v="2"/>
    <n v="33"/>
    <n v="3.2500000000000001E-2"/>
    <x v="0"/>
    <x v="0"/>
    <n v="0"/>
    <x v="0"/>
    <n v="0"/>
    <n v="0"/>
    <m/>
    <n v="1"/>
    <n v="1"/>
    <n v="0"/>
    <x v="0"/>
    <n v="0"/>
    <m/>
    <m/>
    <n v="0"/>
    <n v="0"/>
  </r>
  <r>
    <s v="GR-3-expenditure-planned"/>
    <x v="7"/>
    <s v="GR-3"/>
    <x v="0"/>
    <s v="expenditure-planned"/>
    <x v="17"/>
    <x v="0"/>
    <x v="2"/>
    <x v="2"/>
    <n v="34"/>
    <n v="3.2500000000000001E-2"/>
    <x v="0"/>
    <x v="0"/>
    <n v="0"/>
    <x v="0"/>
    <n v="0"/>
    <n v="0"/>
    <m/>
    <n v="1"/>
    <n v="1"/>
    <n v="0"/>
    <x v="0"/>
    <n v="0"/>
    <m/>
    <m/>
    <n v="0"/>
    <n v="0"/>
  </r>
  <r>
    <s v="GR-3-budget-identifier"/>
    <x v="7"/>
    <s v="GR-3"/>
    <x v="0"/>
    <s v="budget-identifier"/>
    <x v="18"/>
    <x v="0"/>
    <x v="2"/>
    <x v="2"/>
    <n v="36"/>
    <n v="3.2500000000000001E-2"/>
    <x v="0"/>
    <x v="0"/>
    <n v="0"/>
    <x v="0"/>
    <n v="0"/>
    <n v="0"/>
    <m/>
    <n v="1"/>
    <n v="1"/>
    <n v="0"/>
    <x v="0"/>
    <n v="0"/>
    <m/>
    <m/>
    <n v="0"/>
    <n v="0"/>
  </r>
  <r>
    <s v="GR-3-conditions"/>
    <x v="7"/>
    <s v="GR-3"/>
    <x v="0"/>
    <s v="conditions"/>
    <x v="19"/>
    <x v="0"/>
    <x v="3"/>
    <x v="3"/>
    <n v="39"/>
    <n v="4.3299999999999998E-2"/>
    <x v="0"/>
    <x v="2"/>
    <n v="0"/>
    <x v="0"/>
    <n v="0"/>
    <n v="0"/>
    <m/>
    <n v="1"/>
    <n v="1"/>
    <n v="0"/>
    <x v="0"/>
    <n v="0"/>
    <m/>
    <s v="document"/>
    <n v="50"/>
    <n v="0"/>
  </r>
  <r>
    <s v="GR-3-impact-appraisals"/>
    <x v="7"/>
    <s v="GR-3"/>
    <x v="0"/>
    <s v="impact-appraisals"/>
    <x v="20"/>
    <x v="0"/>
    <x v="3"/>
    <x v="3"/>
    <n v="38"/>
    <n v="4.3299999999999998E-2"/>
    <x v="0"/>
    <x v="2"/>
    <n v="0"/>
    <x v="0"/>
    <n v="0"/>
    <n v="0"/>
    <m/>
    <n v="1"/>
    <n v="1"/>
    <n v="0"/>
    <x v="0"/>
    <n v="0"/>
    <m/>
    <s v="document"/>
    <n v="50"/>
    <n v="0"/>
  </r>
  <r>
    <s v="GR-3-results"/>
    <x v="7"/>
    <s v="GR-3"/>
    <x v="0"/>
    <s v="results"/>
    <x v="21"/>
    <x v="0"/>
    <x v="3"/>
    <x v="3"/>
    <n v="37"/>
    <n v="4.3299999999999998E-2"/>
    <x v="0"/>
    <x v="0"/>
    <n v="0"/>
    <x v="0"/>
    <n v="0"/>
    <n v="0"/>
    <m/>
    <n v="1"/>
    <n v="1"/>
    <n v="0"/>
    <x v="0"/>
    <n v="0"/>
    <m/>
    <m/>
    <n v="0"/>
    <n v="0"/>
  </r>
  <r>
    <s v="GR-3-budget"/>
    <x v="7"/>
    <s v="GR-3"/>
    <x v="0"/>
    <s v="budget"/>
    <x v="22"/>
    <x v="0"/>
    <x v="4"/>
    <x v="4"/>
    <n v="30"/>
    <n v="2.1700000000000001E-2"/>
    <x v="0"/>
    <x v="2"/>
    <n v="0"/>
    <x v="0"/>
    <n v="0"/>
    <n v="0"/>
    <m/>
    <n v="1"/>
    <n v="1"/>
    <n v="0"/>
    <x v="0"/>
    <n v="0"/>
    <m/>
    <s v="document"/>
    <n v="50"/>
    <n v="0"/>
  </r>
  <r>
    <s v="GR-3-contracts"/>
    <x v="7"/>
    <s v="GR-3"/>
    <x v="0"/>
    <s v="contracts"/>
    <x v="23"/>
    <x v="0"/>
    <x v="4"/>
    <x v="4"/>
    <n v="31"/>
    <n v="2.1700000000000001E-2"/>
    <x v="0"/>
    <x v="2"/>
    <n v="0"/>
    <x v="0"/>
    <n v="0"/>
    <n v="0"/>
    <m/>
    <n v="1"/>
    <n v="1"/>
    <n v="0"/>
    <x v="2"/>
    <n v="0"/>
    <m/>
    <s v="document"/>
    <n v="50"/>
    <n v="0"/>
  </r>
  <r>
    <s v="GR-3-evaluations"/>
    <x v="7"/>
    <s v="GR-3"/>
    <x v="0"/>
    <s v="evaluations"/>
    <x v="24"/>
    <x v="0"/>
    <x v="4"/>
    <x v="4"/>
    <n v="28"/>
    <n v="2.1700000000000001E-2"/>
    <x v="0"/>
    <x v="2"/>
    <n v="0"/>
    <x v="0"/>
    <n v="0"/>
    <n v="0"/>
    <m/>
    <n v="1"/>
    <n v="1"/>
    <n v="0"/>
    <x v="0"/>
    <n v="0"/>
    <m/>
    <s v="document"/>
    <n v="50"/>
    <n v="0"/>
  </r>
  <r>
    <s v="GR-3-mou"/>
    <x v="7"/>
    <s v="GR-3"/>
    <x v="0"/>
    <s v="mou"/>
    <x v="25"/>
    <x v="0"/>
    <x v="4"/>
    <x v="4"/>
    <n v="27"/>
    <n v="2.1700000000000001E-2"/>
    <x v="0"/>
    <x v="2"/>
    <n v="0"/>
    <x v="0"/>
    <n v="0"/>
    <n v="0"/>
    <m/>
    <n v="1"/>
    <n v="1"/>
    <n v="0"/>
    <x v="0"/>
    <n v="0"/>
    <m/>
    <s v="document"/>
    <n v="50"/>
    <n v="0"/>
  </r>
  <r>
    <s v="GR-3-objectives"/>
    <x v="7"/>
    <s v="GR-3"/>
    <x v="0"/>
    <s v="objectives"/>
    <x v="26"/>
    <x v="0"/>
    <x v="4"/>
    <x v="4"/>
    <n v="29"/>
    <n v="2.1700000000000001E-2"/>
    <x v="0"/>
    <x v="2"/>
    <n v="0"/>
    <x v="0"/>
    <n v="0"/>
    <n v="0"/>
    <m/>
    <n v="1"/>
    <n v="1"/>
    <n v="0"/>
    <x v="0"/>
    <n v="0"/>
    <m/>
    <s v="document"/>
    <n v="50"/>
    <n v="0"/>
  </r>
  <r>
    <s v="GR-3-tenders"/>
    <x v="7"/>
    <s v="GR-3"/>
    <x v="0"/>
    <s v="tenders"/>
    <x v="27"/>
    <x v="0"/>
    <x v="4"/>
    <x v="4"/>
    <n v="32"/>
    <n v="2.1700000000000001E-2"/>
    <x v="0"/>
    <x v="2"/>
    <n v="0"/>
    <x v="0"/>
    <n v="0"/>
    <n v="0"/>
    <m/>
    <n v="1"/>
    <n v="1"/>
    <n v="0"/>
    <x v="0"/>
    <n v="0"/>
    <m/>
    <s v="document"/>
    <n v="50"/>
    <n v="0"/>
  </r>
  <r>
    <s v="GR-3-audit"/>
    <x v="7"/>
    <s v="GR-3"/>
    <x v="0"/>
    <s v="audit"/>
    <x v="28"/>
    <x v="1"/>
    <x v="2"/>
    <x v="5"/>
    <n v="11"/>
    <n v="4.1700000000000001E-2"/>
    <x v="0"/>
    <x v="2"/>
    <n v="0"/>
    <x v="0"/>
    <n v="0"/>
    <n v="0"/>
    <m/>
    <n v="1"/>
    <n v="1"/>
    <n v="0"/>
    <x v="0"/>
    <n v="0"/>
    <m/>
    <s v="document"/>
    <n v="50"/>
    <n v="0"/>
  </r>
  <r>
    <s v="GR-3-total-budget"/>
    <x v="7"/>
    <s v="GR-3"/>
    <x v="0"/>
    <s v="total-budget"/>
    <x v="29"/>
    <x v="1"/>
    <x v="2"/>
    <x v="5"/>
    <n v="9"/>
    <n v="4.1700000000000001E-2"/>
    <x v="0"/>
    <x v="0"/>
    <n v="0"/>
    <x v="0"/>
    <n v="0"/>
    <n v="0"/>
    <m/>
    <n v="1"/>
    <n v="1"/>
    <n v="0"/>
    <x v="3"/>
    <n v="0"/>
    <n v="0"/>
    <m/>
    <n v="0"/>
    <n v="0"/>
  </r>
  <r>
    <s v="GR-3-disaggregated-budgets"/>
    <x v="7"/>
    <s v="GR-3"/>
    <x v="0"/>
    <s v="disaggregated-budgets"/>
    <x v="30"/>
    <x v="1"/>
    <x v="2"/>
    <x v="5"/>
    <n v="10"/>
    <n v="4.1700000000000001E-2"/>
    <x v="0"/>
    <x v="0"/>
    <n v="0"/>
    <x v="0"/>
    <n v="0"/>
    <n v="0"/>
    <m/>
    <n v="1"/>
    <n v="1"/>
    <n v="0"/>
    <x v="3"/>
    <n v="0"/>
    <n v="0"/>
    <m/>
    <n v="0"/>
    <n v="0"/>
  </r>
  <r>
    <s v="GR-3-strategy"/>
    <x v="7"/>
    <s v="GR-3"/>
    <x v="0"/>
    <s v="strategy"/>
    <x v="31"/>
    <x v="1"/>
    <x v="5"/>
    <x v="6"/>
    <n v="4"/>
    <n v="2.5000000000000001E-2"/>
    <x v="0"/>
    <x v="2"/>
    <n v="0"/>
    <x v="0"/>
    <n v="0"/>
    <n v="0"/>
    <m/>
    <n v="1"/>
    <n v="1"/>
    <n v="0"/>
    <x v="0"/>
    <n v="0"/>
    <m/>
    <s v="document"/>
    <n v="50"/>
    <n v="0"/>
  </r>
  <r>
    <s v="GR-3-annual-report"/>
    <x v="7"/>
    <s v="GR-3"/>
    <x v="6"/>
    <s v="annual-report"/>
    <x v="32"/>
    <x v="1"/>
    <x v="5"/>
    <x v="6"/>
    <n v="5"/>
    <n v="2.5000000000000001E-2"/>
    <x v="0"/>
    <x v="2"/>
    <n v="50"/>
    <x v="2"/>
    <n v="0"/>
    <n v="0"/>
    <m/>
    <n v="1"/>
    <n v="1"/>
    <n v="0"/>
    <x v="1"/>
    <n v="1"/>
    <m/>
    <s v="document"/>
    <n v="50"/>
    <n v="50"/>
  </r>
  <r>
    <s v="GR-3-allocation"/>
    <x v="7"/>
    <s v="GR-3"/>
    <x v="6"/>
    <s v="allocation"/>
    <x v="33"/>
    <x v="1"/>
    <x v="5"/>
    <x v="6"/>
    <n v="6"/>
    <n v="2.5000000000000001E-2"/>
    <x v="0"/>
    <x v="2"/>
    <n v="50"/>
    <x v="2"/>
    <n v="0"/>
    <n v="0"/>
    <m/>
    <n v="1"/>
    <n v="1"/>
    <n v="0"/>
    <x v="1"/>
    <n v="1"/>
    <m/>
    <s v="document"/>
    <n v="50"/>
    <n v="50"/>
  </r>
  <r>
    <s v="GR-3-procurement-policy"/>
    <x v="7"/>
    <s v="GR-3"/>
    <x v="0"/>
    <s v="procurement-policy"/>
    <x v="34"/>
    <x v="1"/>
    <x v="5"/>
    <x v="6"/>
    <n v="7"/>
    <n v="2.5000000000000001E-2"/>
    <x v="0"/>
    <x v="2"/>
    <n v="0"/>
    <x v="0"/>
    <n v="0"/>
    <n v="0"/>
    <m/>
    <n v="1"/>
    <n v="1"/>
    <n v="0"/>
    <x v="2"/>
    <n v="0"/>
    <m/>
    <s v="document"/>
    <n v="50"/>
    <n v="0"/>
  </r>
  <r>
    <s v="GR-3-country-strategy"/>
    <x v="7"/>
    <s v="GR-3"/>
    <x v="0"/>
    <s v="country-strategy"/>
    <x v="35"/>
    <x v="1"/>
    <x v="5"/>
    <x v="6"/>
    <n v="8"/>
    <n v="2.5000000000000001E-2"/>
    <x v="0"/>
    <x v="2"/>
    <n v="0"/>
    <x v="0"/>
    <n v="0"/>
    <n v="0"/>
    <m/>
    <n v="1"/>
    <n v="1"/>
    <n v="0"/>
    <x v="0"/>
    <n v="0"/>
    <m/>
    <s v="document"/>
    <n v="50"/>
    <n v="0"/>
  </r>
  <r>
    <s v="GR-3-foia"/>
    <x v="7"/>
    <s v="GR-3"/>
    <x v="15"/>
    <s v="foia"/>
    <x v="36"/>
    <x v="2"/>
    <x v="6"/>
    <x v="7"/>
    <n v="1"/>
    <n v="3.3300000000000003E-2"/>
    <x v="0"/>
    <x v="5"/>
    <n v="66.66"/>
    <x v="6"/>
    <n v="0"/>
    <n v="0"/>
    <m/>
    <n v="1"/>
    <n v="1"/>
    <n v="0"/>
    <x v="3"/>
    <n v="0"/>
    <n v="66.66"/>
    <m/>
    <n v="0"/>
    <n v="66.66"/>
  </r>
  <r>
    <s v="GR-3-accessibility"/>
    <x v="7"/>
    <s v="GR-3"/>
    <x v="0"/>
    <s v="accessibility"/>
    <x v="37"/>
    <x v="2"/>
    <x v="6"/>
    <x v="7"/>
    <n v="3"/>
    <n v="3.3300000000000003E-2"/>
    <x v="0"/>
    <x v="5"/>
    <n v="0"/>
    <x v="0"/>
    <n v="0"/>
    <n v="0"/>
    <m/>
    <n v="1"/>
    <n v="1"/>
    <n v="0"/>
    <x v="3"/>
    <n v="0"/>
    <n v="0"/>
    <m/>
    <n v="0"/>
    <n v="0"/>
  </r>
  <r>
    <s v="GR-3-implementation-schedules"/>
    <x v="7"/>
    <s v="GR-3"/>
    <x v="0"/>
    <s v="implementation-schedules"/>
    <x v="38"/>
    <x v="2"/>
    <x v="6"/>
    <x v="7"/>
    <n v="2"/>
    <n v="3.3300000000000003E-2"/>
    <x v="0"/>
    <x v="5"/>
    <n v="0"/>
    <x v="0"/>
    <n v="0"/>
    <n v="0"/>
    <m/>
    <n v="1"/>
    <n v="1"/>
    <n v="0"/>
    <x v="3"/>
    <n v="0"/>
    <n v="0"/>
    <m/>
    <n v="0"/>
    <n v="0"/>
  </r>
  <r>
    <s v="HU-1-dates-actual"/>
    <x v="8"/>
    <s v="HU-1"/>
    <x v="0"/>
    <s v="dates-actual"/>
    <x v="0"/>
    <x v="0"/>
    <x v="0"/>
    <x v="0"/>
    <n v="17"/>
    <n v="1.6299999999999999E-2"/>
    <x v="0"/>
    <x v="0"/>
    <n v="0"/>
    <x v="0"/>
    <n v="0"/>
    <n v="0"/>
    <m/>
    <n v="1"/>
    <n v="1"/>
    <n v="0"/>
    <x v="0"/>
    <n v="0"/>
    <m/>
    <m/>
    <n v="0"/>
    <n v="0"/>
  </r>
  <r>
    <s v="HU-1-contact-details"/>
    <x v="8"/>
    <s v="HU-1"/>
    <x v="0"/>
    <s v="contact-details"/>
    <x v="1"/>
    <x v="0"/>
    <x v="0"/>
    <x v="0"/>
    <n v="19"/>
    <n v="1.6299999999999999E-2"/>
    <x v="0"/>
    <x v="0"/>
    <n v="0"/>
    <x v="0"/>
    <n v="0"/>
    <n v="0"/>
    <m/>
    <n v="1"/>
    <n v="1"/>
    <n v="0"/>
    <x v="0"/>
    <n v="0"/>
    <m/>
    <m/>
    <n v="0"/>
    <n v="0"/>
  </r>
  <r>
    <s v="HU-1-current-status"/>
    <x v="8"/>
    <s v="HU-1"/>
    <x v="0"/>
    <s v="current-status"/>
    <x v="2"/>
    <x v="0"/>
    <x v="0"/>
    <x v="0"/>
    <n v="18"/>
    <n v="1.6299999999999999E-2"/>
    <x v="0"/>
    <x v="0"/>
    <n v="0"/>
    <x v="0"/>
    <n v="0"/>
    <n v="0"/>
    <m/>
    <n v="1"/>
    <n v="1"/>
    <n v="0"/>
    <x v="0"/>
    <n v="0"/>
    <m/>
    <m/>
    <n v="0"/>
    <n v="0"/>
  </r>
  <r>
    <s v="HU-1-description"/>
    <x v="8"/>
    <s v="HU-1"/>
    <x v="0"/>
    <s v="description"/>
    <x v="3"/>
    <x v="0"/>
    <x v="0"/>
    <x v="0"/>
    <n v="15"/>
    <n v="1.6299999999999999E-2"/>
    <x v="0"/>
    <x v="1"/>
    <n v="0"/>
    <x v="0"/>
    <n v="0"/>
    <n v="0"/>
    <m/>
    <n v="1"/>
    <n v="1"/>
    <n v="0"/>
    <x v="2"/>
    <n v="0"/>
    <m/>
    <s v="website"/>
    <n v="33.33"/>
    <n v="0"/>
  </r>
  <r>
    <s v="HU-1-implementer"/>
    <x v="8"/>
    <s v="HU-1"/>
    <x v="0"/>
    <s v="implementer"/>
    <x v="4"/>
    <x v="0"/>
    <x v="0"/>
    <x v="0"/>
    <n v="12"/>
    <n v="1.6299999999999999E-2"/>
    <x v="0"/>
    <x v="1"/>
    <n v="0"/>
    <x v="0"/>
    <n v="0"/>
    <n v="0"/>
    <m/>
    <n v="1"/>
    <n v="1"/>
    <n v="0"/>
    <x v="2"/>
    <n v="0"/>
    <m/>
    <s v="website"/>
    <n v="33.33"/>
    <n v="0"/>
  </r>
  <r>
    <s v="HU-1-dates-planned"/>
    <x v="8"/>
    <s v="HU-1"/>
    <x v="0"/>
    <s v="dates-planned"/>
    <x v="5"/>
    <x v="0"/>
    <x v="0"/>
    <x v="0"/>
    <n v="16"/>
    <n v="1.6299999999999999E-2"/>
    <x v="0"/>
    <x v="0"/>
    <n v="0"/>
    <x v="0"/>
    <n v="0"/>
    <n v="0"/>
    <m/>
    <n v="1"/>
    <n v="1"/>
    <n v="0"/>
    <x v="0"/>
    <n v="0"/>
    <m/>
    <m/>
    <n v="0"/>
    <n v="0"/>
  </r>
  <r>
    <s v="HU-1-title"/>
    <x v="8"/>
    <s v="HU-1"/>
    <x v="0"/>
    <s v="title"/>
    <x v="6"/>
    <x v="0"/>
    <x v="0"/>
    <x v="0"/>
    <n v="14"/>
    <n v="1.6299999999999999E-2"/>
    <x v="0"/>
    <x v="1"/>
    <n v="0"/>
    <x v="0"/>
    <n v="0"/>
    <n v="0"/>
    <m/>
    <n v="1"/>
    <n v="1"/>
    <n v="0"/>
    <x v="2"/>
    <n v="0"/>
    <m/>
    <s v="website"/>
    <n v="33.33"/>
    <n v="0"/>
  </r>
  <r>
    <s v="HU-1-unique-id"/>
    <x v="8"/>
    <s v="HU-1"/>
    <x v="0"/>
    <s v="unique-id"/>
    <x v="7"/>
    <x v="0"/>
    <x v="0"/>
    <x v="0"/>
    <n v="13"/>
    <n v="1.6299999999999999E-2"/>
    <x v="0"/>
    <x v="0"/>
    <n v="0"/>
    <x v="0"/>
    <n v="0"/>
    <n v="0"/>
    <m/>
    <n v="1"/>
    <n v="1"/>
    <n v="0"/>
    <x v="0"/>
    <n v="0"/>
    <m/>
    <m/>
    <n v="0"/>
    <n v="0"/>
  </r>
  <r>
    <s v="HU-1-aid-type"/>
    <x v="8"/>
    <s v="HU-1"/>
    <x v="0"/>
    <s v="aid-type"/>
    <x v="8"/>
    <x v="0"/>
    <x v="1"/>
    <x v="1"/>
    <n v="22"/>
    <n v="1.8599999999999998E-2"/>
    <x v="0"/>
    <x v="1"/>
    <n v="0"/>
    <x v="0"/>
    <n v="0"/>
    <n v="0"/>
    <m/>
    <n v="1"/>
    <n v="1"/>
    <n v="0"/>
    <x v="2"/>
    <n v="0"/>
    <m/>
    <s v="website"/>
    <n v="33.33"/>
    <n v="0"/>
  </r>
  <r>
    <s v="HU-1-collaboration-type"/>
    <x v="8"/>
    <s v="HU-1"/>
    <x v="0"/>
    <s v="collaboration-type"/>
    <x v="9"/>
    <x v="0"/>
    <x v="1"/>
    <x v="1"/>
    <n v="20"/>
    <n v="1.8599999999999998E-2"/>
    <x v="0"/>
    <x v="1"/>
    <n v="0"/>
    <x v="0"/>
    <n v="0"/>
    <n v="0"/>
    <m/>
    <n v="1"/>
    <n v="1"/>
    <n v="0"/>
    <x v="2"/>
    <n v="0"/>
    <m/>
    <s v="website"/>
    <n v="33.33"/>
    <n v="0"/>
  </r>
  <r>
    <s v="HU-1-finance-type"/>
    <x v="8"/>
    <s v="HU-1"/>
    <x v="0"/>
    <s v="finance-type"/>
    <x v="10"/>
    <x v="0"/>
    <x v="1"/>
    <x v="1"/>
    <n v="23"/>
    <n v="1.8599999999999998E-2"/>
    <x v="0"/>
    <x v="0"/>
    <n v="0"/>
    <x v="0"/>
    <n v="0"/>
    <n v="0"/>
    <m/>
    <n v="1"/>
    <n v="1"/>
    <n v="0"/>
    <x v="0"/>
    <n v="0"/>
    <m/>
    <m/>
    <n v="0"/>
    <n v="0"/>
  </r>
  <r>
    <s v="HU-1-flow-type"/>
    <x v="8"/>
    <s v="HU-1"/>
    <x v="0"/>
    <s v="flow-type"/>
    <x v="11"/>
    <x v="0"/>
    <x v="1"/>
    <x v="1"/>
    <n v="21"/>
    <n v="1.8599999999999998E-2"/>
    <x v="0"/>
    <x v="3"/>
    <n v="0"/>
    <x v="0"/>
    <n v="0"/>
    <n v="0"/>
    <m/>
    <n v="1"/>
    <n v="1"/>
    <n v="0"/>
    <x v="0"/>
    <n v="0"/>
    <m/>
    <s v="pdf"/>
    <n v="16.664999999999999"/>
    <n v="0"/>
  </r>
  <r>
    <s v="HU-1-sector"/>
    <x v="8"/>
    <s v="HU-1"/>
    <x v="0"/>
    <s v="sector"/>
    <x v="12"/>
    <x v="0"/>
    <x v="1"/>
    <x v="1"/>
    <n v="24"/>
    <n v="1.8599999999999998E-2"/>
    <x v="0"/>
    <x v="0"/>
    <n v="0"/>
    <x v="0"/>
    <n v="0"/>
    <n v="0"/>
    <m/>
    <n v="1"/>
    <n v="1"/>
    <n v="0"/>
    <x v="0"/>
    <n v="0"/>
    <m/>
    <m/>
    <n v="0"/>
    <n v="0"/>
  </r>
  <r>
    <s v="HU-1-location"/>
    <x v="8"/>
    <s v="HU-1"/>
    <x v="0"/>
    <s v="location"/>
    <x v="13"/>
    <x v="0"/>
    <x v="1"/>
    <x v="1"/>
    <n v="25"/>
    <n v="1.8599999999999998E-2"/>
    <x v="0"/>
    <x v="1"/>
    <n v="0"/>
    <x v="0"/>
    <n v="0"/>
    <n v="0"/>
    <m/>
    <n v="1"/>
    <n v="1"/>
    <n v="0"/>
    <x v="2"/>
    <n v="0"/>
    <m/>
    <s v="website"/>
    <n v="33.33"/>
    <n v="0"/>
  </r>
  <r>
    <s v="HU-1-tied-aid-status"/>
    <x v="8"/>
    <s v="HU-1"/>
    <x v="0"/>
    <s v="tied-aid-status"/>
    <x v="14"/>
    <x v="0"/>
    <x v="1"/>
    <x v="1"/>
    <n v="26"/>
    <n v="1.8599999999999998E-2"/>
    <x v="0"/>
    <x v="0"/>
    <n v="0"/>
    <x v="0"/>
    <n v="0"/>
    <n v="0"/>
    <m/>
    <n v="1"/>
    <n v="1"/>
    <n v="0"/>
    <x v="0"/>
    <n v="0"/>
    <m/>
    <m/>
    <n v="0"/>
    <n v="0"/>
  </r>
  <r>
    <s v="HU-1-expenditure-actual"/>
    <x v="8"/>
    <s v="HU-1"/>
    <x v="0"/>
    <s v="expenditure-actual"/>
    <x v="15"/>
    <x v="0"/>
    <x v="2"/>
    <x v="2"/>
    <n v="35"/>
    <n v="3.2500000000000001E-2"/>
    <x v="0"/>
    <x v="0"/>
    <n v="0"/>
    <x v="0"/>
    <n v="0"/>
    <n v="0"/>
    <m/>
    <n v="1"/>
    <n v="1"/>
    <n v="0"/>
    <x v="0"/>
    <n v="0"/>
    <m/>
    <m/>
    <n v="0"/>
    <n v="0"/>
  </r>
  <r>
    <s v="HU-1-cost-overall"/>
    <x v="8"/>
    <s v="HU-1"/>
    <x v="0"/>
    <s v="cost-overall"/>
    <x v="16"/>
    <x v="0"/>
    <x v="2"/>
    <x v="2"/>
    <n v="33"/>
    <n v="3.2500000000000001E-2"/>
    <x v="0"/>
    <x v="0"/>
    <n v="0"/>
    <x v="0"/>
    <n v="0"/>
    <n v="0"/>
    <m/>
    <n v="1"/>
    <n v="1"/>
    <n v="0"/>
    <x v="0"/>
    <n v="0"/>
    <m/>
    <m/>
    <n v="0"/>
    <n v="0"/>
  </r>
  <r>
    <s v="HU-1-expenditure-planned"/>
    <x v="8"/>
    <s v="HU-1"/>
    <x v="0"/>
    <s v="expenditure-planned"/>
    <x v="17"/>
    <x v="0"/>
    <x v="2"/>
    <x v="2"/>
    <n v="34"/>
    <n v="3.2500000000000001E-2"/>
    <x v="0"/>
    <x v="1"/>
    <n v="0"/>
    <x v="0"/>
    <n v="0"/>
    <n v="0"/>
    <m/>
    <n v="1"/>
    <n v="1"/>
    <n v="0"/>
    <x v="2"/>
    <n v="0"/>
    <m/>
    <s v="website"/>
    <n v="33.33"/>
    <n v="0"/>
  </r>
  <r>
    <s v="HU-1-budget-identifier"/>
    <x v="8"/>
    <s v="HU-1"/>
    <x v="0"/>
    <s v="budget-identifier"/>
    <x v="18"/>
    <x v="0"/>
    <x v="2"/>
    <x v="2"/>
    <n v="36"/>
    <n v="3.2500000000000001E-2"/>
    <x v="0"/>
    <x v="0"/>
    <n v="0"/>
    <x v="0"/>
    <n v="0"/>
    <n v="0"/>
    <m/>
    <n v="1"/>
    <n v="1"/>
    <n v="0"/>
    <x v="0"/>
    <n v="0"/>
    <m/>
    <m/>
    <n v="0"/>
    <n v="0"/>
  </r>
  <r>
    <s v="HU-1-conditions"/>
    <x v="8"/>
    <s v="HU-1"/>
    <x v="0"/>
    <s v="conditions"/>
    <x v="19"/>
    <x v="0"/>
    <x v="3"/>
    <x v="3"/>
    <n v="39"/>
    <n v="4.3299999999999998E-2"/>
    <x v="0"/>
    <x v="2"/>
    <n v="0"/>
    <x v="0"/>
    <n v="0"/>
    <n v="0"/>
    <m/>
    <n v="1"/>
    <n v="1"/>
    <n v="0"/>
    <x v="0"/>
    <n v="0"/>
    <m/>
    <s v="document"/>
    <n v="50"/>
    <n v="0"/>
  </r>
  <r>
    <s v="HU-1-impact-appraisals"/>
    <x v="8"/>
    <s v="HU-1"/>
    <x v="0"/>
    <s v="impact-appraisals"/>
    <x v="20"/>
    <x v="0"/>
    <x v="3"/>
    <x v="3"/>
    <n v="38"/>
    <n v="4.3299999999999998E-2"/>
    <x v="0"/>
    <x v="2"/>
    <n v="0"/>
    <x v="0"/>
    <n v="0"/>
    <n v="0"/>
    <m/>
    <n v="1"/>
    <n v="1"/>
    <n v="0"/>
    <x v="0"/>
    <n v="0"/>
    <m/>
    <s v="document"/>
    <n v="50"/>
    <n v="0"/>
  </r>
  <r>
    <s v="HU-1-results"/>
    <x v="8"/>
    <s v="HU-1"/>
    <x v="0"/>
    <s v="results"/>
    <x v="21"/>
    <x v="0"/>
    <x v="3"/>
    <x v="3"/>
    <n v="37"/>
    <n v="4.3299999999999998E-2"/>
    <x v="0"/>
    <x v="1"/>
    <n v="0"/>
    <x v="0"/>
    <n v="0"/>
    <n v="0"/>
    <m/>
    <n v="1"/>
    <n v="1"/>
    <n v="0"/>
    <x v="2"/>
    <n v="0"/>
    <m/>
    <s v="website"/>
    <n v="33.33"/>
    <n v="0"/>
  </r>
  <r>
    <s v="HU-1-budget"/>
    <x v="8"/>
    <s v="HU-1"/>
    <x v="0"/>
    <s v="budget"/>
    <x v="22"/>
    <x v="0"/>
    <x v="4"/>
    <x v="4"/>
    <n v="30"/>
    <n v="2.1700000000000001E-2"/>
    <x v="0"/>
    <x v="2"/>
    <n v="0"/>
    <x v="0"/>
    <n v="0"/>
    <n v="0"/>
    <m/>
    <n v="1"/>
    <n v="1"/>
    <n v="0"/>
    <x v="0"/>
    <n v="0"/>
    <m/>
    <s v="document"/>
    <n v="50"/>
    <n v="0"/>
  </r>
  <r>
    <s v="HU-1-contracts"/>
    <x v="8"/>
    <s v="HU-1"/>
    <x v="0"/>
    <s v="contracts"/>
    <x v="23"/>
    <x v="0"/>
    <x v="4"/>
    <x v="4"/>
    <n v="31"/>
    <n v="2.1700000000000001E-2"/>
    <x v="0"/>
    <x v="2"/>
    <n v="0"/>
    <x v="0"/>
    <n v="0"/>
    <n v="0"/>
    <m/>
    <n v="1"/>
    <n v="1"/>
    <n v="0"/>
    <x v="0"/>
    <n v="0"/>
    <m/>
    <s v="document"/>
    <n v="50"/>
    <n v="0"/>
  </r>
  <r>
    <s v="HU-1-evaluations"/>
    <x v="8"/>
    <s v="HU-1"/>
    <x v="0"/>
    <s v="evaluations"/>
    <x v="24"/>
    <x v="0"/>
    <x v="4"/>
    <x v="4"/>
    <n v="28"/>
    <n v="2.1700000000000001E-2"/>
    <x v="0"/>
    <x v="2"/>
    <n v="0"/>
    <x v="0"/>
    <n v="0"/>
    <n v="0"/>
    <m/>
    <n v="1"/>
    <n v="1"/>
    <n v="0"/>
    <x v="0"/>
    <n v="0"/>
    <m/>
    <s v="document"/>
    <n v="50"/>
    <n v="0"/>
  </r>
  <r>
    <s v="HU-1-mou"/>
    <x v="8"/>
    <s v="HU-1"/>
    <x v="0"/>
    <s v="mou"/>
    <x v="25"/>
    <x v="0"/>
    <x v="4"/>
    <x v="4"/>
    <n v="27"/>
    <n v="2.1700000000000001E-2"/>
    <x v="0"/>
    <x v="2"/>
    <n v="0"/>
    <x v="0"/>
    <n v="0"/>
    <n v="0"/>
    <m/>
    <n v="1"/>
    <n v="1"/>
    <n v="0"/>
    <x v="0"/>
    <n v="0"/>
    <m/>
    <s v="document"/>
    <n v="50"/>
    <n v="0"/>
  </r>
  <r>
    <s v="HU-1-objectives"/>
    <x v="8"/>
    <s v="HU-1"/>
    <x v="0"/>
    <s v="objectives"/>
    <x v="26"/>
    <x v="0"/>
    <x v="4"/>
    <x v="4"/>
    <n v="29"/>
    <n v="2.1700000000000001E-2"/>
    <x v="0"/>
    <x v="2"/>
    <n v="0"/>
    <x v="0"/>
    <n v="0"/>
    <n v="0"/>
    <m/>
    <n v="1"/>
    <n v="1"/>
    <n v="0"/>
    <x v="2"/>
    <n v="0"/>
    <m/>
    <s v="document"/>
    <n v="50"/>
    <n v="0"/>
  </r>
  <r>
    <s v="HU-1-tenders"/>
    <x v="8"/>
    <s v="HU-1"/>
    <x v="3"/>
    <s v="tenders"/>
    <x v="27"/>
    <x v="0"/>
    <x v="4"/>
    <x v="4"/>
    <n v="32"/>
    <n v="2.1700000000000001E-2"/>
    <x v="0"/>
    <x v="2"/>
    <n v="50"/>
    <x v="2"/>
    <n v="0"/>
    <n v="0"/>
    <m/>
    <n v="1"/>
    <n v="1"/>
    <n v="0"/>
    <x v="1"/>
    <n v="1"/>
    <m/>
    <s v="document"/>
    <n v="50"/>
    <n v="50"/>
  </r>
  <r>
    <s v="HU-1-audit"/>
    <x v="8"/>
    <s v="HU-1"/>
    <x v="0"/>
    <s v="audit"/>
    <x v="28"/>
    <x v="1"/>
    <x v="2"/>
    <x v="5"/>
    <n v="11"/>
    <n v="4.1700000000000001E-2"/>
    <x v="0"/>
    <x v="2"/>
    <n v="0"/>
    <x v="0"/>
    <n v="0"/>
    <n v="0"/>
    <m/>
    <n v="1"/>
    <n v="1"/>
    <n v="0"/>
    <x v="0"/>
    <n v="0"/>
    <m/>
    <s v="document"/>
    <n v="50"/>
    <n v="0"/>
  </r>
  <r>
    <s v="HU-1-total-budget"/>
    <x v="8"/>
    <s v="HU-1"/>
    <x v="0"/>
    <s v="total-budget"/>
    <x v="29"/>
    <x v="1"/>
    <x v="2"/>
    <x v="5"/>
    <n v="9"/>
    <n v="4.1700000000000001E-2"/>
    <x v="0"/>
    <x v="3"/>
    <n v="0"/>
    <x v="0"/>
    <n v="0"/>
    <n v="0"/>
    <m/>
    <n v="1"/>
    <n v="1"/>
    <n v="0"/>
    <x v="3"/>
    <n v="0"/>
    <n v="0"/>
    <s v="pdf"/>
    <n v="16.664999999999999"/>
    <n v="0"/>
  </r>
  <r>
    <s v="HU-1-disaggregated-budgets"/>
    <x v="8"/>
    <s v="HU-1"/>
    <x v="0"/>
    <s v="disaggregated-budgets"/>
    <x v="30"/>
    <x v="1"/>
    <x v="2"/>
    <x v="5"/>
    <n v="10"/>
    <n v="4.1700000000000001E-2"/>
    <x v="0"/>
    <x v="3"/>
    <n v="0"/>
    <x v="0"/>
    <n v="0"/>
    <n v="0"/>
    <m/>
    <n v="1"/>
    <n v="1"/>
    <n v="0"/>
    <x v="3"/>
    <n v="0"/>
    <n v="0"/>
    <s v="pdf"/>
    <n v="16.664999999999999"/>
    <n v="0"/>
  </r>
  <r>
    <s v="HU-1-strategy"/>
    <x v="8"/>
    <s v="HU-1"/>
    <x v="6"/>
    <s v="strategy"/>
    <x v="31"/>
    <x v="1"/>
    <x v="5"/>
    <x v="6"/>
    <n v="4"/>
    <n v="2.5000000000000001E-2"/>
    <x v="0"/>
    <x v="2"/>
    <n v="50"/>
    <x v="2"/>
    <n v="0"/>
    <n v="0"/>
    <m/>
    <n v="1"/>
    <n v="1"/>
    <n v="0"/>
    <x v="1"/>
    <n v="1"/>
    <m/>
    <s v="document"/>
    <n v="50"/>
    <n v="50"/>
  </r>
  <r>
    <s v="HU-1-annual-report"/>
    <x v="8"/>
    <s v="HU-1"/>
    <x v="6"/>
    <s v="annual-report"/>
    <x v="32"/>
    <x v="1"/>
    <x v="5"/>
    <x v="6"/>
    <n v="5"/>
    <n v="2.5000000000000001E-2"/>
    <x v="0"/>
    <x v="2"/>
    <n v="50"/>
    <x v="2"/>
    <n v="0"/>
    <n v="0"/>
    <m/>
    <n v="1"/>
    <n v="1"/>
    <n v="0"/>
    <x v="1"/>
    <n v="1"/>
    <m/>
    <s v="document"/>
    <n v="50"/>
    <n v="50"/>
  </r>
  <r>
    <s v="HU-1-allocation"/>
    <x v="8"/>
    <s v="HU-1"/>
    <x v="6"/>
    <s v="allocation"/>
    <x v="33"/>
    <x v="1"/>
    <x v="5"/>
    <x v="6"/>
    <n v="6"/>
    <n v="2.5000000000000001E-2"/>
    <x v="0"/>
    <x v="2"/>
    <n v="50"/>
    <x v="2"/>
    <n v="0"/>
    <n v="0"/>
    <m/>
    <n v="1"/>
    <n v="1"/>
    <n v="0"/>
    <x v="1"/>
    <n v="1"/>
    <m/>
    <s v="document"/>
    <n v="50"/>
    <n v="50"/>
  </r>
  <r>
    <s v="HU-1-procurement-policy"/>
    <x v="8"/>
    <s v="HU-1"/>
    <x v="6"/>
    <s v="procurement-policy"/>
    <x v="34"/>
    <x v="1"/>
    <x v="5"/>
    <x v="6"/>
    <n v="7"/>
    <n v="2.5000000000000001E-2"/>
    <x v="0"/>
    <x v="2"/>
    <n v="50"/>
    <x v="2"/>
    <n v="0"/>
    <n v="0"/>
    <m/>
    <n v="1"/>
    <n v="1"/>
    <n v="0"/>
    <x v="1"/>
    <n v="1"/>
    <m/>
    <s v="document"/>
    <n v="50"/>
    <n v="50"/>
  </r>
  <r>
    <s v="HU-1-country-strategy"/>
    <x v="8"/>
    <s v="HU-1"/>
    <x v="0"/>
    <s v="country-strategy"/>
    <x v="35"/>
    <x v="1"/>
    <x v="5"/>
    <x v="6"/>
    <n v="8"/>
    <n v="2.5000000000000001E-2"/>
    <x v="0"/>
    <x v="2"/>
    <n v="0"/>
    <x v="0"/>
    <n v="0"/>
    <n v="0"/>
    <m/>
    <n v="1"/>
    <n v="1"/>
    <n v="0"/>
    <x v="0"/>
    <n v="0"/>
    <m/>
    <s v="document"/>
    <n v="50"/>
    <n v="0"/>
  </r>
  <r>
    <s v="HU-1-foia"/>
    <x v="8"/>
    <s v="HU-1"/>
    <x v="15"/>
    <s v="foia"/>
    <x v="36"/>
    <x v="2"/>
    <x v="6"/>
    <x v="7"/>
    <n v="1"/>
    <n v="3.3300000000000003E-2"/>
    <x v="0"/>
    <x v="5"/>
    <n v="66.66"/>
    <x v="6"/>
    <n v="0"/>
    <n v="0"/>
    <m/>
    <n v="1"/>
    <n v="1"/>
    <n v="0"/>
    <x v="3"/>
    <n v="0"/>
    <n v="66.66"/>
    <m/>
    <n v="0"/>
    <n v="66.66"/>
  </r>
  <r>
    <s v="HU-1-accessibility"/>
    <x v="8"/>
    <s v="HU-1"/>
    <x v="0"/>
    <s v="accessibility"/>
    <x v="37"/>
    <x v="2"/>
    <x v="6"/>
    <x v="7"/>
    <n v="3"/>
    <n v="3.3300000000000003E-2"/>
    <x v="0"/>
    <x v="5"/>
    <n v="0"/>
    <x v="0"/>
    <n v="0"/>
    <n v="0"/>
    <m/>
    <n v="1"/>
    <n v="1"/>
    <n v="0"/>
    <x v="3"/>
    <n v="0"/>
    <n v="0"/>
    <m/>
    <n v="0"/>
    <n v="0"/>
  </r>
  <r>
    <s v="HU-1-implementation-schedules"/>
    <x v="8"/>
    <s v="HU-1"/>
    <x v="0"/>
    <s v="implementation-schedules"/>
    <x v="38"/>
    <x v="2"/>
    <x v="6"/>
    <x v="7"/>
    <n v="2"/>
    <n v="3.3300000000000003E-2"/>
    <x v="0"/>
    <x v="5"/>
    <n v="0"/>
    <x v="0"/>
    <n v="0"/>
    <n v="0"/>
    <m/>
    <n v="1"/>
    <n v="1"/>
    <n v="0"/>
    <x v="3"/>
    <n v="0"/>
    <n v="0"/>
    <m/>
    <n v="0"/>
    <n v="0"/>
  </r>
  <r>
    <s v="43000-dates-actual"/>
    <x v="9"/>
    <n v="43000"/>
    <x v="11"/>
    <s v="dates-actual"/>
    <x v="0"/>
    <x v="0"/>
    <x v="0"/>
    <x v="0"/>
    <n v="17"/>
    <n v="1.6299999999999999E-2"/>
    <x v="0"/>
    <x v="4"/>
    <n v="50"/>
    <x v="2"/>
    <n v="0"/>
    <n v="0"/>
    <m/>
    <n v="1"/>
    <n v="1"/>
    <n v="0"/>
    <x v="1"/>
    <n v="1"/>
    <m/>
    <s v="machine-readable"/>
    <n v="50"/>
    <n v="50"/>
  </r>
  <r>
    <s v="43000-contact-details"/>
    <x v="9"/>
    <n v="43000"/>
    <x v="1"/>
    <s v="contact-details"/>
    <x v="1"/>
    <x v="0"/>
    <x v="0"/>
    <x v="0"/>
    <n v="19"/>
    <n v="1.6299999999999999E-2"/>
    <x v="0"/>
    <x v="1"/>
    <n v="33.33"/>
    <x v="1"/>
    <n v="0"/>
    <n v="0"/>
    <m/>
    <n v="1"/>
    <n v="1"/>
    <n v="0"/>
    <x v="1"/>
    <n v="1"/>
    <m/>
    <s v="website"/>
    <n v="33.33"/>
    <n v="33.33"/>
  </r>
  <r>
    <s v="43000-current-status"/>
    <x v="9"/>
    <n v="43000"/>
    <x v="11"/>
    <s v="current-status"/>
    <x v="2"/>
    <x v="0"/>
    <x v="0"/>
    <x v="0"/>
    <n v="18"/>
    <n v="1.6299999999999999E-2"/>
    <x v="0"/>
    <x v="4"/>
    <n v="50"/>
    <x v="2"/>
    <n v="0"/>
    <n v="0"/>
    <m/>
    <n v="1"/>
    <n v="1"/>
    <n v="0"/>
    <x v="1"/>
    <n v="1"/>
    <m/>
    <s v="machine-readable"/>
    <n v="50"/>
    <n v="50"/>
  </r>
  <r>
    <s v="43000-description"/>
    <x v="9"/>
    <n v="43000"/>
    <x v="11"/>
    <s v="description"/>
    <x v="3"/>
    <x v="0"/>
    <x v="0"/>
    <x v="0"/>
    <n v="15"/>
    <n v="1.6299999999999999E-2"/>
    <x v="0"/>
    <x v="4"/>
    <n v="50"/>
    <x v="2"/>
    <n v="0"/>
    <n v="0"/>
    <m/>
    <n v="1"/>
    <n v="1"/>
    <n v="0"/>
    <x v="1"/>
    <n v="1"/>
    <m/>
    <s v="machine-readable"/>
    <n v="50"/>
    <n v="50"/>
  </r>
  <r>
    <s v="43000-implementer"/>
    <x v="9"/>
    <n v="43000"/>
    <x v="11"/>
    <s v="implementer"/>
    <x v="4"/>
    <x v="0"/>
    <x v="0"/>
    <x v="0"/>
    <n v="12"/>
    <n v="1.6299999999999999E-2"/>
    <x v="0"/>
    <x v="4"/>
    <n v="50"/>
    <x v="2"/>
    <n v="0"/>
    <n v="0"/>
    <m/>
    <n v="1"/>
    <n v="1"/>
    <n v="0"/>
    <x v="1"/>
    <n v="1"/>
    <m/>
    <s v="machine-readable"/>
    <n v="50"/>
    <n v="50"/>
  </r>
  <r>
    <s v="43000-dates-planned"/>
    <x v="9"/>
    <n v="43000"/>
    <x v="18"/>
    <s v="dates-planned"/>
    <x v="5"/>
    <x v="0"/>
    <x v="0"/>
    <x v="0"/>
    <n v="16"/>
    <n v="1.6299999999999999E-2"/>
    <x v="0"/>
    <x v="3"/>
    <n v="16.664999999999999"/>
    <x v="4"/>
    <n v="0"/>
    <n v="0"/>
    <m/>
    <n v="1"/>
    <n v="1"/>
    <n v="0"/>
    <x v="1"/>
    <n v="1"/>
    <m/>
    <s v="pdf"/>
    <n v="16.664999999999999"/>
    <n v="16.664999999999999"/>
  </r>
  <r>
    <s v="43000-title"/>
    <x v="9"/>
    <n v="43000"/>
    <x v="18"/>
    <s v="title"/>
    <x v="6"/>
    <x v="0"/>
    <x v="0"/>
    <x v="0"/>
    <n v="14"/>
    <n v="1.6299999999999999E-2"/>
    <x v="0"/>
    <x v="3"/>
    <n v="16.664999999999999"/>
    <x v="4"/>
    <n v="0"/>
    <n v="0"/>
    <m/>
    <n v="1"/>
    <n v="1"/>
    <n v="0"/>
    <x v="1"/>
    <n v="1"/>
    <m/>
    <s v="pdf"/>
    <n v="16.664999999999999"/>
    <n v="16.664999999999999"/>
  </r>
  <r>
    <s v="43000-unique-id"/>
    <x v="9"/>
    <n v="43000"/>
    <x v="0"/>
    <s v="unique-id"/>
    <x v="7"/>
    <x v="0"/>
    <x v="0"/>
    <x v="0"/>
    <n v="13"/>
    <n v="1.6299999999999999E-2"/>
    <x v="0"/>
    <x v="0"/>
    <n v="0"/>
    <x v="0"/>
    <n v="0"/>
    <n v="0"/>
    <m/>
    <n v="1"/>
    <n v="1"/>
    <n v="0"/>
    <x v="0"/>
    <n v="0"/>
    <m/>
    <m/>
    <n v="0"/>
    <n v="0"/>
  </r>
  <r>
    <s v="43000-aid-type"/>
    <x v="9"/>
    <n v="43000"/>
    <x v="12"/>
    <s v="aid-type"/>
    <x v="8"/>
    <x v="0"/>
    <x v="1"/>
    <x v="1"/>
    <n v="22"/>
    <n v="1.8599999999999998E-2"/>
    <x v="0"/>
    <x v="4"/>
    <n v="50"/>
    <x v="2"/>
    <n v="0"/>
    <n v="0"/>
    <m/>
    <n v="1"/>
    <n v="1"/>
    <n v="0"/>
    <x v="1"/>
    <n v="1"/>
    <m/>
    <s v="machine-readable"/>
    <n v="50"/>
    <n v="50"/>
  </r>
  <r>
    <s v="43000-collaboration-type"/>
    <x v="9"/>
    <n v="43000"/>
    <x v="13"/>
    <s v="collaboration-type"/>
    <x v="9"/>
    <x v="0"/>
    <x v="1"/>
    <x v="1"/>
    <n v="20"/>
    <n v="1.8599999999999998E-2"/>
    <x v="0"/>
    <x v="3"/>
    <n v="16.664999999999999"/>
    <x v="4"/>
    <n v="0"/>
    <n v="0"/>
    <m/>
    <n v="1"/>
    <n v="1"/>
    <n v="0"/>
    <x v="1"/>
    <n v="1"/>
    <m/>
    <s v="pdf"/>
    <n v="16.664999999999999"/>
    <n v="16.664999999999999"/>
  </r>
  <r>
    <s v="43000-finance-type"/>
    <x v="9"/>
    <n v="43000"/>
    <x v="12"/>
    <s v="finance-type"/>
    <x v="10"/>
    <x v="0"/>
    <x v="1"/>
    <x v="1"/>
    <n v="23"/>
    <n v="1.8599999999999998E-2"/>
    <x v="0"/>
    <x v="4"/>
    <n v="50"/>
    <x v="2"/>
    <n v="0"/>
    <n v="0"/>
    <m/>
    <n v="1"/>
    <n v="1"/>
    <n v="0"/>
    <x v="1"/>
    <n v="1"/>
    <m/>
    <s v="machine-readable"/>
    <n v="50"/>
    <n v="50"/>
  </r>
  <r>
    <s v="43000-flow-type"/>
    <x v="9"/>
    <n v="43000"/>
    <x v="0"/>
    <s v="flow-type"/>
    <x v="11"/>
    <x v="0"/>
    <x v="1"/>
    <x v="1"/>
    <n v="21"/>
    <n v="1.8599999999999998E-2"/>
    <x v="0"/>
    <x v="0"/>
    <n v="0"/>
    <x v="0"/>
    <n v="0"/>
    <n v="0"/>
    <m/>
    <n v="1"/>
    <n v="1"/>
    <n v="0"/>
    <x v="0"/>
    <n v="0"/>
    <m/>
    <m/>
    <n v="0"/>
    <n v="0"/>
  </r>
  <r>
    <s v="43000-sector"/>
    <x v="9"/>
    <n v="43000"/>
    <x v="8"/>
    <s v="sector"/>
    <x v="12"/>
    <x v="0"/>
    <x v="1"/>
    <x v="1"/>
    <n v="24"/>
    <n v="1.8599999999999998E-2"/>
    <x v="0"/>
    <x v="1"/>
    <n v="33.33"/>
    <x v="1"/>
    <n v="0"/>
    <n v="0"/>
    <m/>
    <n v="1"/>
    <n v="1"/>
    <n v="0"/>
    <x v="1"/>
    <n v="1"/>
    <m/>
    <s v="website"/>
    <n v="33.33"/>
    <n v="33.33"/>
  </r>
  <r>
    <s v="43000-location"/>
    <x v="9"/>
    <n v="43000"/>
    <x v="0"/>
    <s v="location"/>
    <x v="13"/>
    <x v="0"/>
    <x v="1"/>
    <x v="1"/>
    <n v="25"/>
    <n v="1.8599999999999998E-2"/>
    <x v="0"/>
    <x v="0"/>
    <n v="0"/>
    <x v="0"/>
    <n v="0"/>
    <n v="0"/>
    <m/>
    <n v="1"/>
    <n v="1"/>
    <n v="0"/>
    <x v="0"/>
    <n v="0"/>
    <m/>
    <m/>
    <n v="0"/>
    <n v="0"/>
  </r>
  <r>
    <s v="43000-tied-aid-status"/>
    <x v="9"/>
    <n v="43000"/>
    <x v="0"/>
    <s v="tied-aid-status"/>
    <x v="14"/>
    <x v="0"/>
    <x v="1"/>
    <x v="1"/>
    <n v="26"/>
    <n v="1.8599999999999998E-2"/>
    <x v="0"/>
    <x v="0"/>
    <n v="0"/>
    <x v="0"/>
    <n v="0"/>
    <n v="0"/>
    <m/>
    <n v="1"/>
    <n v="1"/>
    <n v="0"/>
    <x v="0"/>
    <n v="0"/>
    <m/>
    <m/>
    <n v="0"/>
    <n v="0"/>
  </r>
  <r>
    <s v="43000-expenditure-actual"/>
    <x v="9"/>
    <n v="43000"/>
    <x v="14"/>
    <s v="expenditure-actual"/>
    <x v="15"/>
    <x v="0"/>
    <x v="2"/>
    <x v="2"/>
    <n v="35"/>
    <n v="3.2500000000000001E-2"/>
    <x v="0"/>
    <x v="4"/>
    <n v="50"/>
    <x v="2"/>
    <n v="0"/>
    <n v="0"/>
    <m/>
    <n v="1"/>
    <n v="1"/>
    <n v="0"/>
    <x v="1"/>
    <n v="1"/>
    <m/>
    <s v="machine-readable"/>
    <n v="50"/>
    <n v="50"/>
  </r>
  <r>
    <s v="43000-cost-overall"/>
    <x v="9"/>
    <n v="43000"/>
    <x v="19"/>
    <s v="cost-overall"/>
    <x v="16"/>
    <x v="0"/>
    <x v="2"/>
    <x v="2"/>
    <n v="33"/>
    <n v="3.2500000000000001E-2"/>
    <x v="0"/>
    <x v="3"/>
    <n v="16.664999999999999"/>
    <x v="4"/>
    <n v="0"/>
    <n v="0"/>
    <m/>
    <n v="1"/>
    <n v="1"/>
    <n v="0"/>
    <x v="1"/>
    <n v="1"/>
    <m/>
    <s v="pdf"/>
    <n v="16.664999999999999"/>
    <n v="16.664999999999999"/>
  </r>
  <r>
    <s v="43000-expenditure-planned"/>
    <x v="9"/>
    <n v="43000"/>
    <x v="19"/>
    <s v="expenditure-planned"/>
    <x v="17"/>
    <x v="0"/>
    <x v="2"/>
    <x v="2"/>
    <n v="34"/>
    <n v="3.2500000000000001E-2"/>
    <x v="0"/>
    <x v="3"/>
    <n v="16.664999999999999"/>
    <x v="4"/>
    <n v="0"/>
    <n v="0"/>
    <m/>
    <n v="1"/>
    <n v="1"/>
    <n v="0"/>
    <x v="1"/>
    <n v="1"/>
    <m/>
    <s v="pdf"/>
    <n v="16.664999999999999"/>
    <n v="16.664999999999999"/>
  </r>
  <r>
    <s v="43000-budget-identifier"/>
    <x v="9"/>
    <n v="43000"/>
    <x v="0"/>
    <s v="budget-identifier"/>
    <x v="18"/>
    <x v="0"/>
    <x v="2"/>
    <x v="2"/>
    <n v="36"/>
    <n v="3.2500000000000001E-2"/>
    <x v="0"/>
    <x v="0"/>
    <n v="0"/>
    <x v="0"/>
    <n v="0"/>
    <n v="0"/>
    <m/>
    <n v="1"/>
    <n v="1"/>
    <n v="0"/>
    <x v="0"/>
    <n v="0"/>
    <m/>
    <m/>
    <n v="0"/>
    <n v="0"/>
  </r>
  <r>
    <s v="43000-conditions"/>
    <x v="9"/>
    <n v="43000"/>
    <x v="20"/>
    <s v="conditions"/>
    <x v="19"/>
    <x v="0"/>
    <x v="3"/>
    <x v="3"/>
    <n v="39"/>
    <n v="4.3299999999999998E-2"/>
    <x v="0"/>
    <x v="2"/>
    <n v="50"/>
    <x v="2"/>
    <n v="0"/>
    <n v="0"/>
    <m/>
    <n v="1"/>
    <n v="1"/>
    <n v="0"/>
    <x v="1"/>
    <n v="1"/>
    <m/>
    <s v="document"/>
    <n v="50"/>
    <n v="50"/>
  </r>
  <r>
    <s v="43000-impact-appraisals"/>
    <x v="9"/>
    <n v="43000"/>
    <x v="20"/>
    <s v="impact-appraisals"/>
    <x v="20"/>
    <x v="0"/>
    <x v="3"/>
    <x v="3"/>
    <n v="38"/>
    <n v="4.3299999999999998E-2"/>
    <x v="0"/>
    <x v="2"/>
    <n v="50"/>
    <x v="2"/>
    <n v="0"/>
    <n v="0"/>
    <m/>
    <n v="1"/>
    <n v="1"/>
    <n v="0"/>
    <x v="1"/>
    <n v="1"/>
    <m/>
    <s v="document"/>
    <n v="50"/>
    <n v="50"/>
  </r>
  <r>
    <s v="43000-results"/>
    <x v="9"/>
    <n v="43000"/>
    <x v="21"/>
    <s v="results"/>
    <x v="21"/>
    <x v="0"/>
    <x v="3"/>
    <x v="3"/>
    <n v="37"/>
    <n v="4.3299999999999998E-2"/>
    <x v="0"/>
    <x v="3"/>
    <n v="16.664999999999999"/>
    <x v="4"/>
    <n v="0"/>
    <n v="0"/>
    <m/>
    <n v="1"/>
    <n v="1"/>
    <n v="0"/>
    <x v="1"/>
    <n v="1"/>
    <m/>
    <s v="pdf"/>
    <n v="16.664999999999999"/>
    <n v="16.664999999999999"/>
  </r>
  <r>
    <s v="43000-budget"/>
    <x v="9"/>
    <n v="43000"/>
    <x v="3"/>
    <s v="budget"/>
    <x v="22"/>
    <x v="0"/>
    <x v="4"/>
    <x v="4"/>
    <n v="30"/>
    <n v="2.1700000000000001E-2"/>
    <x v="0"/>
    <x v="2"/>
    <n v="50"/>
    <x v="2"/>
    <n v="0"/>
    <n v="0"/>
    <m/>
    <n v="1"/>
    <n v="1"/>
    <n v="0"/>
    <x v="1"/>
    <n v="1"/>
    <m/>
    <s v="document"/>
    <n v="50"/>
    <n v="50"/>
  </r>
  <r>
    <s v="43000-contracts"/>
    <x v="9"/>
    <n v="43000"/>
    <x v="0"/>
    <s v="contracts"/>
    <x v="23"/>
    <x v="0"/>
    <x v="4"/>
    <x v="4"/>
    <n v="31"/>
    <n v="2.1700000000000001E-2"/>
    <x v="0"/>
    <x v="2"/>
    <n v="0"/>
    <x v="0"/>
    <n v="0"/>
    <n v="0"/>
    <m/>
    <n v="1"/>
    <n v="1"/>
    <n v="0"/>
    <x v="0"/>
    <n v="0"/>
    <m/>
    <s v="document"/>
    <n v="50"/>
    <n v="0"/>
  </r>
  <r>
    <s v="43000-evaluations"/>
    <x v="9"/>
    <n v="43000"/>
    <x v="3"/>
    <s v="evaluations"/>
    <x v="24"/>
    <x v="0"/>
    <x v="4"/>
    <x v="4"/>
    <n v="28"/>
    <n v="2.1700000000000001E-2"/>
    <x v="0"/>
    <x v="2"/>
    <n v="50"/>
    <x v="2"/>
    <n v="0"/>
    <n v="0"/>
    <m/>
    <n v="1"/>
    <n v="1"/>
    <n v="0"/>
    <x v="1"/>
    <n v="1"/>
    <m/>
    <s v="document"/>
    <n v="50"/>
    <n v="50"/>
  </r>
  <r>
    <s v="43000-mou"/>
    <x v="9"/>
    <n v="43000"/>
    <x v="3"/>
    <s v="mou"/>
    <x v="25"/>
    <x v="0"/>
    <x v="4"/>
    <x v="4"/>
    <n v="27"/>
    <n v="2.1700000000000001E-2"/>
    <x v="0"/>
    <x v="2"/>
    <n v="50"/>
    <x v="2"/>
    <n v="0"/>
    <n v="0"/>
    <m/>
    <n v="1"/>
    <n v="1"/>
    <n v="0"/>
    <x v="1"/>
    <n v="1"/>
    <m/>
    <s v="document"/>
    <n v="50"/>
    <n v="50"/>
  </r>
  <r>
    <s v="43000-objectives"/>
    <x v="9"/>
    <n v="43000"/>
    <x v="3"/>
    <s v="objectives"/>
    <x v="26"/>
    <x v="0"/>
    <x v="4"/>
    <x v="4"/>
    <n v="29"/>
    <n v="2.1700000000000001E-2"/>
    <x v="0"/>
    <x v="2"/>
    <n v="50"/>
    <x v="2"/>
    <n v="0"/>
    <n v="0"/>
    <m/>
    <n v="1"/>
    <n v="1"/>
    <n v="0"/>
    <x v="1"/>
    <n v="1"/>
    <m/>
    <s v="document"/>
    <n v="50"/>
    <n v="50"/>
  </r>
  <r>
    <s v="43000-tenders"/>
    <x v="9"/>
    <n v="43000"/>
    <x v="0"/>
    <s v="tenders"/>
    <x v="27"/>
    <x v="0"/>
    <x v="4"/>
    <x v="4"/>
    <n v="32"/>
    <n v="2.1700000000000001E-2"/>
    <x v="0"/>
    <x v="2"/>
    <n v="0"/>
    <x v="0"/>
    <n v="0"/>
    <n v="0"/>
    <m/>
    <n v="1"/>
    <n v="1"/>
    <n v="0"/>
    <x v="2"/>
    <n v="0"/>
    <m/>
    <s v="document"/>
    <n v="50"/>
    <n v="0"/>
  </r>
  <r>
    <s v="43000-audit"/>
    <x v="9"/>
    <n v="43000"/>
    <x v="4"/>
    <s v="audit"/>
    <x v="28"/>
    <x v="1"/>
    <x v="2"/>
    <x v="5"/>
    <n v="11"/>
    <n v="4.1700000000000001E-2"/>
    <x v="0"/>
    <x v="2"/>
    <n v="50"/>
    <x v="2"/>
    <n v="0"/>
    <n v="0"/>
    <m/>
    <n v="1"/>
    <n v="1"/>
    <n v="0"/>
    <x v="1"/>
    <n v="1"/>
    <m/>
    <s v="document"/>
    <n v="50"/>
    <n v="50"/>
  </r>
  <r>
    <s v="43000-total-budget"/>
    <x v="9"/>
    <n v="43000"/>
    <x v="9"/>
    <s v="total-budget"/>
    <x v="29"/>
    <x v="1"/>
    <x v="2"/>
    <x v="5"/>
    <n v="9"/>
    <n v="4.1700000000000001E-2"/>
    <x v="0"/>
    <x v="3"/>
    <n v="16.664999999999999"/>
    <x v="4"/>
    <n v="0"/>
    <n v="0"/>
    <m/>
    <n v="1"/>
    <n v="1"/>
    <n v="0"/>
    <x v="3"/>
    <n v="0"/>
    <n v="3"/>
    <s v="pdf"/>
    <n v="16.664999999999999"/>
    <n v="16.664999999999999"/>
  </r>
  <r>
    <s v="43000-disaggregated-budgets"/>
    <x v="9"/>
    <n v="43000"/>
    <x v="0"/>
    <s v="disaggregated-budgets"/>
    <x v="30"/>
    <x v="1"/>
    <x v="2"/>
    <x v="5"/>
    <n v="10"/>
    <n v="4.1700000000000001E-2"/>
    <x v="0"/>
    <x v="0"/>
    <n v="0"/>
    <x v="0"/>
    <n v="0"/>
    <n v="0"/>
    <m/>
    <n v="1"/>
    <n v="1"/>
    <n v="0"/>
    <x v="3"/>
    <n v="0"/>
    <n v="0"/>
    <m/>
    <n v="0"/>
    <n v="0"/>
  </r>
  <r>
    <s v="43000-strategy"/>
    <x v="9"/>
    <n v="43000"/>
    <x v="6"/>
    <s v="strategy"/>
    <x v="31"/>
    <x v="1"/>
    <x v="5"/>
    <x v="6"/>
    <n v="4"/>
    <n v="2.5000000000000001E-2"/>
    <x v="0"/>
    <x v="2"/>
    <n v="50"/>
    <x v="2"/>
    <n v="0"/>
    <n v="0"/>
    <m/>
    <n v="1"/>
    <n v="1"/>
    <n v="0"/>
    <x v="1"/>
    <n v="1"/>
    <m/>
    <s v="document"/>
    <n v="50"/>
    <n v="50"/>
  </r>
  <r>
    <s v="43000-annual-report"/>
    <x v="9"/>
    <n v="43000"/>
    <x v="6"/>
    <s v="annual-report"/>
    <x v="32"/>
    <x v="1"/>
    <x v="5"/>
    <x v="6"/>
    <n v="5"/>
    <n v="2.5000000000000001E-2"/>
    <x v="0"/>
    <x v="2"/>
    <n v="50"/>
    <x v="2"/>
    <n v="0"/>
    <n v="0"/>
    <m/>
    <n v="1"/>
    <n v="1"/>
    <n v="0"/>
    <x v="1"/>
    <n v="1"/>
    <m/>
    <s v="document"/>
    <n v="50"/>
    <n v="50"/>
  </r>
  <r>
    <s v="43000-allocation"/>
    <x v="9"/>
    <n v="43000"/>
    <x v="6"/>
    <s v="allocation"/>
    <x v="33"/>
    <x v="1"/>
    <x v="5"/>
    <x v="6"/>
    <n v="6"/>
    <n v="2.5000000000000001E-2"/>
    <x v="0"/>
    <x v="2"/>
    <n v="50"/>
    <x v="2"/>
    <n v="0"/>
    <n v="0"/>
    <m/>
    <n v="1"/>
    <n v="1"/>
    <n v="0"/>
    <x v="1"/>
    <n v="1"/>
    <m/>
    <s v="document"/>
    <n v="50"/>
    <n v="50"/>
  </r>
  <r>
    <s v="43000-procurement-policy"/>
    <x v="9"/>
    <n v="43000"/>
    <x v="6"/>
    <s v="procurement-policy"/>
    <x v="34"/>
    <x v="1"/>
    <x v="5"/>
    <x v="6"/>
    <n v="7"/>
    <n v="2.5000000000000001E-2"/>
    <x v="0"/>
    <x v="2"/>
    <n v="50"/>
    <x v="2"/>
    <n v="0"/>
    <n v="0"/>
    <m/>
    <n v="1"/>
    <n v="1"/>
    <n v="0"/>
    <x v="1"/>
    <n v="1"/>
    <m/>
    <s v="document"/>
    <n v="50"/>
    <n v="50"/>
  </r>
  <r>
    <s v="43000-country-strategy"/>
    <x v="9"/>
    <n v="43000"/>
    <x v="6"/>
    <s v="country-strategy"/>
    <x v="35"/>
    <x v="1"/>
    <x v="5"/>
    <x v="6"/>
    <n v="8"/>
    <n v="2.5000000000000001E-2"/>
    <x v="0"/>
    <x v="2"/>
    <n v="50"/>
    <x v="2"/>
    <n v="0"/>
    <n v="0"/>
    <m/>
    <n v="1"/>
    <n v="1"/>
    <n v="0"/>
    <x v="1"/>
    <n v="1"/>
    <m/>
    <s v="document"/>
    <n v="50"/>
    <n v="50"/>
  </r>
  <r>
    <s v="43000-foia"/>
    <x v="9"/>
    <n v="43000"/>
    <x v="7"/>
    <s v="foia"/>
    <x v="36"/>
    <x v="2"/>
    <x v="6"/>
    <x v="7"/>
    <n v="1"/>
    <n v="3.3300000000000003E-2"/>
    <x v="0"/>
    <x v="5"/>
    <n v="33.33"/>
    <x v="1"/>
    <n v="0"/>
    <n v="0"/>
    <m/>
    <n v="1"/>
    <n v="1"/>
    <n v="0"/>
    <x v="3"/>
    <n v="0"/>
    <n v="33.33"/>
    <m/>
    <n v="0"/>
    <n v="33.33"/>
  </r>
  <r>
    <s v="43000-accessibility"/>
    <x v="9"/>
    <n v="43000"/>
    <x v="15"/>
    <s v="accessibility"/>
    <x v="37"/>
    <x v="2"/>
    <x v="6"/>
    <x v="7"/>
    <n v="3"/>
    <n v="3.3300000000000003E-2"/>
    <x v="0"/>
    <x v="5"/>
    <n v="66.66"/>
    <x v="6"/>
    <n v="0"/>
    <n v="0"/>
    <m/>
    <n v="1"/>
    <n v="1"/>
    <n v="0"/>
    <x v="3"/>
    <n v="0"/>
    <n v="66.66"/>
    <m/>
    <n v="0"/>
    <n v="66.66"/>
  </r>
  <r>
    <s v="43000-implementation-schedules"/>
    <x v="9"/>
    <n v="43000"/>
    <x v="0"/>
    <s v="implementation-schedules"/>
    <x v="38"/>
    <x v="2"/>
    <x v="6"/>
    <x v="7"/>
    <n v="2"/>
    <n v="3.3300000000000003E-2"/>
    <x v="0"/>
    <x v="5"/>
    <n v="0"/>
    <x v="0"/>
    <n v="0"/>
    <n v="0"/>
    <m/>
    <n v="1"/>
    <n v="1"/>
    <n v="0"/>
    <x v="3"/>
    <n v="0"/>
    <n v="0"/>
    <m/>
    <n v="0"/>
    <n v="0"/>
  </r>
  <r>
    <s v="JP-2-dates-actual"/>
    <x v="10"/>
    <s v="JP-2"/>
    <x v="0"/>
    <s v="dates-actual"/>
    <x v="0"/>
    <x v="0"/>
    <x v="0"/>
    <x v="0"/>
    <n v="17"/>
    <n v="1.6299999999999999E-2"/>
    <x v="0"/>
    <x v="0"/>
    <n v="0"/>
    <x v="0"/>
    <n v="0"/>
    <n v="0"/>
    <m/>
    <n v="1"/>
    <n v="1"/>
    <n v="0"/>
    <x v="0"/>
    <n v="0"/>
    <m/>
    <m/>
    <n v="0"/>
    <n v="0"/>
  </r>
  <r>
    <s v="JP-2-contact-details"/>
    <x v="10"/>
    <s v="JP-2"/>
    <x v="0"/>
    <s v="contact-details"/>
    <x v="1"/>
    <x v="0"/>
    <x v="0"/>
    <x v="0"/>
    <n v="19"/>
    <n v="1.6299999999999999E-2"/>
    <x v="0"/>
    <x v="0"/>
    <n v="0"/>
    <x v="0"/>
    <n v="0"/>
    <n v="0"/>
    <m/>
    <n v="1"/>
    <n v="1"/>
    <n v="0"/>
    <x v="0"/>
    <n v="0"/>
    <m/>
    <m/>
    <n v="0"/>
    <n v="0"/>
  </r>
  <r>
    <s v="JP-2-current-status"/>
    <x v="10"/>
    <s v="JP-2"/>
    <x v="0"/>
    <s v="current-status"/>
    <x v="2"/>
    <x v="0"/>
    <x v="0"/>
    <x v="0"/>
    <n v="18"/>
    <n v="1.6299999999999999E-2"/>
    <x v="0"/>
    <x v="0"/>
    <n v="0"/>
    <x v="0"/>
    <n v="0"/>
    <n v="0"/>
    <m/>
    <n v="1"/>
    <n v="1"/>
    <n v="0"/>
    <x v="0"/>
    <n v="0"/>
    <m/>
    <m/>
    <n v="0"/>
    <n v="0"/>
  </r>
  <r>
    <s v="JP-2-description"/>
    <x v="10"/>
    <s v="JP-2"/>
    <x v="1"/>
    <s v="description"/>
    <x v="3"/>
    <x v="0"/>
    <x v="0"/>
    <x v="0"/>
    <n v="15"/>
    <n v="1.6299999999999999E-2"/>
    <x v="0"/>
    <x v="1"/>
    <n v="33.33"/>
    <x v="1"/>
    <n v="0"/>
    <n v="0"/>
    <m/>
    <n v="1"/>
    <n v="1"/>
    <n v="0"/>
    <x v="1"/>
    <n v="1"/>
    <m/>
    <s v="website"/>
    <n v="33.33"/>
    <n v="33.33"/>
  </r>
  <r>
    <s v="JP-2-implementer"/>
    <x v="10"/>
    <s v="JP-2"/>
    <x v="1"/>
    <s v="implementer"/>
    <x v="4"/>
    <x v="0"/>
    <x v="0"/>
    <x v="0"/>
    <n v="12"/>
    <n v="1.6299999999999999E-2"/>
    <x v="0"/>
    <x v="1"/>
    <n v="33.33"/>
    <x v="1"/>
    <n v="0"/>
    <n v="0"/>
    <m/>
    <n v="1"/>
    <n v="1"/>
    <n v="0"/>
    <x v="1"/>
    <n v="1"/>
    <m/>
    <s v="website"/>
    <n v="33.33"/>
    <n v="33.33"/>
  </r>
  <r>
    <s v="JP-2-dates-planned"/>
    <x v="10"/>
    <s v="JP-2"/>
    <x v="0"/>
    <s v="dates-planned"/>
    <x v="5"/>
    <x v="0"/>
    <x v="0"/>
    <x v="0"/>
    <n v="16"/>
    <n v="1.6299999999999999E-2"/>
    <x v="0"/>
    <x v="1"/>
    <n v="0"/>
    <x v="0"/>
    <n v="0"/>
    <n v="0"/>
    <m/>
    <n v="1"/>
    <n v="1"/>
    <n v="0"/>
    <x v="2"/>
    <n v="0"/>
    <m/>
    <s v="website"/>
    <n v="33.33"/>
    <n v="0"/>
  </r>
  <r>
    <s v="JP-2-title"/>
    <x v="10"/>
    <s v="JP-2"/>
    <x v="1"/>
    <s v="title"/>
    <x v="6"/>
    <x v="0"/>
    <x v="0"/>
    <x v="0"/>
    <n v="14"/>
    <n v="1.6299999999999999E-2"/>
    <x v="0"/>
    <x v="1"/>
    <n v="33.33"/>
    <x v="1"/>
    <n v="0"/>
    <n v="0"/>
    <m/>
    <n v="1"/>
    <n v="1"/>
    <n v="0"/>
    <x v="1"/>
    <n v="1"/>
    <m/>
    <s v="website"/>
    <n v="33.33"/>
    <n v="33.33"/>
  </r>
  <r>
    <s v="JP-2-unique-id"/>
    <x v="10"/>
    <s v="JP-2"/>
    <x v="0"/>
    <s v="unique-id"/>
    <x v="7"/>
    <x v="0"/>
    <x v="0"/>
    <x v="0"/>
    <n v="13"/>
    <n v="1.6299999999999999E-2"/>
    <x v="0"/>
    <x v="1"/>
    <n v="0"/>
    <x v="0"/>
    <n v="0"/>
    <n v="0"/>
    <m/>
    <n v="1"/>
    <n v="1"/>
    <n v="0"/>
    <x v="0"/>
    <n v="0"/>
    <m/>
    <s v="website"/>
    <n v="33.33"/>
    <n v="0"/>
  </r>
  <r>
    <s v="JP-2-aid-type"/>
    <x v="10"/>
    <s v="JP-2"/>
    <x v="0"/>
    <s v="aid-type"/>
    <x v="8"/>
    <x v="0"/>
    <x v="1"/>
    <x v="1"/>
    <n v="22"/>
    <n v="1.8599999999999998E-2"/>
    <x v="0"/>
    <x v="1"/>
    <n v="0"/>
    <x v="0"/>
    <n v="0"/>
    <n v="0"/>
    <m/>
    <n v="1"/>
    <n v="1"/>
    <n v="0"/>
    <x v="2"/>
    <n v="0"/>
    <m/>
    <s v="website"/>
    <n v="33.33"/>
    <n v="0"/>
  </r>
  <r>
    <s v="JP-2-collaboration-type"/>
    <x v="10"/>
    <s v="JP-2"/>
    <x v="0"/>
    <s v="collaboration-type"/>
    <x v="9"/>
    <x v="0"/>
    <x v="1"/>
    <x v="1"/>
    <n v="20"/>
    <n v="1.8599999999999998E-2"/>
    <x v="0"/>
    <x v="1"/>
    <n v="0"/>
    <x v="0"/>
    <n v="0"/>
    <n v="0"/>
    <m/>
    <n v="1"/>
    <n v="1"/>
    <n v="0"/>
    <x v="2"/>
    <n v="0"/>
    <m/>
    <s v="website"/>
    <n v="33.33"/>
    <n v="0"/>
  </r>
  <r>
    <s v="JP-2-finance-type"/>
    <x v="10"/>
    <s v="JP-2"/>
    <x v="8"/>
    <s v="finance-type"/>
    <x v="10"/>
    <x v="0"/>
    <x v="1"/>
    <x v="1"/>
    <n v="23"/>
    <n v="1.8599999999999998E-2"/>
    <x v="0"/>
    <x v="1"/>
    <n v="33.33"/>
    <x v="1"/>
    <n v="0"/>
    <n v="0"/>
    <m/>
    <n v="1"/>
    <n v="1"/>
    <n v="0"/>
    <x v="1"/>
    <n v="1"/>
    <m/>
    <s v="website"/>
    <n v="33.33"/>
    <n v="33.33"/>
  </r>
  <r>
    <s v="JP-2-flow-type"/>
    <x v="10"/>
    <s v="JP-2"/>
    <x v="8"/>
    <s v="flow-type"/>
    <x v="11"/>
    <x v="0"/>
    <x v="1"/>
    <x v="1"/>
    <n v="21"/>
    <n v="1.8599999999999998E-2"/>
    <x v="0"/>
    <x v="1"/>
    <n v="33.33"/>
    <x v="1"/>
    <n v="0"/>
    <n v="0"/>
    <m/>
    <n v="1"/>
    <n v="1"/>
    <n v="0"/>
    <x v="1"/>
    <n v="1"/>
    <m/>
    <s v="website"/>
    <n v="33.33"/>
    <n v="33.33"/>
  </r>
  <r>
    <s v="JP-2-sector"/>
    <x v="10"/>
    <s v="JP-2"/>
    <x v="0"/>
    <s v="sector"/>
    <x v="12"/>
    <x v="0"/>
    <x v="1"/>
    <x v="1"/>
    <n v="24"/>
    <n v="1.8599999999999998E-2"/>
    <x v="0"/>
    <x v="1"/>
    <n v="0"/>
    <x v="0"/>
    <n v="0"/>
    <n v="0"/>
    <m/>
    <n v="1"/>
    <n v="1"/>
    <n v="0"/>
    <x v="2"/>
    <n v="0"/>
    <m/>
    <s v="website"/>
    <n v="33.33"/>
    <n v="0"/>
  </r>
  <r>
    <s v="JP-2-location"/>
    <x v="10"/>
    <s v="JP-2"/>
    <x v="13"/>
    <s v="location"/>
    <x v="13"/>
    <x v="0"/>
    <x v="1"/>
    <x v="1"/>
    <n v="25"/>
    <n v="1.8599999999999998E-2"/>
    <x v="0"/>
    <x v="3"/>
    <n v="16.664999999999999"/>
    <x v="4"/>
    <n v="0"/>
    <n v="0"/>
    <m/>
    <n v="1"/>
    <n v="1"/>
    <n v="0"/>
    <x v="1"/>
    <n v="1"/>
    <m/>
    <s v="pdf"/>
    <n v="16.664999999999999"/>
    <n v="16.664999999999999"/>
  </r>
  <r>
    <s v="JP-2-tied-aid-status"/>
    <x v="10"/>
    <s v="JP-2"/>
    <x v="0"/>
    <s v="tied-aid-status"/>
    <x v="14"/>
    <x v="0"/>
    <x v="1"/>
    <x v="1"/>
    <n v="26"/>
    <n v="1.8599999999999998E-2"/>
    <x v="0"/>
    <x v="0"/>
    <n v="0"/>
    <x v="0"/>
    <n v="0"/>
    <n v="0"/>
    <m/>
    <n v="1"/>
    <n v="1"/>
    <n v="0"/>
    <x v="0"/>
    <n v="0"/>
    <m/>
    <m/>
    <n v="0"/>
    <n v="0"/>
  </r>
  <r>
    <s v="JP-2-expenditure-actual"/>
    <x v="10"/>
    <s v="JP-2"/>
    <x v="0"/>
    <s v="expenditure-actual"/>
    <x v="15"/>
    <x v="0"/>
    <x v="2"/>
    <x v="2"/>
    <n v="35"/>
    <n v="3.2500000000000001E-2"/>
    <x v="0"/>
    <x v="0"/>
    <n v="0"/>
    <x v="0"/>
    <n v="0"/>
    <n v="0"/>
    <m/>
    <n v="1"/>
    <n v="1"/>
    <n v="0"/>
    <x v="0"/>
    <n v="0"/>
    <m/>
    <m/>
    <n v="0"/>
    <n v="0"/>
  </r>
  <r>
    <s v="JP-2-cost-overall"/>
    <x v="10"/>
    <s v="JP-2"/>
    <x v="0"/>
    <s v="cost-overall"/>
    <x v="16"/>
    <x v="0"/>
    <x v="2"/>
    <x v="2"/>
    <n v="33"/>
    <n v="3.2500000000000001E-2"/>
    <x v="0"/>
    <x v="0"/>
    <n v="0"/>
    <x v="0"/>
    <n v="0"/>
    <n v="0"/>
    <m/>
    <n v="1"/>
    <n v="1"/>
    <n v="0"/>
    <x v="0"/>
    <n v="0"/>
    <m/>
    <m/>
    <n v="0"/>
    <n v="0"/>
  </r>
  <r>
    <s v="JP-2-expenditure-planned"/>
    <x v="10"/>
    <s v="JP-2"/>
    <x v="2"/>
    <s v="expenditure-planned"/>
    <x v="17"/>
    <x v="0"/>
    <x v="2"/>
    <x v="2"/>
    <n v="34"/>
    <n v="3.2500000000000001E-2"/>
    <x v="0"/>
    <x v="1"/>
    <n v="33.33"/>
    <x v="1"/>
    <n v="0"/>
    <n v="0"/>
    <m/>
    <n v="1"/>
    <n v="1"/>
    <n v="0"/>
    <x v="1"/>
    <n v="1"/>
    <m/>
    <s v="website"/>
    <n v="33.33"/>
    <n v="33.33"/>
  </r>
  <r>
    <s v="JP-2-budget-identifier"/>
    <x v="10"/>
    <s v="JP-2"/>
    <x v="0"/>
    <s v="budget-identifier"/>
    <x v="18"/>
    <x v="0"/>
    <x v="2"/>
    <x v="2"/>
    <n v="36"/>
    <n v="3.2500000000000001E-2"/>
    <x v="0"/>
    <x v="0"/>
    <n v="0"/>
    <x v="0"/>
    <n v="0"/>
    <n v="0"/>
    <m/>
    <n v="1"/>
    <n v="1"/>
    <n v="0"/>
    <x v="0"/>
    <n v="0"/>
    <m/>
    <m/>
    <n v="0"/>
    <n v="0"/>
  </r>
  <r>
    <s v="JP-2-conditions"/>
    <x v="10"/>
    <s v="JP-2"/>
    <x v="0"/>
    <s v="conditions"/>
    <x v="19"/>
    <x v="0"/>
    <x v="3"/>
    <x v="3"/>
    <n v="39"/>
    <n v="4.3299999999999998E-2"/>
    <x v="0"/>
    <x v="2"/>
    <n v="0"/>
    <x v="0"/>
    <n v="0"/>
    <n v="0"/>
    <m/>
    <n v="1"/>
    <n v="1"/>
    <n v="0"/>
    <x v="2"/>
    <n v="0"/>
    <m/>
    <s v="document"/>
    <n v="50"/>
    <n v="0"/>
  </r>
  <r>
    <s v="JP-2-impact-appraisals"/>
    <x v="10"/>
    <s v="JP-2"/>
    <x v="0"/>
    <s v="impact-appraisals"/>
    <x v="20"/>
    <x v="0"/>
    <x v="3"/>
    <x v="3"/>
    <n v="38"/>
    <n v="4.3299999999999998E-2"/>
    <x v="0"/>
    <x v="2"/>
    <n v="0"/>
    <x v="0"/>
    <n v="0"/>
    <n v="0"/>
    <m/>
    <n v="1"/>
    <n v="1"/>
    <n v="0"/>
    <x v="2"/>
    <n v="0"/>
    <m/>
    <s v="document"/>
    <n v="50"/>
    <n v="0"/>
  </r>
  <r>
    <s v="JP-2-results"/>
    <x v="10"/>
    <s v="JP-2"/>
    <x v="0"/>
    <s v="results"/>
    <x v="21"/>
    <x v="0"/>
    <x v="3"/>
    <x v="3"/>
    <n v="37"/>
    <n v="4.3299999999999998E-2"/>
    <x v="0"/>
    <x v="1"/>
    <n v="0"/>
    <x v="0"/>
    <n v="0"/>
    <n v="0"/>
    <m/>
    <n v="1"/>
    <n v="1"/>
    <n v="0"/>
    <x v="2"/>
    <n v="0"/>
    <m/>
    <s v="website"/>
    <n v="33.33"/>
    <n v="0"/>
  </r>
  <r>
    <s v="JP-2-budget"/>
    <x v="10"/>
    <s v="JP-2"/>
    <x v="0"/>
    <s v="budget"/>
    <x v="22"/>
    <x v="0"/>
    <x v="4"/>
    <x v="4"/>
    <n v="30"/>
    <n v="2.1700000000000001E-2"/>
    <x v="0"/>
    <x v="2"/>
    <n v="0"/>
    <x v="0"/>
    <n v="0"/>
    <n v="0"/>
    <m/>
    <n v="1"/>
    <n v="1"/>
    <n v="0"/>
    <x v="0"/>
    <n v="0"/>
    <m/>
    <s v="document"/>
    <n v="50"/>
    <n v="0"/>
  </r>
  <r>
    <s v="JP-2-contracts"/>
    <x v="10"/>
    <s v="JP-2"/>
    <x v="0"/>
    <s v="contracts"/>
    <x v="23"/>
    <x v="0"/>
    <x v="4"/>
    <x v="4"/>
    <n v="31"/>
    <n v="2.1700000000000001E-2"/>
    <x v="0"/>
    <x v="2"/>
    <n v="0"/>
    <x v="0"/>
    <n v="0"/>
    <n v="0"/>
    <m/>
    <n v="1"/>
    <n v="1"/>
    <n v="0"/>
    <x v="0"/>
    <n v="0"/>
    <m/>
    <s v="document"/>
    <n v="50"/>
    <n v="0"/>
  </r>
  <r>
    <s v="JP-2-evaluations"/>
    <x v="10"/>
    <s v="JP-2"/>
    <x v="0"/>
    <s v="evaluations"/>
    <x v="24"/>
    <x v="0"/>
    <x v="4"/>
    <x v="4"/>
    <n v="28"/>
    <n v="2.1700000000000001E-2"/>
    <x v="0"/>
    <x v="2"/>
    <n v="0"/>
    <x v="0"/>
    <n v="0"/>
    <n v="0"/>
    <m/>
    <n v="1"/>
    <n v="1"/>
    <n v="0"/>
    <x v="2"/>
    <n v="0"/>
    <m/>
    <s v="document"/>
    <n v="50"/>
    <n v="0"/>
  </r>
  <r>
    <s v="JP-2-mou"/>
    <x v="10"/>
    <s v="JP-2"/>
    <x v="0"/>
    <s v="mou"/>
    <x v="25"/>
    <x v="0"/>
    <x v="4"/>
    <x v="4"/>
    <n v="27"/>
    <n v="2.1700000000000001E-2"/>
    <x v="0"/>
    <x v="2"/>
    <n v="0"/>
    <x v="0"/>
    <n v="0"/>
    <n v="0"/>
    <m/>
    <n v="1"/>
    <n v="1"/>
    <n v="0"/>
    <x v="0"/>
    <n v="0"/>
    <m/>
    <s v="document"/>
    <n v="50"/>
    <n v="0"/>
  </r>
  <r>
    <s v="JP-2-objectives"/>
    <x v="10"/>
    <s v="JP-2"/>
    <x v="3"/>
    <s v="objectives"/>
    <x v="26"/>
    <x v="0"/>
    <x v="4"/>
    <x v="4"/>
    <n v="29"/>
    <n v="2.1700000000000001E-2"/>
    <x v="0"/>
    <x v="2"/>
    <n v="50"/>
    <x v="2"/>
    <n v="0"/>
    <n v="0"/>
    <m/>
    <n v="1"/>
    <n v="1"/>
    <n v="0"/>
    <x v="1"/>
    <n v="1"/>
    <m/>
    <s v="document"/>
    <n v="50"/>
    <n v="50"/>
  </r>
  <r>
    <s v="JP-2-tenders"/>
    <x v="10"/>
    <s v="JP-2"/>
    <x v="0"/>
    <s v="tenders"/>
    <x v="27"/>
    <x v="0"/>
    <x v="4"/>
    <x v="4"/>
    <n v="32"/>
    <n v="2.1700000000000001E-2"/>
    <x v="0"/>
    <x v="2"/>
    <n v="0"/>
    <x v="0"/>
    <n v="0"/>
    <n v="0"/>
    <m/>
    <n v="1"/>
    <n v="1"/>
    <n v="0"/>
    <x v="0"/>
    <n v="0"/>
    <m/>
    <s v="document"/>
    <n v="50"/>
    <n v="0"/>
  </r>
  <r>
    <s v="JP-2-audit"/>
    <x v="10"/>
    <s v="JP-2"/>
    <x v="4"/>
    <s v="audit"/>
    <x v="28"/>
    <x v="1"/>
    <x v="2"/>
    <x v="5"/>
    <n v="11"/>
    <n v="4.1700000000000001E-2"/>
    <x v="0"/>
    <x v="2"/>
    <n v="50"/>
    <x v="2"/>
    <n v="0"/>
    <n v="0"/>
    <m/>
    <n v="1"/>
    <n v="1"/>
    <n v="0"/>
    <x v="1"/>
    <n v="1"/>
    <m/>
    <s v="document"/>
    <n v="50"/>
    <n v="50"/>
  </r>
  <r>
    <s v="JP-2-total-budget"/>
    <x v="10"/>
    <s v="JP-2"/>
    <x v="0"/>
    <s v="total-budget"/>
    <x v="29"/>
    <x v="1"/>
    <x v="2"/>
    <x v="5"/>
    <n v="9"/>
    <n v="4.1700000000000001E-2"/>
    <x v="0"/>
    <x v="3"/>
    <n v="0"/>
    <x v="0"/>
    <n v="0"/>
    <n v="0"/>
    <m/>
    <n v="1"/>
    <n v="1"/>
    <n v="0"/>
    <x v="3"/>
    <n v="0"/>
    <n v="0"/>
    <s v="pdf"/>
    <n v="16.664999999999999"/>
    <n v="0"/>
  </r>
  <r>
    <s v="JP-2-disaggregated-budgets"/>
    <x v="10"/>
    <s v="JP-2"/>
    <x v="0"/>
    <s v="disaggregated-budgets"/>
    <x v="30"/>
    <x v="1"/>
    <x v="2"/>
    <x v="5"/>
    <n v="10"/>
    <n v="4.1700000000000001E-2"/>
    <x v="0"/>
    <x v="0"/>
    <n v="0"/>
    <x v="0"/>
    <n v="0"/>
    <n v="0"/>
    <m/>
    <n v="1"/>
    <n v="1"/>
    <n v="0"/>
    <x v="3"/>
    <n v="0"/>
    <n v="0"/>
    <m/>
    <n v="0"/>
    <n v="0"/>
  </r>
  <r>
    <s v="JP-2-strategy"/>
    <x v="10"/>
    <s v="JP-2"/>
    <x v="6"/>
    <s v="strategy"/>
    <x v="31"/>
    <x v="1"/>
    <x v="5"/>
    <x v="6"/>
    <n v="4"/>
    <n v="2.5000000000000001E-2"/>
    <x v="0"/>
    <x v="2"/>
    <n v="50"/>
    <x v="2"/>
    <n v="0"/>
    <n v="0"/>
    <m/>
    <n v="1"/>
    <n v="1"/>
    <n v="0"/>
    <x v="1"/>
    <n v="1"/>
    <m/>
    <s v="document"/>
    <n v="50"/>
    <n v="50"/>
  </r>
  <r>
    <s v="JP-2-annual-report"/>
    <x v="10"/>
    <s v="JP-2"/>
    <x v="6"/>
    <s v="annual-report"/>
    <x v="32"/>
    <x v="1"/>
    <x v="5"/>
    <x v="6"/>
    <n v="5"/>
    <n v="2.5000000000000001E-2"/>
    <x v="0"/>
    <x v="2"/>
    <n v="50"/>
    <x v="2"/>
    <n v="0"/>
    <n v="0"/>
    <m/>
    <n v="1"/>
    <n v="1"/>
    <n v="0"/>
    <x v="1"/>
    <n v="1"/>
    <m/>
    <s v="document"/>
    <n v="50"/>
    <n v="50"/>
  </r>
  <r>
    <s v="JP-2-allocation"/>
    <x v="10"/>
    <s v="JP-2"/>
    <x v="6"/>
    <s v="allocation"/>
    <x v="33"/>
    <x v="1"/>
    <x v="5"/>
    <x v="6"/>
    <n v="6"/>
    <n v="2.5000000000000001E-2"/>
    <x v="0"/>
    <x v="2"/>
    <n v="50"/>
    <x v="2"/>
    <n v="0"/>
    <n v="0"/>
    <m/>
    <n v="1"/>
    <n v="1"/>
    <n v="0"/>
    <x v="1"/>
    <n v="1"/>
    <m/>
    <s v="document"/>
    <n v="50"/>
    <n v="50"/>
  </r>
  <r>
    <s v="JP-2-procurement-policy"/>
    <x v="10"/>
    <s v="JP-2"/>
    <x v="6"/>
    <s v="procurement-policy"/>
    <x v="34"/>
    <x v="1"/>
    <x v="5"/>
    <x v="6"/>
    <n v="7"/>
    <n v="2.5000000000000001E-2"/>
    <x v="0"/>
    <x v="2"/>
    <n v="50"/>
    <x v="2"/>
    <n v="0"/>
    <n v="0"/>
    <m/>
    <n v="1"/>
    <n v="1"/>
    <n v="0"/>
    <x v="1"/>
    <n v="1"/>
    <m/>
    <s v="document"/>
    <n v="50"/>
    <n v="50"/>
  </r>
  <r>
    <s v="JP-2-country-strategy"/>
    <x v="10"/>
    <s v="JP-2"/>
    <x v="6"/>
    <s v="country-strategy"/>
    <x v="35"/>
    <x v="1"/>
    <x v="5"/>
    <x v="6"/>
    <n v="8"/>
    <n v="2.5000000000000001E-2"/>
    <x v="0"/>
    <x v="2"/>
    <n v="50"/>
    <x v="2"/>
    <n v="0"/>
    <n v="0"/>
    <m/>
    <n v="1"/>
    <n v="1"/>
    <n v="0"/>
    <x v="1"/>
    <n v="1"/>
    <m/>
    <s v="document"/>
    <n v="50"/>
    <n v="50"/>
  </r>
  <r>
    <s v="JP-2-foia"/>
    <x v="10"/>
    <s v="JP-2"/>
    <x v="15"/>
    <s v="foia"/>
    <x v="36"/>
    <x v="2"/>
    <x v="6"/>
    <x v="7"/>
    <n v="1"/>
    <n v="3.3300000000000003E-2"/>
    <x v="0"/>
    <x v="5"/>
    <n v="66.66"/>
    <x v="6"/>
    <n v="0"/>
    <n v="0"/>
    <m/>
    <n v="1"/>
    <n v="1"/>
    <n v="0"/>
    <x v="3"/>
    <n v="0"/>
    <n v="66.66"/>
    <m/>
    <n v="0"/>
    <n v="66.66"/>
  </r>
  <r>
    <s v="JP-2-accessibility"/>
    <x v="10"/>
    <s v="JP-2"/>
    <x v="7"/>
    <s v="accessibility"/>
    <x v="37"/>
    <x v="2"/>
    <x v="6"/>
    <x v="7"/>
    <n v="3"/>
    <n v="3.3300000000000003E-2"/>
    <x v="0"/>
    <x v="5"/>
    <n v="33.33"/>
    <x v="1"/>
    <n v="0"/>
    <n v="0"/>
    <m/>
    <n v="1"/>
    <n v="1"/>
    <n v="0"/>
    <x v="3"/>
    <n v="0"/>
    <n v="33.33"/>
    <m/>
    <n v="0"/>
    <n v="33.33"/>
  </r>
  <r>
    <s v="JP-2-implementation-schedules"/>
    <x v="10"/>
    <s v="JP-2"/>
    <x v="0"/>
    <s v="implementation-schedules"/>
    <x v="38"/>
    <x v="2"/>
    <x v="6"/>
    <x v="7"/>
    <n v="2"/>
    <n v="3.3300000000000003E-2"/>
    <x v="0"/>
    <x v="5"/>
    <n v="0"/>
    <x v="0"/>
    <n v="0"/>
    <n v="0"/>
    <m/>
    <n v="1"/>
    <n v="1"/>
    <n v="0"/>
    <x v="3"/>
    <n v="0"/>
    <n v="0"/>
    <m/>
    <n v="0"/>
    <n v="0"/>
  </r>
  <r>
    <s v="KR-4-dates-actual"/>
    <x v="11"/>
    <s v="KR-4"/>
    <x v="0"/>
    <s v="dates-actual"/>
    <x v="0"/>
    <x v="0"/>
    <x v="0"/>
    <x v="0"/>
    <n v="17"/>
    <n v="1.6299999999999999E-2"/>
    <x v="0"/>
    <x v="4"/>
    <n v="0"/>
    <x v="0"/>
    <n v="0"/>
    <n v="0"/>
    <m/>
    <n v="1"/>
    <n v="1"/>
    <n v="0"/>
    <x v="2"/>
    <n v="0"/>
    <m/>
    <s v="machine-readable"/>
    <n v="50"/>
    <n v="0"/>
  </r>
  <r>
    <s v="KR-4-contact-details"/>
    <x v="11"/>
    <s v="KR-4"/>
    <x v="1"/>
    <s v="contact-details"/>
    <x v="1"/>
    <x v="0"/>
    <x v="0"/>
    <x v="0"/>
    <n v="19"/>
    <n v="1.6299999999999999E-2"/>
    <x v="0"/>
    <x v="1"/>
    <n v="33.33"/>
    <x v="1"/>
    <n v="0"/>
    <n v="0"/>
    <m/>
    <n v="1"/>
    <n v="1"/>
    <n v="0"/>
    <x v="1"/>
    <n v="1"/>
    <m/>
    <s v="website"/>
    <n v="33.33"/>
    <n v="33.33"/>
  </r>
  <r>
    <s v="KR-4-current-status"/>
    <x v="11"/>
    <s v="KR-4"/>
    <x v="11"/>
    <s v="current-status"/>
    <x v="2"/>
    <x v="0"/>
    <x v="0"/>
    <x v="0"/>
    <n v="18"/>
    <n v="1.6299999999999999E-2"/>
    <x v="0"/>
    <x v="4"/>
    <n v="50"/>
    <x v="2"/>
    <n v="0"/>
    <n v="0"/>
    <m/>
    <n v="1"/>
    <n v="1"/>
    <n v="0"/>
    <x v="1"/>
    <n v="1"/>
    <m/>
    <s v="machine-readable"/>
    <n v="50"/>
    <n v="50"/>
  </r>
  <r>
    <s v="KR-4-description"/>
    <x v="11"/>
    <s v="KR-4"/>
    <x v="1"/>
    <s v="description"/>
    <x v="3"/>
    <x v="0"/>
    <x v="0"/>
    <x v="0"/>
    <n v="15"/>
    <n v="1.6299999999999999E-2"/>
    <x v="0"/>
    <x v="1"/>
    <n v="33.33"/>
    <x v="1"/>
    <n v="0"/>
    <n v="0"/>
    <m/>
    <n v="1"/>
    <n v="1"/>
    <n v="0"/>
    <x v="1"/>
    <n v="1"/>
    <m/>
    <s v="website"/>
    <n v="33.33"/>
    <n v="33.33"/>
  </r>
  <r>
    <s v="KR-4-implementer"/>
    <x v="11"/>
    <s v="KR-4"/>
    <x v="11"/>
    <s v="implementer"/>
    <x v="4"/>
    <x v="0"/>
    <x v="0"/>
    <x v="0"/>
    <n v="12"/>
    <n v="1.6299999999999999E-2"/>
    <x v="0"/>
    <x v="4"/>
    <n v="50"/>
    <x v="2"/>
    <n v="0"/>
    <n v="0"/>
    <m/>
    <n v="1"/>
    <n v="1"/>
    <n v="0"/>
    <x v="1"/>
    <n v="1"/>
    <m/>
    <s v="machine-readable"/>
    <n v="50"/>
    <n v="50"/>
  </r>
  <r>
    <s v="KR-4-dates-planned"/>
    <x v="11"/>
    <s v="KR-4"/>
    <x v="0"/>
    <s v="dates-planned"/>
    <x v="5"/>
    <x v="0"/>
    <x v="0"/>
    <x v="0"/>
    <n v="16"/>
    <n v="1.6299999999999999E-2"/>
    <x v="0"/>
    <x v="3"/>
    <n v="0"/>
    <x v="0"/>
    <n v="0"/>
    <n v="0"/>
    <m/>
    <n v="1"/>
    <n v="1"/>
    <n v="0"/>
    <x v="0"/>
    <n v="0"/>
    <m/>
    <s v="pdf"/>
    <n v="16.664999999999999"/>
    <n v="0"/>
  </r>
  <r>
    <s v="KR-4-title"/>
    <x v="11"/>
    <s v="KR-4"/>
    <x v="11"/>
    <s v="title"/>
    <x v="6"/>
    <x v="0"/>
    <x v="0"/>
    <x v="0"/>
    <n v="14"/>
    <n v="1.6299999999999999E-2"/>
    <x v="0"/>
    <x v="4"/>
    <n v="50"/>
    <x v="2"/>
    <n v="0"/>
    <n v="0"/>
    <m/>
    <n v="1"/>
    <n v="1"/>
    <n v="0"/>
    <x v="1"/>
    <n v="1"/>
    <m/>
    <s v="machine-readable"/>
    <n v="50"/>
    <n v="50"/>
  </r>
  <r>
    <s v="KR-4-unique-id"/>
    <x v="11"/>
    <s v="KR-4"/>
    <x v="0"/>
    <s v="unique-id"/>
    <x v="7"/>
    <x v="0"/>
    <x v="0"/>
    <x v="0"/>
    <n v="13"/>
    <n v="1.6299999999999999E-2"/>
    <x v="0"/>
    <x v="3"/>
    <n v="0"/>
    <x v="0"/>
    <n v="0"/>
    <n v="0"/>
    <m/>
    <n v="1"/>
    <n v="1"/>
    <n v="0"/>
    <x v="0"/>
    <n v="0"/>
    <m/>
    <s v="pdf"/>
    <n v="16.664999999999999"/>
    <n v="0"/>
  </r>
  <r>
    <s v="KR-4-aid-type"/>
    <x v="11"/>
    <s v="KR-4"/>
    <x v="12"/>
    <s v="aid-type"/>
    <x v="8"/>
    <x v="0"/>
    <x v="1"/>
    <x v="1"/>
    <n v="22"/>
    <n v="1.8599999999999998E-2"/>
    <x v="0"/>
    <x v="4"/>
    <n v="50"/>
    <x v="2"/>
    <n v="0"/>
    <n v="0"/>
    <m/>
    <n v="1"/>
    <n v="1"/>
    <n v="0"/>
    <x v="1"/>
    <n v="1"/>
    <m/>
    <s v="machine-readable"/>
    <n v="50"/>
    <n v="50"/>
  </r>
  <r>
    <s v="KR-4-collaboration-type"/>
    <x v="11"/>
    <s v="KR-4"/>
    <x v="12"/>
    <s v="collaboration-type"/>
    <x v="9"/>
    <x v="0"/>
    <x v="1"/>
    <x v="1"/>
    <n v="20"/>
    <n v="1.8599999999999998E-2"/>
    <x v="0"/>
    <x v="4"/>
    <n v="50"/>
    <x v="2"/>
    <n v="0"/>
    <n v="0"/>
    <m/>
    <n v="1"/>
    <n v="1"/>
    <n v="0"/>
    <x v="1"/>
    <n v="1"/>
    <m/>
    <s v="machine-readable"/>
    <n v="50"/>
    <n v="50"/>
  </r>
  <r>
    <s v="KR-4-finance-type"/>
    <x v="11"/>
    <s v="KR-4"/>
    <x v="12"/>
    <s v="finance-type"/>
    <x v="10"/>
    <x v="0"/>
    <x v="1"/>
    <x v="1"/>
    <n v="23"/>
    <n v="1.8599999999999998E-2"/>
    <x v="0"/>
    <x v="4"/>
    <n v="50"/>
    <x v="2"/>
    <n v="0"/>
    <n v="0"/>
    <m/>
    <n v="1"/>
    <n v="1"/>
    <n v="0"/>
    <x v="1"/>
    <n v="1"/>
    <m/>
    <s v="machine-readable"/>
    <n v="50"/>
    <n v="50"/>
  </r>
  <r>
    <s v="KR-4-flow-type"/>
    <x v="11"/>
    <s v="KR-4"/>
    <x v="12"/>
    <s v="flow-type"/>
    <x v="11"/>
    <x v="0"/>
    <x v="1"/>
    <x v="1"/>
    <n v="21"/>
    <n v="1.8599999999999998E-2"/>
    <x v="0"/>
    <x v="4"/>
    <n v="50"/>
    <x v="2"/>
    <n v="0"/>
    <n v="0"/>
    <m/>
    <n v="1"/>
    <n v="1"/>
    <n v="0"/>
    <x v="1"/>
    <n v="1"/>
    <m/>
    <s v="machine-readable"/>
    <n v="50"/>
    <n v="50"/>
  </r>
  <r>
    <s v="KR-4-sector"/>
    <x v="11"/>
    <s v="KR-4"/>
    <x v="12"/>
    <s v="sector"/>
    <x v="12"/>
    <x v="0"/>
    <x v="1"/>
    <x v="1"/>
    <n v="24"/>
    <n v="1.8599999999999998E-2"/>
    <x v="0"/>
    <x v="4"/>
    <n v="50"/>
    <x v="2"/>
    <n v="0"/>
    <n v="0"/>
    <m/>
    <n v="1"/>
    <n v="1"/>
    <n v="0"/>
    <x v="1"/>
    <n v="1"/>
    <m/>
    <s v="machine-readable"/>
    <n v="50"/>
    <n v="50"/>
  </r>
  <r>
    <s v="KR-4-location"/>
    <x v="11"/>
    <s v="KR-4"/>
    <x v="8"/>
    <s v="location"/>
    <x v="13"/>
    <x v="0"/>
    <x v="1"/>
    <x v="1"/>
    <n v="25"/>
    <n v="1.8599999999999998E-2"/>
    <x v="0"/>
    <x v="1"/>
    <n v="33.33"/>
    <x v="1"/>
    <n v="0"/>
    <n v="0"/>
    <m/>
    <n v="1"/>
    <n v="1"/>
    <n v="0"/>
    <x v="1"/>
    <n v="1"/>
    <m/>
    <s v="website"/>
    <n v="33.33"/>
    <n v="33.33"/>
  </r>
  <r>
    <s v="KR-4-tied-aid-status"/>
    <x v="11"/>
    <s v="KR-4"/>
    <x v="8"/>
    <s v="tied-aid-status"/>
    <x v="14"/>
    <x v="0"/>
    <x v="1"/>
    <x v="1"/>
    <n v="26"/>
    <n v="1.8599999999999998E-2"/>
    <x v="0"/>
    <x v="1"/>
    <n v="33.33"/>
    <x v="1"/>
    <n v="0"/>
    <n v="0"/>
    <m/>
    <n v="1"/>
    <n v="1"/>
    <n v="0"/>
    <x v="1"/>
    <n v="1"/>
    <m/>
    <s v="website"/>
    <n v="33.33"/>
    <n v="33.33"/>
  </r>
  <r>
    <s v="KR-4-expenditure-actual"/>
    <x v="11"/>
    <s v="KR-4"/>
    <x v="0"/>
    <s v="expenditure-actual"/>
    <x v="15"/>
    <x v="0"/>
    <x v="2"/>
    <x v="2"/>
    <n v="35"/>
    <n v="3.2500000000000001E-2"/>
    <x v="0"/>
    <x v="3"/>
    <n v="0"/>
    <x v="0"/>
    <n v="0"/>
    <n v="0"/>
    <m/>
    <n v="1"/>
    <n v="1"/>
    <n v="0"/>
    <x v="0"/>
    <n v="0"/>
    <m/>
    <s v="pdf"/>
    <n v="16.664999999999999"/>
    <n v="0"/>
  </r>
  <r>
    <s v="KR-4-cost-overall"/>
    <x v="11"/>
    <s v="KR-4"/>
    <x v="0"/>
    <s v="cost-overall"/>
    <x v="16"/>
    <x v="0"/>
    <x v="2"/>
    <x v="2"/>
    <n v="33"/>
    <n v="3.2500000000000001E-2"/>
    <x v="0"/>
    <x v="3"/>
    <n v="0"/>
    <x v="0"/>
    <n v="0"/>
    <n v="0"/>
    <m/>
    <n v="1"/>
    <n v="1"/>
    <n v="0"/>
    <x v="0"/>
    <n v="0"/>
    <m/>
    <s v="pdf"/>
    <n v="16.664999999999999"/>
    <n v="0"/>
  </r>
  <r>
    <s v="KR-4-expenditure-planned"/>
    <x v="11"/>
    <s v="KR-4"/>
    <x v="14"/>
    <s v="expenditure-planned"/>
    <x v="17"/>
    <x v="0"/>
    <x v="2"/>
    <x v="2"/>
    <n v="34"/>
    <n v="3.2500000000000001E-2"/>
    <x v="0"/>
    <x v="4"/>
    <n v="50"/>
    <x v="2"/>
    <n v="0"/>
    <n v="0"/>
    <m/>
    <n v="1"/>
    <n v="1"/>
    <n v="0"/>
    <x v="1"/>
    <n v="1"/>
    <m/>
    <s v="machine-readable"/>
    <n v="50"/>
    <n v="50"/>
  </r>
  <r>
    <s v="KR-4-budget-identifier"/>
    <x v="11"/>
    <s v="KR-4"/>
    <x v="0"/>
    <s v="budget-identifier"/>
    <x v="18"/>
    <x v="0"/>
    <x v="2"/>
    <x v="2"/>
    <n v="36"/>
    <n v="3.2500000000000001E-2"/>
    <x v="0"/>
    <x v="1"/>
    <n v="0"/>
    <x v="0"/>
    <n v="0"/>
    <n v="0"/>
    <m/>
    <n v="1"/>
    <n v="1"/>
    <n v="0"/>
    <x v="0"/>
    <n v="0"/>
    <m/>
    <s v="website"/>
    <n v="33.33"/>
    <n v="0"/>
  </r>
  <r>
    <s v="KR-4-conditions"/>
    <x v="11"/>
    <s v="KR-4"/>
    <x v="20"/>
    <s v="conditions"/>
    <x v="19"/>
    <x v="0"/>
    <x v="3"/>
    <x v="3"/>
    <n v="39"/>
    <n v="4.3299999999999998E-2"/>
    <x v="0"/>
    <x v="2"/>
    <n v="50"/>
    <x v="2"/>
    <n v="0"/>
    <n v="0"/>
    <m/>
    <n v="1"/>
    <n v="1"/>
    <n v="0"/>
    <x v="1"/>
    <n v="1"/>
    <m/>
    <s v="document"/>
    <n v="50"/>
    <n v="50"/>
  </r>
  <r>
    <s v="KR-4-impact-appraisals"/>
    <x v="11"/>
    <s v="KR-4"/>
    <x v="20"/>
    <s v="impact-appraisals"/>
    <x v="20"/>
    <x v="0"/>
    <x v="3"/>
    <x v="3"/>
    <n v="38"/>
    <n v="4.3299999999999998E-2"/>
    <x v="0"/>
    <x v="2"/>
    <n v="50"/>
    <x v="2"/>
    <n v="0"/>
    <n v="0"/>
    <m/>
    <n v="1"/>
    <n v="1"/>
    <n v="0"/>
    <x v="1"/>
    <n v="1"/>
    <m/>
    <s v="document"/>
    <n v="50"/>
    <n v="50"/>
  </r>
  <r>
    <s v="KR-4-results"/>
    <x v="11"/>
    <s v="KR-4"/>
    <x v="22"/>
    <s v="results"/>
    <x v="21"/>
    <x v="0"/>
    <x v="3"/>
    <x v="3"/>
    <n v="37"/>
    <n v="4.3299999999999998E-2"/>
    <x v="0"/>
    <x v="1"/>
    <n v="33.33"/>
    <x v="1"/>
    <n v="0"/>
    <n v="0"/>
    <m/>
    <n v="1"/>
    <n v="1"/>
    <n v="0"/>
    <x v="1"/>
    <n v="1"/>
    <m/>
    <s v="website"/>
    <n v="33.33"/>
    <n v="33.33"/>
  </r>
  <r>
    <s v="KR-4-budget"/>
    <x v="11"/>
    <s v="KR-4"/>
    <x v="3"/>
    <s v="budget"/>
    <x v="22"/>
    <x v="0"/>
    <x v="4"/>
    <x v="4"/>
    <n v="30"/>
    <n v="2.1700000000000001E-2"/>
    <x v="0"/>
    <x v="2"/>
    <n v="50"/>
    <x v="2"/>
    <n v="0"/>
    <n v="0"/>
    <m/>
    <n v="1"/>
    <n v="1"/>
    <n v="0"/>
    <x v="1"/>
    <n v="1"/>
    <m/>
    <s v="document"/>
    <n v="50"/>
    <n v="50"/>
  </r>
  <r>
    <s v="KR-4-contracts"/>
    <x v="11"/>
    <s v="KR-4"/>
    <x v="0"/>
    <s v="contracts"/>
    <x v="23"/>
    <x v="0"/>
    <x v="4"/>
    <x v="4"/>
    <n v="31"/>
    <n v="2.1700000000000001E-2"/>
    <x v="0"/>
    <x v="2"/>
    <n v="0"/>
    <x v="0"/>
    <n v="0"/>
    <n v="0"/>
    <m/>
    <n v="1"/>
    <n v="1"/>
    <n v="0"/>
    <x v="0"/>
    <n v="0"/>
    <m/>
    <s v="document"/>
    <n v="50"/>
    <n v="0"/>
  </r>
  <r>
    <s v="KR-4-evaluations"/>
    <x v="11"/>
    <s v="KR-4"/>
    <x v="3"/>
    <s v="evaluations"/>
    <x v="24"/>
    <x v="0"/>
    <x v="4"/>
    <x v="4"/>
    <n v="28"/>
    <n v="2.1700000000000001E-2"/>
    <x v="0"/>
    <x v="2"/>
    <n v="50"/>
    <x v="2"/>
    <n v="0"/>
    <n v="0"/>
    <m/>
    <n v="1"/>
    <n v="1"/>
    <n v="0"/>
    <x v="1"/>
    <n v="1"/>
    <m/>
    <s v="document"/>
    <n v="50"/>
    <n v="50"/>
  </r>
  <r>
    <s v="KR-4-mou"/>
    <x v="11"/>
    <s v="KR-4"/>
    <x v="3"/>
    <s v="mou"/>
    <x v="25"/>
    <x v="0"/>
    <x v="4"/>
    <x v="4"/>
    <n v="27"/>
    <n v="2.1700000000000001E-2"/>
    <x v="0"/>
    <x v="2"/>
    <n v="50"/>
    <x v="2"/>
    <n v="0"/>
    <n v="0"/>
    <m/>
    <n v="1"/>
    <n v="1"/>
    <n v="0"/>
    <x v="1"/>
    <n v="1"/>
    <m/>
    <s v="document"/>
    <n v="50"/>
    <n v="50"/>
  </r>
  <r>
    <s v="KR-4-objectives"/>
    <x v="11"/>
    <s v="KR-4"/>
    <x v="3"/>
    <s v="objectives"/>
    <x v="26"/>
    <x v="0"/>
    <x v="4"/>
    <x v="4"/>
    <n v="29"/>
    <n v="2.1700000000000001E-2"/>
    <x v="0"/>
    <x v="2"/>
    <n v="50"/>
    <x v="2"/>
    <n v="0"/>
    <n v="0"/>
    <m/>
    <n v="1"/>
    <n v="1"/>
    <n v="0"/>
    <x v="1"/>
    <n v="1"/>
    <m/>
    <s v="document"/>
    <n v="50"/>
    <n v="50"/>
  </r>
  <r>
    <s v="KR-4-tenders"/>
    <x v="11"/>
    <s v="KR-4"/>
    <x v="3"/>
    <s v="tenders"/>
    <x v="27"/>
    <x v="0"/>
    <x v="4"/>
    <x v="4"/>
    <n v="32"/>
    <n v="2.1700000000000001E-2"/>
    <x v="0"/>
    <x v="2"/>
    <n v="50"/>
    <x v="2"/>
    <n v="0"/>
    <n v="0"/>
    <m/>
    <n v="1"/>
    <n v="1"/>
    <n v="0"/>
    <x v="1"/>
    <n v="1"/>
    <m/>
    <s v="document"/>
    <n v="50"/>
    <n v="50"/>
  </r>
  <r>
    <s v="KR-4-audit"/>
    <x v="11"/>
    <s v="KR-4"/>
    <x v="4"/>
    <s v="audit"/>
    <x v="28"/>
    <x v="1"/>
    <x v="2"/>
    <x v="5"/>
    <n v="11"/>
    <n v="4.1700000000000001E-2"/>
    <x v="0"/>
    <x v="2"/>
    <n v="50"/>
    <x v="2"/>
    <n v="0"/>
    <n v="0"/>
    <m/>
    <n v="1"/>
    <n v="1"/>
    <n v="0"/>
    <x v="1"/>
    <n v="1"/>
    <m/>
    <s v="document"/>
    <n v="50"/>
    <n v="50"/>
  </r>
  <r>
    <s v="KR-4-total-budget"/>
    <x v="11"/>
    <s v="KR-4"/>
    <x v="4"/>
    <s v="total-budget"/>
    <x v="29"/>
    <x v="1"/>
    <x v="2"/>
    <x v="5"/>
    <n v="9"/>
    <n v="4.1700000000000001E-2"/>
    <x v="0"/>
    <x v="4"/>
    <n v="50"/>
    <x v="2"/>
    <n v="0"/>
    <n v="0"/>
    <m/>
    <n v="1"/>
    <n v="1"/>
    <n v="0"/>
    <x v="3"/>
    <n v="0"/>
    <n v="3"/>
    <s v="machine-readable"/>
    <n v="50"/>
    <n v="50"/>
  </r>
  <r>
    <s v="KR-4-disaggregated-budgets"/>
    <x v="11"/>
    <s v="KR-4"/>
    <x v="23"/>
    <s v="disaggregated-budgets"/>
    <x v="30"/>
    <x v="1"/>
    <x v="2"/>
    <x v="5"/>
    <n v="10"/>
    <n v="4.1700000000000001E-2"/>
    <x v="0"/>
    <x v="4"/>
    <n v="16.666666666699999"/>
    <x v="9"/>
    <n v="0"/>
    <n v="0"/>
    <m/>
    <n v="1"/>
    <n v="1"/>
    <n v="0"/>
    <x v="3"/>
    <n v="0"/>
    <n v="1"/>
    <s v="machine-readable"/>
    <n v="50"/>
    <n v="16.666666666699999"/>
  </r>
  <r>
    <s v="KR-4-strategy"/>
    <x v="11"/>
    <s v="KR-4"/>
    <x v="6"/>
    <s v="strategy"/>
    <x v="31"/>
    <x v="1"/>
    <x v="5"/>
    <x v="6"/>
    <n v="4"/>
    <n v="2.5000000000000001E-2"/>
    <x v="0"/>
    <x v="2"/>
    <n v="50"/>
    <x v="2"/>
    <n v="0"/>
    <n v="0"/>
    <m/>
    <n v="1"/>
    <n v="1"/>
    <n v="0"/>
    <x v="1"/>
    <n v="1"/>
    <m/>
    <s v="document"/>
    <n v="50"/>
    <n v="50"/>
  </r>
  <r>
    <s v="KR-4-annual-report"/>
    <x v="11"/>
    <s v="KR-4"/>
    <x v="6"/>
    <s v="annual-report"/>
    <x v="32"/>
    <x v="1"/>
    <x v="5"/>
    <x v="6"/>
    <n v="5"/>
    <n v="2.5000000000000001E-2"/>
    <x v="0"/>
    <x v="2"/>
    <n v="50"/>
    <x v="2"/>
    <n v="0"/>
    <n v="0"/>
    <m/>
    <n v="1"/>
    <n v="1"/>
    <n v="0"/>
    <x v="1"/>
    <n v="1"/>
    <m/>
    <s v="document"/>
    <n v="50"/>
    <n v="50"/>
  </r>
  <r>
    <s v="KR-4-allocation"/>
    <x v="11"/>
    <s v="KR-4"/>
    <x v="6"/>
    <s v="allocation"/>
    <x v="33"/>
    <x v="1"/>
    <x v="5"/>
    <x v="6"/>
    <n v="6"/>
    <n v="2.5000000000000001E-2"/>
    <x v="0"/>
    <x v="2"/>
    <n v="50"/>
    <x v="2"/>
    <n v="0"/>
    <n v="0"/>
    <m/>
    <n v="1"/>
    <n v="1"/>
    <n v="0"/>
    <x v="1"/>
    <n v="1"/>
    <m/>
    <s v="document"/>
    <n v="50"/>
    <n v="50"/>
  </r>
  <r>
    <s v="KR-4-procurement-policy"/>
    <x v="11"/>
    <s v="KR-4"/>
    <x v="6"/>
    <s v="procurement-policy"/>
    <x v="34"/>
    <x v="1"/>
    <x v="5"/>
    <x v="6"/>
    <n v="7"/>
    <n v="2.5000000000000001E-2"/>
    <x v="0"/>
    <x v="2"/>
    <n v="50"/>
    <x v="2"/>
    <n v="0"/>
    <n v="0"/>
    <m/>
    <n v="1"/>
    <n v="1"/>
    <n v="0"/>
    <x v="1"/>
    <n v="1"/>
    <m/>
    <s v="document"/>
    <n v="50"/>
    <n v="50"/>
  </r>
  <r>
    <s v="KR-4-country-strategy"/>
    <x v="11"/>
    <s v="KR-4"/>
    <x v="6"/>
    <s v="country-strategy"/>
    <x v="35"/>
    <x v="1"/>
    <x v="5"/>
    <x v="6"/>
    <n v="8"/>
    <n v="2.5000000000000001E-2"/>
    <x v="0"/>
    <x v="2"/>
    <n v="50"/>
    <x v="2"/>
    <n v="0"/>
    <n v="0"/>
    <m/>
    <n v="1"/>
    <n v="1"/>
    <n v="0"/>
    <x v="1"/>
    <n v="1"/>
    <m/>
    <s v="document"/>
    <n v="50"/>
    <n v="50"/>
  </r>
  <r>
    <s v="KR-4-foia"/>
    <x v="11"/>
    <s v="KR-4"/>
    <x v="15"/>
    <s v="foia"/>
    <x v="36"/>
    <x v="2"/>
    <x v="6"/>
    <x v="7"/>
    <n v="1"/>
    <n v="3.3300000000000003E-2"/>
    <x v="0"/>
    <x v="5"/>
    <n v="66.66"/>
    <x v="6"/>
    <n v="0"/>
    <n v="0"/>
    <m/>
    <n v="1"/>
    <n v="1"/>
    <n v="0"/>
    <x v="3"/>
    <n v="0"/>
    <n v="66.66"/>
    <m/>
    <n v="0"/>
    <n v="66.66"/>
  </r>
  <r>
    <s v="KR-4-accessibility"/>
    <x v="11"/>
    <s v="KR-4"/>
    <x v="0"/>
    <s v="accessibility"/>
    <x v="37"/>
    <x v="2"/>
    <x v="6"/>
    <x v="7"/>
    <n v="3"/>
    <n v="3.3300000000000003E-2"/>
    <x v="0"/>
    <x v="5"/>
    <n v="0"/>
    <x v="0"/>
    <n v="0"/>
    <n v="0"/>
    <m/>
    <n v="1"/>
    <n v="1"/>
    <n v="0"/>
    <x v="3"/>
    <n v="0"/>
    <n v="0"/>
    <m/>
    <n v="0"/>
    <n v="0"/>
  </r>
  <r>
    <s v="KR-4-implementation-schedules"/>
    <x v="11"/>
    <s v="KR-4"/>
    <x v="16"/>
    <s v="implementation-schedules"/>
    <x v="38"/>
    <x v="2"/>
    <x v="6"/>
    <x v="7"/>
    <n v="2"/>
    <n v="3.3300000000000003E-2"/>
    <x v="0"/>
    <x v="5"/>
    <n v="39.5"/>
    <x v="7"/>
    <n v="0"/>
    <n v="0"/>
    <m/>
    <n v="1"/>
    <n v="1"/>
    <n v="0"/>
    <x v="3"/>
    <n v="0"/>
    <n v="39.5"/>
    <m/>
    <n v="0"/>
    <n v="39.5"/>
  </r>
  <r>
    <s v="LV-1-dates-actual"/>
    <x v="12"/>
    <s v="LV-1"/>
    <x v="0"/>
    <s v="dates-actual"/>
    <x v="0"/>
    <x v="0"/>
    <x v="0"/>
    <x v="0"/>
    <n v="17"/>
    <n v="1.6299999999999999E-2"/>
    <x v="0"/>
    <x v="4"/>
    <n v="0"/>
    <x v="0"/>
    <n v="0"/>
    <n v="0"/>
    <m/>
    <n v="1"/>
    <n v="1"/>
    <n v="0"/>
    <x v="0"/>
    <n v="0"/>
    <m/>
    <s v="machine-readable"/>
    <n v="50"/>
    <n v="0"/>
  </r>
  <r>
    <s v="LV-1-contact-details"/>
    <x v="12"/>
    <s v="LV-1"/>
    <x v="1"/>
    <s v="contact-details"/>
    <x v="1"/>
    <x v="0"/>
    <x v="0"/>
    <x v="0"/>
    <n v="19"/>
    <n v="1.6299999999999999E-2"/>
    <x v="0"/>
    <x v="1"/>
    <n v="33.33"/>
    <x v="1"/>
    <n v="0"/>
    <n v="0"/>
    <m/>
    <n v="1"/>
    <n v="1"/>
    <n v="0"/>
    <x v="1"/>
    <n v="1"/>
    <m/>
    <s v="website"/>
    <n v="33.33"/>
    <n v="33.33"/>
  </r>
  <r>
    <s v="LV-1-current-status"/>
    <x v="12"/>
    <s v="LV-1"/>
    <x v="18"/>
    <s v="current-status"/>
    <x v="2"/>
    <x v="0"/>
    <x v="0"/>
    <x v="0"/>
    <n v="18"/>
    <n v="1.6299999999999999E-2"/>
    <x v="0"/>
    <x v="3"/>
    <n v="16.664999999999999"/>
    <x v="4"/>
    <n v="0"/>
    <n v="0"/>
    <m/>
    <n v="1"/>
    <n v="1"/>
    <n v="0"/>
    <x v="1"/>
    <n v="1"/>
    <m/>
    <s v="pdf"/>
    <n v="16.664999999999999"/>
    <n v="16.664999999999999"/>
  </r>
  <r>
    <s v="LV-1-description"/>
    <x v="12"/>
    <s v="LV-1"/>
    <x v="11"/>
    <s v="description"/>
    <x v="3"/>
    <x v="0"/>
    <x v="0"/>
    <x v="0"/>
    <n v="15"/>
    <n v="1.6299999999999999E-2"/>
    <x v="0"/>
    <x v="4"/>
    <n v="50"/>
    <x v="2"/>
    <n v="0"/>
    <n v="0"/>
    <m/>
    <n v="1"/>
    <n v="1"/>
    <n v="0"/>
    <x v="1"/>
    <n v="1"/>
    <m/>
    <s v="machine-readable"/>
    <n v="50"/>
    <n v="50"/>
  </r>
  <r>
    <s v="LV-1-implementer"/>
    <x v="12"/>
    <s v="LV-1"/>
    <x v="11"/>
    <s v="implementer"/>
    <x v="4"/>
    <x v="0"/>
    <x v="0"/>
    <x v="0"/>
    <n v="12"/>
    <n v="1.6299999999999999E-2"/>
    <x v="0"/>
    <x v="4"/>
    <n v="50"/>
    <x v="2"/>
    <n v="0"/>
    <n v="0"/>
    <m/>
    <n v="1"/>
    <n v="1"/>
    <n v="0"/>
    <x v="1"/>
    <n v="1"/>
    <m/>
    <s v="machine-readable"/>
    <n v="50"/>
    <n v="50"/>
  </r>
  <r>
    <s v="LV-1-dates-planned"/>
    <x v="12"/>
    <s v="LV-1"/>
    <x v="11"/>
    <s v="dates-planned"/>
    <x v="5"/>
    <x v="0"/>
    <x v="0"/>
    <x v="0"/>
    <n v="16"/>
    <n v="1.6299999999999999E-2"/>
    <x v="0"/>
    <x v="4"/>
    <n v="50"/>
    <x v="2"/>
    <n v="0"/>
    <n v="0"/>
    <m/>
    <n v="1"/>
    <n v="1"/>
    <n v="0"/>
    <x v="1"/>
    <n v="1"/>
    <m/>
    <s v="machine-readable"/>
    <n v="50"/>
    <n v="50"/>
  </r>
  <r>
    <s v="LV-1-title"/>
    <x v="12"/>
    <s v="LV-1"/>
    <x v="11"/>
    <s v="title"/>
    <x v="6"/>
    <x v="0"/>
    <x v="0"/>
    <x v="0"/>
    <n v="14"/>
    <n v="1.6299999999999999E-2"/>
    <x v="0"/>
    <x v="4"/>
    <n v="50"/>
    <x v="2"/>
    <n v="0"/>
    <n v="0"/>
    <m/>
    <n v="1"/>
    <n v="1"/>
    <n v="0"/>
    <x v="1"/>
    <n v="1"/>
    <m/>
    <s v="machine-readable"/>
    <n v="50"/>
    <n v="50"/>
  </r>
  <r>
    <s v="LV-1-unique-id"/>
    <x v="12"/>
    <s v="LV-1"/>
    <x v="1"/>
    <s v="unique-id"/>
    <x v="7"/>
    <x v="0"/>
    <x v="0"/>
    <x v="0"/>
    <n v="13"/>
    <n v="1.6299999999999999E-2"/>
    <x v="0"/>
    <x v="1"/>
    <n v="33.33"/>
    <x v="1"/>
    <n v="0"/>
    <n v="0"/>
    <m/>
    <n v="1"/>
    <n v="1"/>
    <n v="0"/>
    <x v="1"/>
    <n v="1"/>
    <m/>
    <s v="website"/>
    <n v="33.33"/>
    <n v="33.33"/>
  </r>
  <r>
    <s v="LV-1-aid-type"/>
    <x v="12"/>
    <s v="LV-1"/>
    <x v="12"/>
    <s v="aid-type"/>
    <x v="8"/>
    <x v="0"/>
    <x v="1"/>
    <x v="1"/>
    <n v="22"/>
    <n v="1.8599999999999998E-2"/>
    <x v="0"/>
    <x v="4"/>
    <n v="50"/>
    <x v="2"/>
    <n v="0"/>
    <n v="0"/>
    <m/>
    <n v="1"/>
    <n v="1"/>
    <n v="0"/>
    <x v="1"/>
    <n v="1"/>
    <m/>
    <s v="machine-readable"/>
    <n v="50"/>
    <n v="50"/>
  </r>
  <r>
    <s v="LV-1-collaboration-type"/>
    <x v="12"/>
    <s v="LV-1"/>
    <x v="12"/>
    <s v="collaboration-type"/>
    <x v="9"/>
    <x v="0"/>
    <x v="1"/>
    <x v="1"/>
    <n v="20"/>
    <n v="1.8599999999999998E-2"/>
    <x v="0"/>
    <x v="4"/>
    <n v="50"/>
    <x v="2"/>
    <n v="0"/>
    <n v="0"/>
    <m/>
    <n v="1"/>
    <n v="1"/>
    <n v="0"/>
    <x v="1"/>
    <n v="1"/>
    <m/>
    <s v="machine-readable"/>
    <n v="50"/>
    <n v="50"/>
  </r>
  <r>
    <s v="LV-1-finance-type"/>
    <x v="12"/>
    <s v="LV-1"/>
    <x v="0"/>
    <s v="finance-type"/>
    <x v="10"/>
    <x v="0"/>
    <x v="1"/>
    <x v="1"/>
    <n v="23"/>
    <n v="1.8599999999999998E-2"/>
    <x v="0"/>
    <x v="3"/>
    <n v="0"/>
    <x v="0"/>
    <n v="0"/>
    <n v="0"/>
    <m/>
    <n v="1"/>
    <n v="1"/>
    <n v="0"/>
    <x v="2"/>
    <n v="0"/>
    <m/>
    <s v="pdf"/>
    <n v="16.664999999999999"/>
    <n v="0"/>
  </r>
  <r>
    <s v="LV-1-flow-type"/>
    <x v="12"/>
    <s v="LV-1"/>
    <x v="0"/>
    <s v="flow-type"/>
    <x v="11"/>
    <x v="0"/>
    <x v="1"/>
    <x v="1"/>
    <n v="21"/>
    <n v="1.8599999999999998E-2"/>
    <x v="0"/>
    <x v="1"/>
    <n v="0"/>
    <x v="0"/>
    <n v="0"/>
    <n v="0"/>
    <m/>
    <n v="1"/>
    <n v="1"/>
    <n v="0"/>
    <x v="0"/>
    <n v="0"/>
    <m/>
    <s v="website"/>
    <n v="33.33"/>
    <n v="0"/>
  </r>
  <r>
    <s v="LV-1-sector"/>
    <x v="12"/>
    <s v="LV-1"/>
    <x v="12"/>
    <s v="sector"/>
    <x v="12"/>
    <x v="0"/>
    <x v="1"/>
    <x v="1"/>
    <n v="24"/>
    <n v="1.8599999999999998E-2"/>
    <x v="0"/>
    <x v="4"/>
    <n v="50"/>
    <x v="2"/>
    <n v="0"/>
    <n v="0"/>
    <m/>
    <n v="1"/>
    <n v="1"/>
    <n v="0"/>
    <x v="1"/>
    <n v="1"/>
    <m/>
    <s v="machine-readable"/>
    <n v="50"/>
    <n v="50"/>
  </r>
  <r>
    <s v="LV-1-location"/>
    <x v="12"/>
    <s v="LV-1"/>
    <x v="0"/>
    <s v="location"/>
    <x v="13"/>
    <x v="0"/>
    <x v="1"/>
    <x v="1"/>
    <n v="25"/>
    <n v="1.8599999999999998E-2"/>
    <x v="0"/>
    <x v="0"/>
    <n v="0"/>
    <x v="0"/>
    <n v="0"/>
    <n v="0"/>
    <m/>
    <n v="1"/>
    <n v="1"/>
    <n v="0"/>
    <x v="0"/>
    <n v="0"/>
    <m/>
    <m/>
    <n v="0"/>
    <n v="0"/>
  </r>
  <r>
    <s v="LV-1-tied-aid-status"/>
    <x v="12"/>
    <s v="LV-1"/>
    <x v="0"/>
    <s v="tied-aid-status"/>
    <x v="14"/>
    <x v="0"/>
    <x v="1"/>
    <x v="1"/>
    <n v="26"/>
    <n v="1.8599999999999998E-2"/>
    <x v="0"/>
    <x v="0"/>
    <n v="0"/>
    <x v="0"/>
    <n v="0"/>
    <n v="0"/>
    <m/>
    <n v="1"/>
    <n v="1"/>
    <n v="0"/>
    <x v="0"/>
    <n v="0"/>
    <m/>
    <m/>
    <n v="0"/>
    <n v="0"/>
  </r>
  <r>
    <s v="LV-1-expenditure-actual"/>
    <x v="12"/>
    <s v="LV-1"/>
    <x v="0"/>
    <s v="expenditure-actual"/>
    <x v="15"/>
    <x v="0"/>
    <x v="2"/>
    <x v="2"/>
    <n v="35"/>
    <n v="3.2500000000000001E-2"/>
    <x v="0"/>
    <x v="0"/>
    <n v="0"/>
    <x v="0"/>
    <n v="0"/>
    <n v="0"/>
    <m/>
    <n v="1"/>
    <n v="1"/>
    <n v="0"/>
    <x v="0"/>
    <n v="0"/>
    <m/>
    <m/>
    <n v="0"/>
    <n v="0"/>
  </r>
  <r>
    <s v="LV-1-cost-overall"/>
    <x v="12"/>
    <s v="LV-1"/>
    <x v="0"/>
    <s v="cost-overall"/>
    <x v="16"/>
    <x v="0"/>
    <x v="2"/>
    <x v="2"/>
    <n v="33"/>
    <n v="3.2500000000000001E-2"/>
    <x v="0"/>
    <x v="0"/>
    <n v="0"/>
    <x v="0"/>
    <n v="0"/>
    <n v="0"/>
    <m/>
    <n v="1"/>
    <n v="1"/>
    <n v="0"/>
    <x v="0"/>
    <n v="0"/>
    <m/>
    <m/>
    <n v="0"/>
    <n v="0"/>
  </r>
  <r>
    <s v="LV-1-expenditure-planned"/>
    <x v="12"/>
    <s v="LV-1"/>
    <x v="14"/>
    <s v="expenditure-planned"/>
    <x v="17"/>
    <x v="0"/>
    <x v="2"/>
    <x v="2"/>
    <n v="34"/>
    <n v="3.2500000000000001E-2"/>
    <x v="0"/>
    <x v="4"/>
    <n v="50"/>
    <x v="2"/>
    <n v="0"/>
    <n v="0"/>
    <m/>
    <n v="1"/>
    <n v="1"/>
    <n v="0"/>
    <x v="1"/>
    <n v="1"/>
    <m/>
    <s v="machine-readable"/>
    <n v="50"/>
    <n v="50"/>
  </r>
  <r>
    <s v="LV-1-budget-identifier"/>
    <x v="12"/>
    <s v="LV-1"/>
    <x v="0"/>
    <s v="budget-identifier"/>
    <x v="18"/>
    <x v="0"/>
    <x v="2"/>
    <x v="2"/>
    <n v="36"/>
    <n v="3.2500000000000001E-2"/>
    <x v="0"/>
    <x v="0"/>
    <n v="0"/>
    <x v="0"/>
    <n v="0"/>
    <n v="0"/>
    <m/>
    <n v="1"/>
    <n v="1"/>
    <n v="0"/>
    <x v="0"/>
    <n v="0"/>
    <m/>
    <m/>
    <n v="0"/>
    <n v="0"/>
  </r>
  <r>
    <s v="LV-1-conditions"/>
    <x v="12"/>
    <s v="LV-1"/>
    <x v="0"/>
    <s v="conditions"/>
    <x v="19"/>
    <x v="0"/>
    <x v="3"/>
    <x v="3"/>
    <n v="39"/>
    <n v="4.3299999999999998E-2"/>
    <x v="0"/>
    <x v="2"/>
    <n v="0"/>
    <x v="0"/>
    <n v="0"/>
    <n v="0"/>
    <m/>
    <n v="1"/>
    <n v="1"/>
    <n v="0"/>
    <x v="0"/>
    <n v="0"/>
    <m/>
    <s v="document"/>
    <n v="50"/>
    <n v="0"/>
  </r>
  <r>
    <s v="LV-1-impact-appraisals"/>
    <x v="12"/>
    <s v="LV-1"/>
    <x v="0"/>
    <s v="impact-appraisals"/>
    <x v="20"/>
    <x v="0"/>
    <x v="3"/>
    <x v="3"/>
    <n v="38"/>
    <n v="4.3299999999999998E-2"/>
    <x v="0"/>
    <x v="2"/>
    <n v="0"/>
    <x v="0"/>
    <n v="0"/>
    <n v="0"/>
    <m/>
    <n v="1"/>
    <n v="1"/>
    <n v="0"/>
    <x v="0"/>
    <n v="0"/>
    <m/>
    <s v="document"/>
    <n v="50"/>
    <n v="0"/>
  </r>
  <r>
    <s v="LV-1-results"/>
    <x v="12"/>
    <s v="LV-1"/>
    <x v="0"/>
    <s v="results"/>
    <x v="21"/>
    <x v="0"/>
    <x v="3"/>
    <x v="3"/>
    <n v="37"/>
    <n v="4.3299999999999998E-2"/>
    <x v="0"/>
    <x v="3"/>
    <n v="0"/>
    <x v="0"/>
    <n v="0"/>
    <n v="0"/>
    <m/>
    <n v="1"/>
    <n v="1"/>
    <n v="0"/>
    <x v="2"/>
    <n v="0"/>
    <m/>
    <s v="pdf"/>
    <n v="16.664999999999999"/>
    <n v="0"/>
  </r>
  <r>
    <s v="LV-1-budget"/>
    <x v="12"/>
    <s v="LV-1"/>
    <x v="0"/>
    <s v="budget"/>
    <x v="22"/>
    <x v="0"/>
    <x v="4"/>
    <x v="4"/>
    <n v="30"/>
    <n v="2.1700000000000001E-2"/>
    <x v="0"/>
    <x v="2"/>
    <n v="0"/>
    <x v="0"/>
    <n v="0"/>
    <n v="0"/>
    <m/>
    <n v="1"/>
    <n v="1"/>
    <n v="0"/>
    <x v="0"/>
    <n v="0"/>
    <m/>
    <s v="document"/>
    <n v="50"/>
    <n v="0"/>
  </r>
  <r>
    <s v="LV-1-contracts"/>
    <x v="12"/>
    <s v="LV-1"/>
    <x v="0"/>
    <s v="contracts"/>
    <x v="23"/>
    <x v="0"/>
    <x v="4"/>
    <x v="4"/>
    <n v="31"/>
    <n v="2.1700000000000001E-2"/>
    <x v="0"/>
    <x v="2"/>
    <n v="0"/>
    <x v="0"/>
    <n v="0"/>
    <n v="0"/>
    <m/>
    <n v="1"/>
    <n v="1"/>
    <n v="0"/>
    <x v="2"/>
    <n v="0"/>
    <m/>
    <s v="document"/>
    <n v="50"/>
    <n v="0"/>
  </r>
  <r>
    <s v="LV-1-evaluations"/>
    <x v="12"/>
    <s v="LV-1"/>
    <x v="0"/>
    <s v="evaluations"/>
    <x v="24"/>
    <x v="0"/>
    <x v="4"/>
    <x v="4"/>
    <n v="28"/>
    <n v="2.1700000000000001E-2"/>
    <x v="0"/>
    <x v="2"/>
    <n v="0"/>
    <x v="0"/>
    <n v="0"/>
    <n v="0"/>
    <m/>
    <n v="1"/>
    <n v="1"/>
    <n v="0"/>
    <x v="2"/>
    <n v="0"/>
    <m/>
    <s v="document"/>
    <n v="50"/>
    <n v="0"/>
  </r>
  <r>
    <s v="LV-1-mou"/>
    <x v="12"/>
    <s v="LV-1"/>
    <x v="0"/>
    <s v="mou"/>
    <x v="25"/>
    <x v="0"/>
    <x v="4"/>
    <x v="4"/>
    <n v="27"/>
    <n v="2.1700000000000001E-2"/>
    <x v="0"/>
    <x v="2"/>
    <n v="0"/>
    <x v="0"/>
    <n v="0"/>
    <n v="0"/>
    <m/>
    <n v="1"/>
    <n v="1"/>
    <n v="0"/>
    <x v="2"/>
    <n v="0"/>
    <m/>
    <s v="document"/>
    <n v="50"/>
    <n v="0"/>
  </r>
  <r>
    <s v="LV-1-objectives"/>
    <x v="12"/>
    <s v="LV-1"/>
    <x v="0"/>
    <s v="objectives"/>
    <x v="26"/>
    <x v="0"/>
    <x v="4"/>
    <x v="4"/>
    <n v="29"/>
    <n v="2.1700000000000001E-2"/>
    <x v="0"/>
    <x v="2"/>
    <n v="0"/>
    <x v="0"/>
    <n v="0"/>
    <n v="0"/>
    <m/>
    <n v="1"/>
    <n v="1"/>
    <n v="0"/>
    <x v="0"/>
    <n v="0"/>
    <m/>
    <s v="document"/>
    <n v="50"/>
    <n v="0"/>
  </r>
  <r>
    <s v="LV-1-tenders"/>
    <x v="12"/>
    <s v="LV-1"/>
    <x v="0"/>
    <s v="tenders"/>
    <x v="27"/>
    <x v="0"/>
    <x v="4"/>
    <x v="4"/>
    <n v="32"/>
    <n v="2.1700000000000001E-2"/>
    <x v="0"/>
    <x v="2"/>
    <n v="0"/>
    <x v="0"/>
    <n v="0"/>
    <n v="0"/>
    <m/>
    <n v="1"/>
    <n v="1"/>
    <n v="0"/>
    <x v="2"/>
    <n v="0"/>
    <m/>
    <s v="document"/>
    <n v="50"/>
    <n v="0"/>
  </r>
  <r>
    <s v="LV-1-audit"/>
    <x v="12"/>
    <s v="LV-1"/>
    <x v="4"/>
    <s v="audit"/>
    <x v="28"/>
    <x v="1"/>
    <x v="2"/>
    <x v="5"/>
    <n v="11"/>
    <n v="4.1700000000000001E-2"/>
    <x v="0"/>
    <x v="2"/>
    <n v="50"/>
    <x v="2"/>
    <n v="0"/>
    <n v="0"/>
    <m/>
    <n v="1"/>
    <n v="1"/>
    <n v="0"/>
    <x v="1"/>
    <n v="1"/>
    <m/>
    <s v="document"/>
    <n v="50"/>
    <n v="50"/>
  </r>
  <r>
    <s v="LV-1-total-budget"/>
    <x v="12"/>
    <s v="LV-1"/>
    <x v="5"/>
    <s v="total-budget"/>
    <x v="29"/>
    <x v="1"/>
    <x v="2"/>
    <x v="5"/>
    <n v="9"/>
    <n v="4.1700000000000001E-2"/>
    <x v="0"/>
    <x v="3"/>
    <n v="11.11"/>
    <x v="3"/>
    <n v="0"/>
    <n v="0"/>
    <m/>
    <n v="1"/>
    <n v="1"/>
    <n v="0"/>
    <x v="3"/>
    <n v="0"/>
    <n v="2"/>
    <s v="pdf"/>
    <n v="16.664999999999999"/>
    <n v="11.11"/>
  </r>
  <r>
    <s v="LV-1-disaggregated-budgets"/>
    <x v="12"/>
    <s v="LV-1"/>
    <x v="24"/>
    <s v="disaggregated-budgets"/>
    <x v="30"/>
    <x v="1"/>
    <x v="2"/>
    <x v="5"/>
    <n v="10"/>
    <n v="4.1700000000000001E-2"/>
    <x v="0"/>
    <x v="3"/>
    <n v="5.5549999999999997"/>
    <x v="10"/>
    <n v="0"/>
    <n v="0"/>
    <m/>
    <n v="1"/>
    <n v="1"/>
    <n v="0"/>
    <x v="3"/>
    <n v="0"/>
    <n v="1"/>
    <s v="pdf"/>
    <n v="16.664999999999999"/>
    <n v="5.5549999999999997"/>
  </r>
  <r>
    <s v="LV-1-strategy"/>
    <x v="12"/>
    <s v="LV-1"/>
    <x v="6"/>
    <s v="strategy"/>
    <x v="31"/>
    <x v="1"/>
    <x v="5"/>
    <x v="6"/>
    <n v="4"/>
    <n v="2.5000000000000001E-2"/>
    <x v="0"/>
    <x v="2"/>
    <n v="50"/>
    <x v="2"/>
    <n v="0"/>
    <n v="0"/>
    <m/>
    <n v="1"/>
    <n v="1"/>
    <n v="0"/>
    <x v="1"/>
    <n v="1"/>
    <m/>
    <s v="document"/>
    <n v="50"/>
    <n v="50"/>
  </r>
  <r>
    <s v="LV-1-annual-report"/>
    <x v="12"/>
    <s v="LV-1"/>
    <x v="6"/>
    <s v="annual-report"/>
    <x v="32"/>
    <x v="1"/>
    <x v="5"/>
    <x v="6"/>
    <n v="5"/>
    <n v="2.5000000000000001E-2"/>
    <x v="0"/>
    <x v="2"/>
    <n v="50"/>
    <x v="2"/>
    <n v="0"/>
    <n v="0"/>
    <m/>
    <n v="1"/>
    <n v="1"/>
    <n v="0"/>
    <x v="1"/>
    <n v="1"/>
    <m/>
    <s v="document"/>
    <n v="50"/>
    <n v="50"/>
  </r>
  <r>
    <s v="LV-1-allocation"/>
    <x v="12"/>
    <s v="LV-1"/>
    <x v="6"/>
    <s v="allocation"/>
    <x v="33"/>
    <x v="1"/>
    <x v="5"/>
    <x v="6"/>
    <n v="6"/>
    <n v="2.5000000000000001E-2"/>
    <x v="0"/>
    <x v="2"/>
    <n v="50"/>
    <x v="2"/>
    <n v="0"/>
    <n v="0"/>
    <m/>
    <n v="1"/>
    <n v="1"/>
    <n v="0"/>
    <x v="1"/>
    <n v="1"/>
    <m/>
    <s v="document"/>
    <n v="50"/>
    <n v="50"/>
  </r>
  <r>
    <s v="LV-1-procurement-policy"/>
    <x v="12"/>
    <s v="LV-1"/>
    <x v="6"/>
    <s v="procurement-policy"/>
    <x v="34"/>
    <x v="1"/>
    <x v="5"/>
    <x v="6"/>
    <n v="7"/>
    <n v="2.5000000000000001E-2"/>
    <x v="0"/>
    <x v="2"/>
    <n v="50"/>
    <x v="2"/>
    <n v="0"/>
    <n v="0"/>
    <m/>
    <n v="1"/>
    <n v="1"/>
    <n v="0"/>
    <x v="1"/>
    <n v="1"/>
    <m/>
    <s v="document"/>
    <n v="50"/>
    <n v="50"/>
  </r>
  <r>
    <s v="LV-1-country-strategy"/>
    <x v="12"/>
    <s v="LV-1"/>
    <x v="0"/>
    <s v="country-strategy"/>
    <x v="35"/>
    <x v="1"/>
    <x v="5"/>
    <x v="6"/>
    <n v="8"/>
    <n v="2.5000000000000001E-2"/>
    <x v="0"/>
    <x v="2"/>
    <n v="0"/>
    <x v="0"/>
    <n v="0"/>
    <n v="0"/>
    <m/>
    <n v="1"/>
    <n v="1"/>
    <n v="0"/>
    <x v="2"/>
    <n v="0"/>
    <m/>
    <s v="document"/>
    <n v="50"/>
    <n v="0"/>
  </r>
  <r>
    <s v="LV-1-foia"/>
    <x v="12"/>
    <s v="LV-1"/>
    <x v="15"/>
    <s v="foia"/>
    <x v="36"/>
    <x v="2"/>
    <x v="6"/>
    <x v="7"/>
    <n v="1"/>
    <n v="3.3300000000000003E-2"/>
    <x v="0"/>
    <x v="5"/>
    <n v="66.66"/>
    <x v="6"/>
    <n v="0"/>
    <n v="0"/>
    <m/>
    <n v="1"/>
    <n v="1"/>
    <n v="0"/>
    <x v="3"/>
    <n v="0"/>
    <n v="66.66"/>
    <m/>
    <n v="0"/>
    <n v="66.66"/>
  </r>
  <r>
    <s v="LV-1-accessibility"/>
    <x v="12"/>
    <s v="LV-1"/>
    <x v="0"/>
    <s v="accessibility"/>
    <x v="37"/>
    <x v="2"/>
    <x v="6"/>
    <x v="7"/>
    <n v="3"/>
    <n v="3.3300000000000003E-2"/>
    <x v="0"/>
    <x v="5"/>
    <n v="0"/>
    <x v="0"/>
    <n v="0"/>
    <n v="0"/>
    <m/>
    <n v="1"/>
    <n v="1"/>
    <n v="0"/>
    <x v="3"/>
    <n v="0"/>
    <n v="0"/>
    <m/>
    <n v="0"/>
    <n v="0"/>
  </r>
  <r>
    <s v="LV-1-implementation-schedules"/>
    <x v="12"/>
    <s v="LV-1"/>
    <x v="0"/>
    <s v="implementation-schedules"/>
    <x v="38"/>
    <x v="2"/>
    <x v="6"/>
    <x v="7"/>
    <n v="2"/>
    <n v="3.3300000000000003E-2"/>
    <x v="0"/>
    <x v="5"/>
    <n v="0"/>
    <x v="0"/>
    <n v="0"/>
    <n v="0"/>
    <m/>
    <n v="1"/>
    <n v="1"/>
    <n v="0"/>
    <x v="3"/>
    <n v="0"/>
    <n v="0"/>
    <m/>
    <n v="0"/>
    <n v="0"/>
  </r>
  <r>
    <s v="PT-2-dates-actual"/>
    <x v="13"/>
    <s v="PT-2"/>
    <x v="0"/>
    <s v="dates-actual"/>
    <x v="0"/>
    <x v="0"/>
    <x v="0"/>
    <x v="0"/>
    <n v="17"/>
    <n v="1.6299999999999999E-2"/>
    <x v="0"/>
    <x v="0"/>
    <n v="0"/>
    <x v="0"/>
    <n v="0"/>
    <n v="0"/>
    <m/>
    <n v="1"/>
    <n v="1"/>
    <n v="0"/>
    <x v="0"/>
    <n v="0"/>
    <m/>
    <m/>
    <n v="0"/>
    <n v="0"/>
  </r>
  <r>
    <s v="PT-2-contact-details"/>
    <x v="13"/>
    <s v="PT-2"/>
    <x v="1"/>
    <s v="contact-details"/>
    <x v="1"/>
    <x v="0"/>
    <x v="0"/>
    <x v="0"/>
    <n v="19"/>
    <n v="1.6299999999999999E-2"/>
    <x v="0"/>
    <x v="1"/>
    <n v="33.33"/>
    <x v="1"/>
    <n v="0"/>
    <n v="0"/>
    <m/>
    <n v="1"/>
    <n v="1"/>
    <n v="0"/>
    <x v="1"/>
    <n v="1"/>
    <m/>
    <s v="website"/>
    <n v="33.33"/>
    <n v="33.33"/>
  </r>
  <r>
    <s v="PT-2-current-status"/>
    <x v="13"/>
    <s v="PT-2"/>
    <x v="1"/>
    <s v="current-status"/>
    <x v="2"/>
    <x v="0"/>
    <x v="0"/>
    <x v="0"/>
    <n v="18"/>
    <n v="1.6299999999999999E-2"/>
    <x v="0"/>
    <x v="1"/>
    <n v="33.33"/>
    <x v="1"/>
    <n v="0"/>
    <n v="0"/>
    <m/>
    <n v="1"/>
    <n v="1"/>
    <n v="0"/>
    <x v="1"/>
    <n v="1"/>
    <m/>
    <s v="website"/>
    <n v="33.33"/>
    <n v="33.33"/>
  </r>
  <r>
    <s v="PT-2-description"/>
    <x v="13"/>
    <s v="PT-2"/>
    <x v="1"/>
    <s v="description"/>
    <x v="3"/>
    <x v="0"/>
    <x v="0"/>
    <x v="0"/>
    <n v="15"/>
    <n v="1.6299999999999999E-2"/>
    <x v="0"/>
    <x v="1"/>
    <n v="33.33"/>
    <x v="1"/>
    <n v="0"/>
    <n v="0"/>
    <m/>
    <n v="1"/>
    <n v="1"/>
    <n v="0"/>
    <x v="1"/>
    <n v="1"/>
    <m/>
    <s v="website"/>
    <n v="33.33"/>
    <n v="33.33"/>
  </r>
  <r>
    <s v="PT-2-implementer"/>
    <x v="13"/>
    <s v="PT-2"/>
    <x v="1"/>
    <s v="implementer"/>
    <x v="4"/>
    <x v="0"/>
    <x v="0"/>
    <x v="0"/>
    <n v="12"/>
    <n v="1.6299999999999999E-2"/>
    <x v="0"/>
    <x v="1"/>
    <n v="33.33"/>
    <x v="1"/>
    <n v="0"/>
    <n v="0"/>
    <m/>
    <n v="1"/>
    <n v="1"/>
    <n v="0"/>
    <x v="1"/>
    <n v="1"/>
    <m/>
    <s v="website"/>
    <n v="33.33"/>
    <n v="33.33"/>
  </r>
  <r>
    <s v="PT-2-dates-planned"/>
    <x v="13"/>
    <s v="PT-2"/>
    <x v="11"/>
    <s v="dates-planned"/>
    <x v="5"/>
    <x v="0"/>
    <x v="0"/>
    <x v="0"/>
    <n v="16"/>
    <n v="1.6299999999999999E-2"/>
    <x v="0"/>
    <x v="4"/>
    <n v="50"/>
    <x v="2"/>
    <n v="0"/>
    <n v="0"/>
    <m/>
    <n v="1"/>
    <n v="1"/>
    <n v="0"/>
    <x v="1"/>
    <n v="1"/>
    <m/>
    <s v="machine-readable"/>
    <n v="50"/>
    <n v="50"/>
  </r>
  <r>
    <s v="PT-2-title"/>
    <x v="13"/>
    <s v="PT-2"/>
    <x v="11"/>
    <s v="title"/>
    <x v="6"/>
    <x v="0"/>
    <x v="0"/>
    <x v="0"/>
    <n v="14"/>
    <n v="1.6299999999999999E-2"/>
    <x v="0"/>
    <x v="4"/>
    <n v="50"/>
    <x v="2"/>
    <n v="0"/>
    <n v="0"/>
    <m/>
    <n v="1"/>
    <n v="1"/>
    <n v="0"/>
    <x v="1"/>
    <n v="1"/>
    <m/>
    <s v="machine-readable"/>
    <n v="50"/>
    <n v="50"/>
  </r>
  <r>
    <s v="PT-2-unique-id"/>
    <x v="13"/>
    <s v="PT-2"/>
    <x v="11"/>
    <s v="unique-id"/>
    <x v="7"/>
    <x v="0"/>
    <x v="0"/>
    <x v="0"/>
    <n v="13"/>
    <n v="1.6299999999999999E-2"/>
    <x v="0"/>
    <x v="4"/>
    <n v="50"/>
    <x v="2"/>
    <n v="0"/>
    <n v="0"/>
    <m/>
    <n v="1"/>
    <n v="1"/>
    <n v="0"/>
    <x v="1"/>
    <n v="1"/>
    <m/>
    <s v="machine-readable"/>
    <n v="50"/>
    <n v="50"/>
  </r>
  <r>
    <s v="PT-2-aid-type"/>
    <x v="13"/>
    <s v="PT-2"/>
    <x v="12"/>
    <s v="aid-type"/>
    <x v="8"/>
    <x v="0"/>
    <x v="1"/>
    <x v="1"/>
    <n v="22"/>
    <n v="1.8599999999999998E-2"/>
    <x v="0"/>
    <x v="4"/>
    <n v="50"/>
    <x v="2"/>
    <n v="0"/>
    <n v="0"/>
    <m/>
    <n v="1"/>
    <n v="1"/>
    <n v="0"/>
    <x v="1"/>
    <n v="1"/>
    <m/>
    <s v="machine-readable"/>
    <n v="50"/>
    <n v="50"/>
  </r>
  <r>
    <s v="PT-2-collaboration-type"/>
    <x v="13"/>
    <s v="PT-2"/>
    <x v="12"/>
    <s v="collaboration-type"/>
    <x v="9"/>
    <x v="0"/>
    <x v="1"/>
    <x v="1"/>
    <n v="20"/>
    <n v="1.8599999999999998E-2"/>
    <x v="0"/>
    <x v="4"/>
    <n v="50"/>
    <x v="2"/>
    <n v="0"/>
    <n v="0"/>
    <m/>
    <n v="1"/>
    <n v="1"/>
    <n v="0"/>
    <x v="1"/>
    <n v="1"/>
    <m/>
    <s v="machine-readable"/>
    <n v="50"/>
    <n v="50"/>
  </r>
  <r>
    <s v="PT-2-finance-type"/>
    <x v="13"/>
    <s v="PT-2"/>
    <x v="12"/>
    <s v="finance-type"/>
    <x v="10"/>
    <x v="0"/>
    <x v="1"/>
    <x v="1"/>
    <n v="23"/>
    <n v="1.8599999999999998E-2"/>
    <x v="0"/>
    <x v="4"/>
    <n v="50"/>
    <x v="2"/>
    <n v="0"/>
    <n v="0"/>
    <m/>
    <n v="1"/>
    <n v="1"/>
    <n v="0"/>
    <x v="1"/>
    <n v="1"/>
    <m/>
    <s v="machine-readable"/>
    <n v="50"/>
    <n v="50"/>
  </r>
  <r>
    <s v="PT-2-flow-type"/>
    <x v="13"/>
    <s v="PT-2"/>
    <x v="12"/>
    <s v="flow-type"/>
    <x v="11"/>
    <x v="0"/>
    <x v="1"/>
    <x v="1"/>
    <n v="21"/>
    <n v="1.8599999999999998E-2"/>
    <x v="0"/>
    <x v="4"/>
    <n v="50"/>
    <x v="2"/>
    <n v="0"/>
    <n v="0"/>
    <m/>
    <n v="1"/>
    <n v="1"/>
    <n v="0"/>
    <x v="1"/>
    <n v="1"/>
    <m/>
    <s v="machine-readable"/>
    <n v="50"/>
    <n v="50"/>
  </r>
  <r>
    <s v="PT-2-sector"/>
    <x v="13"/>
    <s v="PT-2"/>
    <x v="12"/>
    <s v="sector"/>
    <x v="12"/>
    <x v="0"/>
    <x v="1"/>
    <x v="1"/>
    <n v="24"/>
    <n v="1.8599999999999998E-2"/>
    <x v="0"/>
    <x v="4"/>
    <n v="50"/>
    <x v="2"/>
    <n v="0"/>
    <n v="0"/>
    <m/>
    <n v="1"/>
    <n v="1"/>
    <n v="0"/>
    <x v="1"/>
    <n v="1"/>
    <m/>
    <s v="machine-readable"/>
    <n v="50"/>
    <n v="50"/>
  </r>
  <r>
    <s v="PT-2-location"/>
    <x v="13"/>
    <s v="PT-2"/>
    <x v="12"/>
    <s v="location"/>
    <x v="13"/>
    <x v="0"/>
    <x v="1"/>
    <x v="1"/>
    <n v="25"/>
    <n v="1.8599999999999998E-2"/>
    <x v="0"/>
    <x v="4"/>
    <n v="50"/>
    <x v="2"/>
    <n v="0"/>
    <n v="0"/>
    <m/>
    <n v="1"/>
    <n v="1"/>
    <n v="0"/>
    <x v="1"/>
    <n v="1"/>
    <m/>
    <s v="machine-readable"/>
    <n v="50"/>
    <n v="50"/>
  </r>
  <r>
    <s v="PT-2-tied-aid-status"/>
    <x v="13"/>
    <s v="PT-2"/>
    <x v="12"/>
    <s v="tied-aid-status"/>
    <x v="14"/>
    <x v="0"/>
    <x v="1"/>
    <x v="1"/>
    <n v="26"/>
    <n v="1.8599999999999998E-2"/>
    <x v="0"/>
    <x v="4"/>
    <n v="50"/>
    <x v="2"/>
    <n v="0"/>
    <n v="0"/>
    <m/>
    <n v="1"/>
    <n v="1"/>
    <n v="0"/>
    <x v="1"/>
    <n v="1"/>
    <m/>
    <s v="machine-readable"/>
    <n v="50"/>
    <n v="50"/>
  </r>
  <r>
    <s v="PT-2-expenditure-actual"/>
    <x v="13"/>
    <s v="PT-2"/>
    <x v="0"/>
    <s v="expenditure-actual"/>
    <x v="15"/>
    <x v="0"/>
    <x v="2"/>
    <x v="2"/>
    <n v="35"/>
    <n v="3.2500000000000001E-2"/>
    <x v="0"/>
    <x v="0"/>
    <n v="0"/>
    <x v="0"/>
    <n v="0"/>
    <n v="0"/>
    <m/>
    <n v="1"/>
    <n v="1"/>
    <n v="0"/>
    <x v="0"/>
    <n v="0"/>
    <m/>
    <m/>
    <n v="0"/>
    <n v="0"/>
  </r>
  <r>
    <s v="PT-2-cost-overall"/>
    <x v="13"/>
    <s v="PT-2"/>
    <x v="0"/>
    <s v="cost-overall"/>
    <x v="16"/>
    <x v="0"/>
    <x v="2"/>
    <x v="2"/>
    <n v="33"/>
    <n v="3.2500000000000001E-2"/>
    <x v="0"/>
    <x v="1"/>
    <n v="0"/>
    <x v="0"/>
    <n v="0"/>
    <n v="0"/>
    <m/>
    <n v="1"/>
    <n v="1"/>
    <n v="0"/>
    <x v="2"/>
    <n v="0"/>
    <m/>
    <s v="website"/>
    <n v="33.33"/>
    <n v="0"/>
  </r>
  <r>
    <s v="PT-2-expenditure-planned"/>
    <x v="13"/>
    <s v="PT-2"/>
    <x v="14"/>
    <s v="expenditure-planned"/>
    <x v="17"/>
    <x v="0"/>
    <x v="2"/>
    <x v="2"/>
    <n v="34"/>
    <n v="3.2500000000000001E-2"/>
    <x v="0"/>
    <x v="4"/>
    <n v="50"/>
    <x v="2"/>
    <n v="0"/>
    <n v="0"/>
    <m/>
    <n v="1"/>
    <n v="1"/>
    <n v="0"/>
    <x v="1"/>
    <n v="1"/>
    <m/>
    <s v="machine-readable"/>
    <n v="50"/>
    <n v="50"/>
  </r>
  <r>
    <s v="PT-2-budget-identifier"/>
    <x v="13"/>
    <s v="PT-2"/>
    <x v="0"/>
    <s v="budget-identifier"/>
    <x v="18"/>
    <x v="0"/>
    <x v="2"/>
    <x v="2"/>
    <n v="36"/>
    <n v="3.2500000000000001E-2"/>
    <x v="0"/>
    <x v="0"/>
    <n v="0"/>
    <x v="0"/>
    <n v="0"/>
    <n v="0"/>
    <m/>
    <n v="1"/>
    <n v="1"/>
    <n v="0"/>
    <x v="0"/>
    <n v="0"/>
    <m/>
    <m/>
    <n v="0"/>
    <n v="0"/>
  </r>
  <r>
    <s v="PT-2-conditions"/>
    <x v="13"/>
    <s v="PT-2"/>
    <x v="0"/>
    <s v="conditions"/>
    <x v="19"/>
    <x v="0"/>
    <x v="3"/>
    <x v="3"/>
    <n v="39"/>
    <n v="4.3299999999999998E-2"/>
    <x v="0"/>
    <x v="2"/>
    <n v="0"/>
    <x v="0"/>
    <n v="0"/>
    <n v="0"/>
    <m/>
    <n v="1"/>
    <n v="1"/>
    <n v="0"/>
    <x v="0"/>
    <n v="0"/>
    <m/>
    <s v="document"/>
    <n v="50"/>
    <n v="0"/>
  </r>
  <r>
    <s v="PT-2-impact-appraisals"/>
    <x v="13"/>
    <s v="PT-2"/>
    <x v="0"/>
    <s v="impact-appraisals"/>
    <x v="20"/>
    <x v="0"/>
    <x v="3"/>
    <x v="3"/>
    <n v="38"/>
    <n v="4.3299999999999998E-2"/>
    <x v="0"/>
    <x v="2"/>
    <n v="0"/>
    <x v="0"/>
    <n v="0"/>
    <n v="0"/>
    <m/>
    <n v="1"/>
    <n v="1"/>
    <n v="0"/>
    <x v="0"/>
    <n v="0"/>
    <m/>
    <s v="document"/>
    <n v="50"/>
    <n v="0"/>
  </r>
  <r>
    <s v="PT-2-results"/>
    <x v="13"/>
    <s v="PT-2"/>
    <x v="0"/>
    <s v="results"/>
    <x v="21"/>
    <x v="0"/>
    <x v="3"/>
    <x v="3"/>
    <n v="37"/>
    <n v="4.3299999999999998E-2"/>
    <x v="0"/>
    <x v="1"/>
    <n v="0"/>
    <x v="0"/>
    <n v="0"/>
    <n v="0"/>
    <m/>
    <n v="1"/>
    <n v="1"/>
    <n v="0"/>
    <x v="2"/>
    <n v="0"/>
    <m/>
    <s v="website"/>
    <n v="33.33"/>
    <n v="0"/>
  </r>
  <r>
    <s v="PT-2-budget"/>
    <x v="13"/>
    <s v="PT-2"/>
    <x v="0"/>
    <s v="budget"/>
    <x v="22"/>
    <x v="0"/>
    <x v="4"/>
    <x v="4"/>
    <n v="30"/>
    <n v="2.1700000000000001E-2"/>
    <x v="0"/>
    <x v="2"/>
    <n v="0"/>
    <x v="0"/>
    <n v="0"/>
    <n v="0"/>
    <m/>
    <n v="1"/>
    <n v="1"/>
    <n v="0"/>
    <x v="2"/>
    <n v="0"/>
    <m/>
    <s v="document"/>
    <n v="50"/>
    <n v="0"/>
  </r>
  <r>
    <s v="PT-2-contracts"/>
    <x v="13"/>
    <s v="PT-2"/>
    <x v="3"/>
    <s v="contracts"/>
    <x v="23"/>
    <x v="0"/>
    <x v="4"/>
    <x v="4"/>
    <n v="31"/>
    <n v="2.1700000000000001E-2"/>
    <x v="0"/>
    <x v="2"/>
    <n v="50"/>
    <x v="2"/>
    <n v="0"/>
    <n v="0"/>
    <m/>
    <n v="1"/>
    <n v="1"/>
    <n v="0"/>
    <x v="1"/>
    <n v="1"/>
    <m/>
    <s v="document"/>
    <n v="50"/>
    <n v="50"/>
  </r>
  <r>
    <s v="PT-2-evaluations"/>
    <x v="13"/>
    <s v="PT-2"/>
    <x v="3"/>
    <s v="evaluations"/>
    <x v="24"/>
    <x v="0"/>
    <x v="4"/>
    <x v="4"/>
    <n v="28"/>
    <n v="2.1700000000000001E-2"/>
    <x v="0"/>
    <x v="2"/>
    <n v="50"/>
    <x v="2"/>
    <n v="0"/>
    <n v="0"/>
    <m/>
    <n v="1"/>
    <n v="1"/>
    <n v="0"/>
    <x v="1"/>
    <n v="1"/>
    <m/>
    <s v="document"/>
    <n v="50"/>
    <n v="50"/>
  </r>
  <r>
    <s v="PT-2-mou"/>
    <x v="13"/>
    <s v="PT-2"/>
    <x v="0"/>
    <s v="mou"/>
    <x v="25"/>
    <x v="0"/>
    <x v="4"/>
    <x v="4"/>
    <n v="27"/>
    <n v="2.1700000000000001E-2"/>
    <x v="0"/>
    <x v="2"/>
    <n v="0"/>
    <x v="0"/>
    <n v="0"/>
    <n v="0"/>
    <m/>
    <n v="1"/>
    <n v="1"/>
    <n v="0"/>
    <x v="2"/>
    <n v="0"/>
    <m/>
    <s v="document"/>
    <n v="50"/>
    <n v="0"/>
  </r>
  <r>
    <s v="PT-2-objectives"/>
    <x v="13"/>
    <s v="PT-2"/>
    <x v="0"/>
    <s v="objectives"/>
    <x v="26"/>
    <x v="0"/>
    <x v="4"/>
    <x v="4"/>
    <n v="29"/>
    <n v="2.1700000000000001E-2"/>
    <x v="0"/>
    <x v="2"/>
    <n v="0"/>
    <x v="0"/>
    <n v="0"/>
    <n v="0"/>
    <m/>
    <n v="1"/>
    <n v="1"/>
    <n v="0"/>
    <x v="2"/>
    <n v="0"/>
    <m/>
    <s v="document"/>
    <n v="50"/>
    <n v="0"/>
  </r>
  <r>
    <s v="PT-2-tenders"/>
    <x v="13"/>
    <s v="PT-2"/>
    <x v="0"/>
    <s v="tenders"/>
    <x v="27"/>
    <x v="0"/>
    <x v="4"/>
    <x v="4"/>
    <n v="32"/>
    <n v="2.1700000000000001E-2"/>
    <x v="0"/>
    <x v="2"/>
    <n v="0"/>
    <x v="0"/>
    <n v="0"/>
    <n v="0"/>
    <m/>
    <n v="1"/>
    <n v="1"/>
    <n v="0"/>
    <x v="2"/>
    <n v="0"/>
    <m/>
    <s v="document"/>
    <n v="50"/>
    <n v="0"/>
  </r>
  <r>
    <s v="PT-2-audit"/>
    <x v="13"/>
    <s v="PT-2"/>
    <x v="4"/>
    <s v="audit"/>
    <x v="28"/>
    <x v="1"/>
    <x v="2"/>
    <x v="5"/>
    <n v="11"/>
    <n v="4.1700000000000001E-2"/>
    <x v="0"/>
    <x v="2"/>
    <n v="50"/>
    <x v="2"/>
    <n v="0"/>
    <n v="0"/>
    <m/>
    <n v="1"/>
    <n v="1"/>
    <n v="0"/>
    <x v="1"/>
    <n v="1"/>
    <m/>
    <s v="document"/>
    <n v="50"/>
    <n v="50"/>
  </r>
  <r>
    <s v="PT-2-total-budget"/>
    <x v="13"/>
    <s v="PT-2"/>
    <x v="24"/>
    <s v="total-budget"/>
    <x v="29"/>
    <x v="1"/>
    <x v="2"/>
    <x v="5"/>
    <n v="9"/>
    <n v="4.1700000000000001E-2"/>
    <x v="0"/>
    <x v="3"/>
    <n v="5.5549999999999997"/>
    <x v="10"/>
    <n v="0"/>
    <n v="0"/>
    <m/>
    <n v="1"/>
    <n v="1"/>
    <n v="0"/>
    <x v="3"/>
    <n v="0"/>
    <n v="1"/>
    <s v="pdf"/>
    <n v="16.664999999999999"/>
    <n v="5.5549999999999997"/>
  </r>
  <r>
    <s v="PT-2-disaggregated-budgets"/>
    <x v="13"/>
    <s v="PT-2"/>
    <x v="4"/>
    <s v="disaggregated-budgets"/>
    <x v="30"/>
    <x v="1"/>
    <x v="2"/>
    <x v="5"/>
    <n v="10"/>
    <n v="4.1700000000000001E-2"/>
    <x v="0"/>
    <x v="4"/>
    <n v="50"/>
    <x v="2"/>
    <n v="0"/>
    <n v="0"/>
    <m/>
    <n v="1"/>
    <n v="1"/>
    <n v="0"/>
    <x v="3"/>
    <n v="0"/>
    <n v="3"/>
    <s v="machine-readable"/>
    <n v="50"/>
    <n v="50"/>
  </r>
  <r>
    <s v="PT-2-strategy"/>
    <x v="13"/>
    <s v="PT-2"/>
    <x v="6"/>
    <s v="strategy"/>
    <x v="31"/>
    <x v="1"/>
    <x v="5"/>
    <x v="6"/>
    <n v="4"/>
    <n v="2.5000000000000001E-2"/>
    <x v="0"/>
    <x v="2"/>
    <n v="50"/>
    <x v="2"/>
    <n v="0"/>
    <n v="0"/>
    <m/>
    <n v="1"/>
    <n v="1"/>
    <n v="0"/>
    <x v="1"/>
    <n v="1"/>
    <m/>
    <s v="document"/>
    <n v="50"/>
    <n v="50"/>
  </r>
  <r>
    <s v="PT-2-annual-report"/>
    <x v="13"/>
    <s v="PT-2"/>
    <x v="6"/>
    <s v="annual-report"/>
    <x v="32"/>
    <x v="1"/>
    <x v="5"/>
    <x v="6"/>
    <n v="5"/>
    <n v="2.5000000000000001E-2"/>
    <x v="0"/>
    <x v="2"/>
    <n v="50"/>
    <x v="2"/>
    <n v="0"/>
    <n v="0"/>
    <m/>
    <n v="1"/>
    <n v="1"/>
    <n v="0"/>
    <x v="1"/>
    <n v="1"/>
    <m/>
    <s v="document"/>
    <n v="50"/>
    <n v="50"/>
  </r>
  <r>
    <s v="PT-2-allocation"/>
    <x v="13"/>
    <s v="PT-2"/>
    <x v="6"/>
    <s v="allocation"/>
    <x v="33"/>
    <x v="1"/>
    <x v="5"/>
    <x v="6"/>
    <n v="6"/>
    <n v="2.5000000000000001E-2"/>
    <x v="0"/>
    <x v="2"/>
    <n v="50"/>
    <x v="2"/>
    <n v="0"/>
    <n v="0"/>
    <m/>
    <n v="1"/>
    <n v="1"/>
    <n v="0"/>
    <x v="1"/>
    <n v="1"/>
    <m/>
    <s v="document"/>
    <n v="50"/>
    <n v="50"/>
  </r>
  <r>
    <s v="PT-2-procurement-policy"/>
    <x v="13"/>
    <s v="PT-2"/>
    <x v="6"/>
    <s v="procurement-policy"/>
    <x v="34"/>
    <x v="1"/>
    <x v="5"/>
    <x v="6"/>
    <n v="7"/>
    <n v="2.5000000000000001E-2"/>
    <x v="0"/>
    <x v="2"/>
    <n v="50"/>
    <x v="2"/>
    <n v="0"/>
    <n v="0"/>
    <m/>
    <n v="1"/>
    <n v="1"/>
    <n v="0"/>
    <x v="1"/>
    <n v="1"/>
    <m/>
    <s v="document"/>
    <n v="50"/>
    <n v="50"/>
  </r>
  <r>
    <s v="PT-2-country-strategy"/>
    <x v="13"/>
    <s v="PT-2"/>
    <x v="0"/>
    <s v="country-strategy"/>
    <x v="35"/>
    <x v="1"/>
    <x v="5"/>
    <x v="6"/>
    <n v="8"/>
    <n v="2.5000000000000001E-2"/>
    <x v="0"/>
    <x v="2"/>
    <n v="0"/>
    <x v="0"/>
    <n v="0"/>
    <n v="0"/>
    <m/>
    <n v="1"/>
    <n v="1"/>
    <n v="0"/>
    <x v="2"/>
    <n v="0"/>
    <m/>
    <s v="document"/>
    <n v="50"/>
    <n v="0"/>
  </r>
  <r>
    <s v="PT-2-foia"/>
    <x v="13"/>
    <s v="PT-2"/>
    <x v="15"/>
    <s v="foia"/>
    <x v="36"/>
    <x v="2"/>
    <x v="6"/>
    <x v="7"/>
    <n v="1"/>
    <n v="3.3300000000000003E-2"/>
    <x v="0"/>
    <x v="5"/>
    <n v="66.66"/>
    <x v="6"/>
    <n v="0"/>
    <n v="0"/>
    <m/>
    <n v="1"/>
    <n v="1"/>
    <n v="0"/>
    <x v="3"/>
    <n v="0"/>
    <n v="66.66"/>
    <m/>
    <n v="0"/>
    <n v="66.66"/>
  </r>
  <r>
    <s v="PT-2-accessibility"/>
    <x v="13"/>
    <s v="PT-2"/>
    <x v="0"/>
    <s v="accessibility"/>
    <x v="37"/>
    <x v="2"/>
    <x v="6"/>
    <x v="7"/>
    <n v="3"/>
    <n v="3.3300000000000003E-2"/>
    <x v="0"/>
    <x v="5"/>
    <n v="0"/>
    <x v="0"/>
    <n v="0"/>
    <n v="0"/>
    <m/>
    <n v="1"/>
    <n v="1"/>
    <n v="0"/>
    <x v="3"/>
    <n v="0"/>
    <n v="0"/>
    <m/>
    <n v="0"/>
    <n v="0"/>
  </r>
  <r>
    <s v="PT-2-implementation-schedules"/>
    <x v="13"/>
    <s v="PT-2"/>
    <x v="0"/>
    <s v="implementation-schedules"/>
    <x v="38"/>
    <x v="2"/>
    <x v="6"/>
    <x v="7"/>
    <n v="2"/>
    <n v="3.3300000000000003E-2"/>
    <x v="0"/>
    <x v="5"/>
    <n v="0"/>
    <x v="0"/>
    <n v="0"/>
    <n v="0"/>
    <m/>
    <n v="1"/>
    <n v="1"/>
    <n v="0"/>
    <x v="3"/>
    <n v="0"/>
    <n v="0"/>
    <m/>
    <n v="0"/>
    <n v="0"/>
  </r>
  <r>
    <s v="RO-1-dates-actual"/>
    <x v="14"/>
    <s v="RO-1"/>
    <x v="0"/>
    <s v="dates-actual"/>
    <x v="0"/>
    <x v="0"/>
    <x v="0"/>
    <x v="0"/>
    <n v="17"/>
    <n v="1.6299999999999999E-2"/>
    <x v="0"/>
    <x v="0"/>
    <n v="0"/>
    <x v="0"/>
    <n v="0"/>
    <n v="0"/>
    <m/>
    <n v="1"/>
    <n v="1"/>
    <n v="0"/>
    <x v="0"/>
    <n v="0"/>
    <m/>
    <m/>
    <n v="0"/>
    <n v="0"/>
  </r>
  <r>
    <s v="RO-1-contact-details"/>
    <x v="14"/>
    <s v="RO-1"/>
    <x v="1"/>
    <s v="contact-details"/>
    <x v="1"/>
    <x v="0"/>
    <x v="0"/>
    <x v="0"/>
    <n v="19"/>
    <n v="1.6299999999999999E-2"/>
    <x v="0"/>
    <x v="1"/>
    <n v="33.33"/>
    <x v="1"/>
    <n v="0"/>
    <n v="0"/>
    <m/>
    <n v="1"/>
    <n v="1"/>
    <n v="0"/>
    <x v="1"/>
    <n v="1"/>
    <m/>
    <s v="website"/>
    <n v="33.33"/>
    <n v="33.33"/>
  </r>
  <r>
    <s v="RO-1-current-status"/>
    <x v="14"/>
    <s v="RO-1"/>
    <x v="0"/>
    <s v="current-status"/>
    <x v="2"/>
    <x v="0"/>
    <x v="0"/>
    <x v="0"/>
    <n v="18"/>
    <n v="1.6299999999999999E-2"/>
    <x v="0"/>
    <x v="3"/>
    <n v="0"/>
    <x v="0"/>
    <n v="0"/>
    <n v="0"/>
    <m/>
    <n v="1"/>
    <n v="1"/>
    <n v="0"/>
    <x v="2"/>
    <n v="0"/>
    <m/>
    <s v="pdf"/>
    <n v="16.664999999999999"/>
    <n v="0"/>
  </r>
  <r>
    <s v="RO-1-description"/>
    <x v="14"/>
    <s v="RO-1"/>
    <x v="0"/>
    <s v="description"/>
    <x v="3"/>
    <x v="0"/>
    <x v="0"/>
    <x v="0"/>
    <n v="15"/>
    <n v="1.6299999999999999E-2"/>
    <x v="0"/>
    <x v="3"/>
    <n v="0"/>
    <x v="0"/>
    <n v="0"/>
    <n v="0"/>
    <m/>
    <n v="1"/>
    <n v="1"/>
    <n v="0"/>
    <x v="0"/>
    <n v="0"/>
    <m/>
    <s v="pdf"/>
    <n v="16.664999999999999"/>
    <n v="0"/>
  </r>
  <r>
    <s v="RO-1-implementer"/>
    <x v="14"/>
    <s v="RO-1"/>
    <x v="18"/>
    <s v="implementer"/>
    <x v="4"/>
    <x v="0"/>
    <x v="0"/>
    <x v="0"/>
    <n v="12"/>
    <n v="1.6299999999999999E-2"/>
    <x v="0"/>
    <x v="3"/>
    <n v="16.664999999999999"/>
    <x v="4"/>
    <n v="0"/>
    <n v="0"/>
    <m/>
    <n v="1"/>
    <n v="1"/>
    <n v="0"/>
    <x v="1"/>
    <n v="1"/>
    <m/>
    <s v="pdf"/>
    <n v="16.664999999999999"/>
    <n v="16.664999999999999"/>
  </r>
  <r>
    <s v="RO-1-dates-planned"/>
    <x v="14"/>
    <s v="RO-1"/>
    <x v="0"/>
    <s v="dates-planned"/>
    <x v="5"/>
    <x v="0"/>
    <x v="0"/>
    <x v="0"/>
    <n v="16"/>
    <n v="1.6299999999999999E-2"/>
    <x v="0"/>
    <x v="0"/>
    <n v="0"/>
    <x v="0"/>
    <n v="0"/>
    <n v="0"/>
    <m/>
    <n v="1"/>
    <n v="1"/>
    <n v="0"/>
    <x v="0"/>
    <n v="0"/>
    <m/>
    <m/>
    <n v="0"/>
    <n v="0"/>
  </r>
  <r>
    <s v="RO-1-title"/>
    <x v="14"/>
    <s v="RO-1"/>
    <x v="18"/>
    <s v="title"/>
    <x v="6"/>
    <x v="0"/>
    <x v="0"/>
    <x v="0"/>
    <n v="14"/>
    <n v="1.6299999999999999E-2"/>
    <x v="0"/>
    <x v="3"/>
    <n v="16.664999999999999"/>
    <x v="4"/>
    <n v="0"/>
    <n v="0"/>
    <m/>
    <n v="1"/>
    <n v="1"/>
    <n v="0"/>
    <x v="1"/>
    <n v="1"/>
    <m/>
    <s v="pdf"/>
    <n v="16.664999999999999"/>
    <n v="16.664999999999999"/>
  </r>
  <r>
    <s v="RO-1-unique-id"/>
    <x v="14"/>
    <s v="RO-1"/>
    <x v="0"/>
    <s v="unique-id"/>
    <x v="7"/>
    <x v="0"/>
    <x v="0"/>
    <x v="0"/>
    <n v="13"/>
    <n v="1.6299999999999999E-2"/>
    <x v="0"/>
    <x v="0"/>
    <n v="0"/>
    <x v="0"/>
    <n v="0"/>
    <n v="0"/>
    <m/>
    <n v="1"/>
    <n v="1"/>
    <n v="0"/>
    <x v="0"/>
    <n v="0"/>
    <m/>
    <m/>
    <n v="0"/>
    <n v="0"/>
  </r>
  <r>
    <s v="RO-1-aid-type"/>
    <x v="14"/>
    <s v="RO-1"/>
    <x v="13"/>
    <s v="aid-type"/>
    <x v="8"/>
    <x v="0"/>
    <x v="1"/>
    <x v="1"/>
    <n v="22"/>
    <n v="1.8599999999999998E-2"/>
    <x v="0"/>
    <x v="3"/>
    <n v="16.664999999999999"/>
    <x v="4"/>
    <n v="0"/>
    <n v="0"/>
    <m/>
    <n v="1"/>
    <n v="1"/>
    <n v="0"/>
    <x v="1"/>
    <n v="1"/>
    <m/>
    <s v="pdf"/>
    <n v="16.664999999999999"/>
    <n v="16.664999999999999"/>
  </r>
  <r>
    <s v="RO-1-collaboration-type"/>
    <x v="14"/>
    <s v="RO-1"/>
    <x v="13"/>
    <s v="collaboration-type"/>
    <x v="9"/>
    <x v="0"/>
    <x v="1"/>
    <x v="1"/>
    <n v="20"/>
    <n v="1.8599999999999998E-2"/>
    <x v="0"/>
    <x v="3"/>
    <n v="16.664999999999999"/>
    <x v="4"/>
    <n v="0"/>
    <n v="0"/>
    <m/>
    <n v="1"/>
    <n v="1"/>
    <n v="0"/>
    <x v="1"/>
    <n v="1"/>
    <m/>
    <s v="pdf"/>
    <n v="16.664999999999999"/>
    <n v="16.664999999999999"/>
  </r>
  <r>
    <s v="RO-1-finance-type"/>
    <x v="14"/>
    <s v="RO-1"/>
    <x v="0"/>
    <s v="finance-type"/>
    <x v="10"/>
    <x v="0"/>
    <x v="1"/>
    <x v="1"/>
    <n v="23"/>
    <n v="1.8599999999999998E-2"/>
    <x v="0"/>
    <x v="0"/>
    <n v="0"/>
    <x v="0"/>
    <n v="0"/>
    <n v="0"/>
    <m/>
    <n v="1"/>
    <n v="1"/>
    <n v="0"/>
    <x v="0"/>
    <n v="0"/>
    <m/>
    <m/>
    <n v="0"/>
    <n v="0"/>
  </r>
  <r>
    <s v="RO-1-flow-type"/>
    <x v="14"/>
    <s v="RO-1"/>
    <x v="0"/>
    <s v="flow-type"/>
    <x v="11"/>
    <x v="0"/>
    <x v="1"/>
    <x v="1"/>
    <n v="21"/>
    <n v="1.8599999999999998E-2"/>
    <x v="0"/>
    <x v="0"/>
    <n v="0"/>
    <x v="0"/>
    <n v="0"/>
    <n v="0"/>
    <m/>
    <n v="1"/>
    <n v="1"/>
    <n v="0"/>
    <x v="0"/>
    <n v="0"/>
    <m/>
    <m/>
    <n v="0"/>
    <n v="0"/>
  </r>
  <r>
    <s v="RO-1-sector"/>
    <x v="14"/>
    <s v="RO-1"/>
    <x v="0"/>
    <s v="sector"/>
    <x v="12"/>
    <x v="0"/>
    <x v="1"/>
    <x v="1"/>
    <n v="24"/>
    <n v="1.8599999999999998E-2"/>
    <x v="0"/>
    <x v="0"/>
    <n v="0"/>
    <x v="0"/>
    <n v="0"/>
    <n v="0"/>
    <m/>
    <n v="1"/>
    <n v="1"/>
    <n v="0"/>
    <x v="0"/>
    <n v="0"/>
    <m/>
    <m/>
    <n v="0"/>
    <n v="0"/>
  </r>
  <r>
    <s v="RO-1-location"/>
    <x v="14"/>
    <s v="RO-1"/>
    <x v="0"/>
    <s v="location"/>
    <x v="13"/>
    <x v="0"/>
    <x v="1"/>
    <x v="1"/>
    <n v="25"/>
    <n v="1.8599999999999998E-2"/>
    <x v="0"/>
    <x v="1"/>
    <n v="0"/>
    <x v="0"/>
    <n v="0"/>
    <n v="0"/>
    <m/>
    <n v="1"/>
    <n v="1"/>
    <n v="0"/>
    <x v="2"/>
    <n v="0"/>
    <m/>
    <s v="website"/>
    <n v="33.33"/>
    <n v="0"/>
  </r>
  <r>
    <s v="RO-1-tied-aid-status"/>
    <x v="14"/>
    <s v="RO-1"/>
    <x v="8"/>
    <s v="tied-aid-status"/>
    <x v="14"/>
    <x v="0"/>
    <x v="1"/>
    <x v="1"/>
    <n v="26"/>
    <n v="1.8599999999999998E-2"/>
    <x v="0"/>
    <x v="1"/>
    <n v="33.33"/>
    <x v="1"/>
    <n v="0"/>
    <n v="0"/>
    <m/>
    <n v="1"/>
    <n v="1"/>
    <n v="0"/>
    <x v="1"/>
    <n v="1"/>
    <m/>
    <s v="website"/>
    <n v="33.33"/>
    <n v="33.33"/>
  </r>
  <r>
    <s v="RO-1-expenditure-actual"/>
    <x v="14"/>
    <s v="RO-1"/>
    <x v="0"/>
    <s v="expenditure-actual"/>
    <x v="15"/>
    <x v="0"/>
    <x v="2"/>
    <x v="2"/>
    <n v="35"/>
    <n v="3.2500000000000001E-2"/>
    <x v="0"/>
    <x v="0"/>
    <n v="0"/>
    <x v="0"/>
    <n v="0"/>
    <n v="0"/>
    <m/>
    <n v="1"/>
    <n v="1"/>
    <n v="0"/>
    <x v="0"/>
    <n v="0"/>
    <m/>
    <m/>
    <n v="0"/>
    <n v="0"/>
  </r>
  <r>
    <s v="RO-1-cost-overall"/>
    <x v="14"/>
    <s v="RO-1"/>
    <x v="0"/>
    <s v="cost-overall"/>
    <x v="16"/>
    <x v="0"/>
    <x v="2"/>
    <x v="2"/>
    <n v="33"/>
    <n v="3.2500000000000001E-2"/>
    <x v="0"/>
    <x v="0"/>
    <n v="0"/>
    <x v="0"/>
    <n v="0"/>
    <n v="0"/>
    <m/>
    <n v="1"/>
    <n v="1"/>
    <n v="0"/>
    <x v="0"/>
    <n v="0"/>
    <m/>
    <m/>
    <n v="0"/>
    <n v="0"/>
  </r>
  <r>
    <s v="RO-1-expenditure-planned"/>
    <x v="14"/>
    <s v="RO-1"/>
    <x v="19"/>
    <s v="expenditure-planned"/>
    <x v="17"/>
    <x v="0"/>
    <x v="2"/>
    <x v="2"/>
    <n v="34"/>
    <n v="3.2500000000000001E-2"/>
    <x v="0"/>
    <x v="3"/>
    <n v="16.664999999999999"/>
    <x v="4"/>
    <n v="0"/>
    <n v="0"/>
    <m/>
    <n v="1"/>
    <n v="1"/>
    <n v="0"/>
    <x v="1"/>
    <n v="1"/>
    <m/>
    <s v="pdf"/>
    <n v="16.664999999999999"/>
    <n v="16.664999999999999"/>
  </r>
  <r>
    <s v="RO-1-budget-identifier"/>
    <x v="14"/>
    <s v="RO-1"/>
    <x v="0"/>
    <s v="budget-identifier"/>
    <x v="18"/>
    <x v="0"/>
    <x v="2"/>
    <x v="2"/>
    <n v="36"/>
    <n v="3.2500000000000001E-2"/>
    <x v="0"/>
    <x v="0"/>
    <n v="0"/>
    <x v="0"/>
    <n v="0"/>
    <n v="0"/>
    <m/>
    <n v="1"/>
    <n v="1"/>
    <n v="0"/>
    <x v="0"/>
    <n v="0"/>
    <m/>
    <m/>
    <n v="0"/>
    <n v="0"/>
  </r>
  <r>
    <s v="RO-1-conditions"/>
    <x v="14"/>
    <s v="RO-1"/>
    <x v="0"/>
    <s v="conditions"/>
    <x v="19"/>
    <x v="0"/>
    <x v="3"/>
    <x v="3"/>
    <n v="39"/>
    <n v="4.3299999999999998E-2"/>
    <x v="0"/>
    <x v="2"/>
    <n v="0"/>
    <x v="0"/>
    <n v="0"/>
    <n v="0"/>
    <m/>
    <n v="1"/>
    <n v="1"/>
    <n v="0"/>
    <x v="0"/>
    <n v="0"/>
    <m/>
    <s v="document"/>
    <n v="50"/>
    <n v="0"/>
  </r>
  <r>
    <s v="RO-1-impact-appraisals"/>
    <x v="14"/>
    <s v="RO-1"/>
    <x v="0"/>
    <s v="impact-appraisals"/>
    <x v="20"/>
    <x v="0"/>
    <x v="3"/>
    <x v="3"/>
    <n v="38"/>
    <n v="4.3299999999999998E-2"/>
    <x v="0"/>
    <x v="2"/>
    <n v="0"/>
    <x v="0"/>
    <n v="0"/>
    <n v="0"/>
    <m/>
    <n v="1"/>
    <n v="1"/>
    <n v="0"/>
    <x v="0"/>
    <n v="0"/>
    <m/>
    <s v="document"/>
    <n v="50"/>
    <n v="0"/>
  </r>
  <r>
    <s v="RO-1-results"/>
    <x v="14"/>
    <s v="RO-1"/>
    <x v="0"/>
    <s v="results"/>
    <x v="21"/>
    <x v="0"/>
    <x v="3"/>
    <x v="3"/>
    <n v="37"/>
    <n v="4.3299999999999998E-2"/>
    <x v="0"/>
    <x v="3"/>
    <n v="0"/>
    <x v="0"/>
    <n v="0"/>
    <n v="0"/>
    <m/>
    <n v="1"/>
    <n v="1"/>
    <n v="0"/>
    <x v="2"/>
    <n v="0"/>
    <m/>
    <s v="pdf"/>
    <n v="16.664999999999999"/>
    <n v="0"/>
  </r>
  <r>
    <s v="RO-1-budget"/>
    <x v="14"/>
    <s v="RO-1"/>
    <x v="0"/>
    <s v="budget"/>
    <x v="22"/>
    <x v="0"/>
    <x v="4"/>
    <x v="4"/>
    <n v="30"/>
    <n v="2.1700000000000001E-2"/>
    <x v="0"/>
    <x v="2"/>
    <n v="0"/>
    <x v="0"/>
    <n v="0"/>
    <n v="0"/>
    <m/>
    <n v="1"/>
    <n v="1"/>
    <n v="0"/>
    <x v="0"/>
    <n v="0"/>
    <m/>
    <s v="document"/>
    <n v="50"/>
    <n v="0"/>
  </r>
  <r>
    <s v="RO-1-contracts"/>
    <x v="14"/>
    <s v="RO-1"/>
    <x v="0"/>
    <s v="contracts"/>
    <x v="23"/>
    <x v="0"/>
    <x v="4"/>
    <x v="4"/>
    <n v="31"/>
    <n v="2.1700000000000001E-2"/>
    <x v="0"/>
    <x v="2"/>
    <n v="0"/>
    <x v="0"/>
    <n v="0"/>
    <n v="0"/>
    <m/>
    <n v="1"/>
    <n v="1"/>
    <n v="0"/>
    <x v="0"/>
    <n v="0"/>
    <m/>
    <s v="document"/>
    <n v="50"/>
    <n v="0"/>
  </r>
  <r>
    <s v="RO-1-evaluations"/>
    <x v="14"/>
    <s v="RO-1"/>
    <x v="0"/>
    <s v="evaluations"/>
    <x v="24"/>
    <x v="0"/>
    <x v="4"/>
    <x v="4"/>
    <n v="28"/>
    <n v="2.1700000000000001E-2"/>
    <x v="0"/>
    <x v="2"/>
    <n v="0"/>
    <x v="0"/>
    <n v="0"/>
    <n v="0"/>
    <m/>
    <n v="1"/>
    <n v="1"/>
    <n v="0"/>
    <x v="2"/>
    <n v="0"/>
    <m/>
    <s v="document"/>
    <n v="50"/>
    <n v="0"/>
  </r>
  <r>
    <s v="RO-1-mou"/>
    <x v="14"/>
    <s v="RO-1"/>
    <x v="0"/>
    <s v="mou"/>
    <x v="25"/>
    <x v="0"/>
    <x v="4"/>
    <x v="4"/>
    <n v="27"/>
    <n v="2.1700000000000001E-2"/>
    <x v="0"/>
    <x v="2"/>
    <n v="0"/>
    <x v="0"/>
    <n v="0"/>
    <n v="0"/>
    <m/>
    <n v="1"/>
    <n v="1"/>
    <n v="0"/>
    <x v="0"/>
    <n v="0"/>
    <m/>
    <s v="document"/>
    <n v="50"/>
    <n v="0"/>
  </r>
  <r>
    <s v="RO-1-objectives"/>
    <x v="14"/>
    <s v="RO-1"/>
    <x v="0"/>
    <s v="objectives"/>
    <x v="26"/>
    <x v="0"/>
    <x v="4"/>
    <x v="4"/>
    <n v="29"/>
    <n v="2.1700000000000001E-2"/>
    <x v="0"/>
    <x v="2"/>
    <n v="0"/>
    <x v="0"/>
    <n v="0"/>
    <n v="0"/>
    <m/>
    <n v="1"/>
    <n v="1"/>
    <n v="0"/>
    <x v="2"/>
    <n v="0"/>
    <m/>
    <s v="document"/>
    <n v="50"/>
    <n v="0"/>
  </r>
  <r>
    <s v="RO-1-tenders"/>
    <x v="14"/>
    <s v="RO-1"/>
    <x v="0"/>
    <s v="tenders"/>
    <x v="27"/>
    <x v="0"/>
    <x v="4"/>
    <x v="4"/>
    <n v="32"/>
    <n v="2.1700000000000001E-2"/>
    <x v="0"/>
    <x v="2"/>
    <n v="0"/>
    <x v="0"/>
    <n v="0"/>
    <n v="0"/>
    <m/>
    <n v="1"/>
    <n v="1"/>
    <n v="0"/>
    <x v="2"/>
    <n v="0"/>
    <m/>
    <s v="document"/>
    <n v="50"/>
    <n v="0"/>
  </r>
  <r>
    <s v="RO-1-audit"/>
    <x v="14"/>
    <s v="RO-1"/>
    <x v="0"/>
    <s v="audit"/>
    <x v="28"/>
    <x v="1"/>
    <x v="2"/>
    <x v="5"/>
    <n v="11"/>
    <n v="4.1700000000000001E-2"/>
    <x v="0"/>
    <x v="2"/>
    <n v="0"/>
    <x v="0"/>
    <n v="0"/>
    <n v="0"/>
    <m/>
    <n v="1"/>
    <n v="1"/>
    <n v="0"/>
    <x v="0"/>
    <n v="0"/>
    <m/>
    <s v="document"/>
    <n v="50"/>
    <n v="0"/>
  </r>
  <r>
    <s v="RO-1-total-budget"/>
    <x v="14"/>
    <s v="RO-1"/>
    <x v="24"/>
    <s v="total-budget"/>
    <x v="29"/>
    <x v="1"/>
    <x v="2"/>
    <x v="5"/>
    <n v="9"/>
    <n v="4.1700000000000001E-2"/>
    <x v="0"/>
    <x v="3"/>
    <n v="5.5549999999999997"/>
    <x v="10"/>
    <n v="0"/>
    <n v="0"/>
    <m/>
    <n v="1"/>
    <n v="1"/>
    <n v="0"/>
    <x v="3"/>
    <n v="0"/>
    <n v="1"/>
    <s v="pdf"/>
    <n v="16.664999999999999"/>
    <n v="5.5549999999999997"/>
  </r>
  <r>
    <s v="RO-1-disaggregated-budgets"/>
    <x v="14"/>
    <s v="RO-1"/>
    <x v="24"/>
    <s v="disaggregated-budgets"/>
    <x v="30"/>
    <x v="1"/>
    <x v="2"/>
    <x v="5"/>
    <n v="10"/>
    <n v="4.1700000000000001E-2"/>
    <x v="0"/>
    <x v="3"/>
    <n v="5.5549999999999997"/>
    <x v="10"/>
    <n v="0"/>
    <n v="0"/>
    <m/>
    <n v="1"/>
    <n v="1"/>
    <n v="0"/>
    <x v="3"/>
    <n v="0"/>
    <n v="1"/>
    <s v="pdf"/>
    <n v="16.664999999999999"/>
    <n v="5.5549999999999997"/>
  </r>
  <r>
    <s v="RO-1-strategy"/>
    <x v="14"/>
    <s v="RO-1"/>
    <x v="6"/>
    <s v="strategy"/>
    <x v="31"/>
    <x v="1"/>
    <x v="5"/>
    <x v="6"/>
    <n v="4"/>
    <n v="2.5000000000000001E-2"/>
    <x v="0"/>
    <x v="2"/>
    <n v="50"/>
    <x v="2"/>
    <n v="0"/>
    <n v="0"/>
    <m/>
    <n v="1"/>
    <n v="1"/>
    <n v="0"/>
    <x v="1"/>
    <n v="1"/>
    <m/>
    <s v="document"/>
    <n v="50"/>
    <n v="50"/>
  </r>
  <r>
    <s v="RO-1-annual-report"/>
    <x v="14"/>
    <s v="RO-1"/>
    <x v="6"/>
    <s v="annual-report"/>
    <x v="32"/>
    <x v="1"/>
    <x v="5"/>
    <x v="6"/>
    <n v="5"/>
    <n v="2.5000000000000001E-2"/>
    <x v="0"/>
    <x v="2"/>
    <n v="50"/>
    <x v="2"/>
    <n v="0"/>
    <n v="0"/>
    <m/>
    <n v="1"/>
    <n v="1"/>
    <n v="0"/>
    <x v="1"/>
    <n v="1"/>
    <m/>
    <s v="document"/>
    <n v="50"/>
    <n v="50"/>
  </r>
  <r>
    <s v="RO-1-allocation"/>
    <x v="14"/>
    <s v="RO-1"/>
    <x v="6"/>
    <s v="allocation"/>
    <x v="33"/>
    <x v="1"/>
    <x v="5"/>
    <x v="6"/>
    <n v="6"/>
    <n v="2.5000000000000001E-2"/>
    <x v="0"/>
    <x v="2"/>
    <n v="50"/>
    <x v="2"/>
    <n v="0"/>
    <n v="0"/>
    <m/>
    <n v="1"/>
    <n v="1"/>
    <n v="0"/>
    <x v="1"/>
    <n v="1"/>
    <m/>
    <s v="document"/>
    <n v="50"/>
    <n v="50"/>
  </r>
  <r>
    <s v="RO-1-procurement-policy"/>
    <x v="14"/>
    <s v="RO-1"/>
    <x v="6"/>
    <s v="procurement-policy"/>
    <x v="34"/>
    <x v="1"/>
    <x v="5"/>
    <x v="6"/>
    <n v="7"/>
    <n v="2.5000000000000001E-2"/>
    <x v="0"/>
    <x v="2"/>
    <n v="50"/>
    <x v="2"/>
    <n v="0"/>
    <n v="0"/>
    <m/>
    <n v="1"/>
    <n v="1"/>
    <n v="0"/>
    <x v="1"/>
    <n v="1"/>
    <m/>
    <s v="document"/>
    <n v="50"/>
    <n v="50"/>
  </r>
  <r>
    <s v="RO-1-country-strategy"/>
    <x v="14"/>
    <s v="RO-1"/>
    <x v="0"/>
    <s v="country-strategy"/>
    <x v="35"/>
    <x v="1"/>
    <x v="5"/>
    <x v="6"/>
    <n v="8"/>
    <n v="2.5000000000000001E-2"/>
    <x v="0"/>
    <x v="2"/>
    <n v="0"/>
    <x v="0"/>
    <n v="0"/>
    <n v="0"/>
    <m/>
    <n v="1"/>
    <n v="1"/>
    <n v="0"/>
    <x v="0"/>
    <n v="0"/>
    <m/>
    <s v="document"/>
    <n v="50"/>
    <n v="0"/>
  </r>
  <r>
    <s v="RO-1-foia"/>
    <x v="14"/>
    <s v="RO-1"/>
    <x v="15"/>
    <s v="foia"/>
    <x v="36"/>
    <x v="2"/>
    <x v="6"/>
    <x v="7"/>
    <n v="1"/>
    <n v="3.3300000000000003E-2"/>
    <x v="0"/>
    <x v="5"/>
    <n v="66.66"/>
    <x v="6"/>
    <n v="0"/>
    <n v="0"/>
    <m/>
    <n v="1"/>
    <n v="1"/>
    <n v="0"/>
    <x v="3"/>
    <n v="0"/>
    <n v="66.66"/>
    <m/>
    <n v="0"/>
    <n v="66.66"/>
  </r>
  <r>
    <s v="RO-1-accessibility"/>
    <x v="14"/>
    <s v="RO-1"/>
    <x v="0"/>
    <s v="accessibility"/>
    <x v="37"/>
    <x v="2"/>
    <x v="6"/>
    <x v="7"/>
    <n v="3"/>
    <n v="3.3300000000000003E-2"/>
    <x v="0"/>
    <x v="5"/>
    <n v="0"/>
    <x v="0"/>
    <n v="0"/>
    <n v="0"/>
    <m/>
    <n v="1"/>
    <n v="1"/>
    <n v="0"/>
    <x v="3"/>
    <n v="0"/>
    <n v="0"/>
    <m/>
    <n v="0"/>
    <n v="0"/>
  </r>
  <r>
    <s v="RO-1-implementation-schedules"/>
    <x v="14"/>
    <s v="RO-1"/>
    <x v="0"/>
    <s v="implementation-schedules"/>
    <x v="38"/>
    <x v="2"/>
    <x v="6"/>
    <x v="7"/>
    <n v="2"/>
    <n v="3.3300000000000003E-2"/>
    <x v="0"/>
    <x v="5"/>
    <n v="0"/>
    <x v="0"/>
    <n v="0"/>
    <n v="0"/>
    <m/>
    <n v="1"/>
    <n v="1"/>
    <n v="0"/>
    <x v="3"/>
    <n v="0"/>
    <n v="0"/>
    <m/>
    <n v="0"/>
    <n v="0"/>
  </r>
  <r>
    <s v="SK-1-dates-actual"/>
    <x v="15"/>
    <s v="SK-1"/>
    <x v="0"/>
    <s v="dates-actual"/>
    <x v="0"/>
    <x v="0"/>
    <x v="0"/>
    <x v="0"/>
    <n v="17"/>
    <n v="1.6299999999999999E-2"/>
    <x v="0"/>
    <x v="0"/>
    <n v="0"/>
    <x v="0"/>
    <n v="0"/>
    <n v="0"/>
    <m/>
    <n v="1"/>
    <n v="1"/>
    <n v="0"/>
    <x v="0"/>
    <n v="0"/>
    <m/>
    <m/>
    <n v="0"/>
    <n v="0"/>
  </r>
  <r>
    <s v="SK-1-contact-details"/>
    <x v="15"/>
    <s v="SK-1"/>
    <x v="1"/>
    <s v="contact-details"/>
    <x v="1"/>
    <x v="0"/>
    <x v="0"/>
    <x v="0"/>
    <n v="19"/>
    <n v="1.6299999999999999E-2"/>
    <x v="0"/>
    <x v="1"/>
    <n v="33.33"/>
    <x v="1"/>
    <n v="0"/>
    <n v="0"/>
    <m/>
    <n v="1"/>
    <n v="1"/>
    <n v="0"/>
    <x v="1"/>
    <n v="1"/>
    <m/>
    <s v="website"/>
    <n v="33.33"/>
    <n v="33.33"/>
  </r>
  <r>
    <s v="SK-1-current-status"/>
    <x v="15"/>
    <s v="SK-1"/>
    <x v="0"/>
    <s v="current-status"/>
    <x v="2"/>
    <x v="0"/>
    <x v="0"/>
    <x v="0"/>
    <n v="18"/>
    <n v="1.6299999999999999E-2"/>
    <x v="0"/>
    <x v="1"/>
    <n v="0"/>
    <x v="0"/>
    <n v="0"/>
    <n v="0"/>
    <m/>
    <n v="1"/>
    <n v="1"/>
    <n v="0"/>
    <x v="2"/>
    <n v="0"/>
    <m/>
    <s v="website"/>
    <n v="33.33"/>
    <n v="0"/>
  </r>
  <r>
    <s v="SK-1-description"/>
    <x v="15"/>
    <s v="SK-1"/>
    <x v="1"/>
    <s v="description"/>
    <x v="3"/>
    <x v="0"/>
    <x v="0"/>
    <x v="0"/>
    <n v="15"/>
    <n v="1.6299999999999999E-2"/>
    <x v="0"/>
    <x v="1"/>
    <n v="33.33"/>
    <x v="1"/>
    <n v="0"/>
    <n v="0"/>
    <m/>
    <n v="1"/>
    <n v="1"/>
    <n v="0"/>
    <x v="1"/>
    <n v="1"/>
    <m/>
    <s v="website"/>
    <n v="33.33"/>
    <n v="33.33"/>
  </r>
  <r>
    <s v="SK-1-implementer"/>
    <x v="15"/>
    <s v="SK-1"/>
    <x v="1"/>
    <s v="implementer"/>
    <x v="4"/>
    <x v="0"/>
    <x v="0"/>
    <x v="0"/>
    <n v="12"/>
    <n v="1.6299999999999999E-2"/>
    <x v="0"/>
    <x v="1"/>
    <n v="33.33"/>
    <x v="1"/>
    <n v="0"/>
    <n v="0"/>
    <m/>
    <n v="1"/>
    <n v="1"/>
    <n v="0"/>
    <x v="1"/>
    <n v="1"/>
    <m/>
    <s v="website"/>
    <n v="33.33"/>
    <n v="33.33"/>
  </r>
  <r>
    <s v="SK-1-dates-planned"/>
    <x v="15"/>
    <s v="SK-1"/>
    <x v="1"/>
    <s v="dates-planned"/>
    <x v="5"/>
    <x v="0"/>
    <x v="0"/>
    <x v="0"/>
    <n v="16"/>
    <n v="1.6299999999999999E-2"/>
    <x v="0"/>
    <x v="1"/>
    <n v="33.33"/>
    <x v="1"/>
    <n v="0"/>
    <n v="0"/>
    <m/>
    <n v="1"/>
    <n v="1"/>
    <n v="0"/>
    <x v="1"/>
    <n v="1"/>
    <m/>
    <s v="website"/>
    <n v="33.33"/>
    <n v="33.33"/>
  </r>
  <r>
    <s v="SK-1-title"/>
    <x v="15"/>
    <s v="SK-1"/>
    <x v="1"/>
    <s v="title"/>
    <x v="6"/>
    <x v="0"/>
    <x v="0"/>
    <x v="0"/>
    <n v="14"/>
    <n v="1.6299999999999999E-2"/>
    <x v="0"/>
    <x v="1"/>
    <n v="33.33"/>
    <x v="1"/>
    <n v="0"/>
    <n v="0"/>
    <m/>
    <n v="1"/>
    <n v="1"/>
    <n v="0"/>
    <x v="1"/>
    <n v="1"/>
    <m/>
    <s v="website"/>
    <n v="33.33"/>
    <n v="33.33"/>
  </r>
  <r>
    <s v="SK-1-unique-id"/>
    <x v="15"/>
    <s v="SK-1"/>
    <x v="1"/>
    <s v="unique-id"/>
    <x v="7"/>
    <x v="0"/>
    <x v="0"/>
    <x v="0"/>
    <n v="13"/>
    <n v="1.6299999999999999E-2"/>
    <x v="0"/>
    <x v="1"/>
    <n v="33.33"/>
    <x v="1"/>
    <n v="0"/>
    <n v="0"/>
    <m/>
    <n v="1"/>
    <n v="1"/>
    <n v="0"/>
    <x v="1"/>
    <n v="1"/>
    <m/>
    <s v="website"/>
    <n v="33.33"/>
    <n v="33.33"/>
  </r>
  <r>
    <s v="SK-1-aid-type"/>
    <x v="15"/>
    <s v="SK-1"/>
    <x v="0"/>
    <s v="aid-type"/>
    <x v="8"/>
    <x v="0"/>
    <x v="1"/>
    <x v="1"/>
    <n v="22"/>
    <n v="1.8599999999999998E-2"/>
    <x v="0"/>
    <x v="3"/>
    <n v="0"/>
    <x v="0"/>
    <n v="0"/>
    <n v="0"/>
    <m/>
    <n v="1"/>
    <n v="1"/>
    <n v="0"/>
    <x v="2"/>
    <n v="0"/>
    <m/>
    <s v="pdf"/>
    <n v="16.664999999999999"/>
    <n v="0"/>
  </r>
  <r>
    <s v="SK-1-collaboration-type"/>
    <x v="15"/>
    <s v="SK-1"/>
    <x v="0"/>
    <s v="collaboration-type"/>
    <x v="9"/>
    <x v="0"/>
    <x v="1"/>
    <x v="1"/>
    <n v="20"/>
    <n v="1.8599999999999998E-2"/>
    <x v="0"/>
    <x v="0"/>
    <n v="0"/>
    <x v="0"/>
    <n v="0"/>
    <n v="0"/>
    <m/>
    <n v="1"/>
    <n v="1"/>
    <n v="0"/>
    <x v="0"/>
    <n v="0"/>
    <m/>
    <m/>
    <n v="0"/>
    <n v="0"/>
  </r>
  <r>
    <s v="SK-1-finance-type"/>
    <x v="15"/>
    <s v="SK-1"/>
    <x v="8"/>
    <s v="finance-type"/>
    <x v="10"/>
    <x v="0"/>
    <x v="1"/>
    <x v="1"/>
    <n v="23"/>
    <n v="1.8599999999999998E-2"/>
    <x v="0"/>
    <x v="1"/>
    <n v="33.33"/>
    <x v="1"/>
    <n v="0"/>
    <n v="0"/>
    <m/>
    <n v="1"/>
    <n v="1"/>
    <n v="0"/>
    <x v="1"/>
    <n v="1"/>
    <m/>
    <s v="website"/>
    <n v="33.33"/>
    <n v="33.33"/>
  </r>
  <r>
    <s v="SK-1-flow-type"/>
    <x v="15"/>
    <s v="SK-1"/>
    <x v="0"/>
    <s v="flow-type"/>
    <x v="11"/>
    <x v="0"/>
    <x v="1"/>
    <x v="1"/>
    <n v="21"/>
    <n v="1.8599999999999998E-2"/>
    <x v="0"/>
    <x v="3"/>
    <n v="0"/>
    <x v="0"/>
    <n v="0"/>
    <n v="0"/>
    <m/>
    <n v="1"/>
    <n v="1"/>
    <n v="0"/>
    <x v="0"/>
    <n v="0"/>
    <m/>
    <s v="pdf"/>
    <n v="16.664999999999999"/>
    <n v="0"/>
  </r>
  <r>
    <s v="SK-1-sector"/>
    <x v="15"/>
    <s v="SK-1"/>
    <x v="8"/>
    <s v="sector"/>
    <x v="12"/>
    <x v="0"/>
    <x v="1"/>
    <x v="1"/>
    <n v="24"/>
    <n v="1.8599999999999998E-2"/>
    <x v="0"/>
    <x v="1"/>
    <n v="33.33"/>
    <x v="1"/>
    <n v="0"/>
    <n v="0"/>
    <m/>
    <n v="1"/>
    <n v="1"/>
    <n v="0"/>
    <x v="1"/>
    <n v="1"/>
    <m/>
    <s v="website"/>
    <n v="33.33"/>
    <n v="33.33"/>
  </r>
  <r>
    <s v="SK-1-location"/>
    <x v="15"/>
    <s v="SK-1"/>
    <x v="8"/>
    <s v="location"/>
    <x v="13"/>
    <x v="0"/>
    <x v="1"/>
    <x v="1"/>
    <n v="25"/>
    <n v="1.8599999999999998E-2"/>
    <x v="0"/>
    <x v="1"/>
    <n v="33.33"/>
    <x v="1"/>
    <n v="0"/>
    <n v="0"/>
    <m/>
    <n v="1"/>
    <n v="1"/>
    <n v="0"/>
    <x v="1"/>
    <n v="1"/>
    <m/>
    <s v="website"/>
    <n v="33.33"/>
    <n v="33.33"/>
  </r>
  <r>
    <s v="SK-1-tied-aid-status"/>
    <x v="15"/>
    <s v="SK-1"/>
    <x v="0"/>
    <s v="tied-aid-status"/>
    <x v="14"/>
    <x v="0"/>
    <x v="1"/>
    <x v="1"/>
    <n v="26"/>
    <n v="1.8599999999999998E-2"/>
    <x v="0"/>
    <x v="0"/>
    <n v="0"/>
    <x v="0"/>
    <n v="0"/>
    <n v="0"/>
    <m/>
    <n v="1"/>
    <n v="1"/>
    <n v="0"/>
    <x v="0"/>
    <n v="0"/>
    <m/>
    <m/>
    <n v="0"/>
    <n v="0"/>
  </r>
  <r>
    <s v="SK-1-expenditure-actual"/>
    <x v="15"/>
    <s v="SK-1"/>
    <x v="0"/>
    <s v="expenditure-actual"/>
    <x v="15"/>
    <x v="0"/>
    <x v="2"/>
    <x v="2"/>
    <n v="35"/>
    <n v="3.2500000000000001E-2"/>
    <x v="0"/>
    <x v="0"/>
    <n v="0"/>
    <x v="0"/>
    <n v="0"/>
    <n v="0"/>
    <m/>
    <n v="1"/>
    <n v="1"/>
    <n v="0"/>
    <x v="0"/>
    <n v="0"/>
    <m/>
    <m/>
    <n v="0"/>
    <n v="0"/>
  </r>
  <r>
    <s v="SK-1-cost-overall"/>
    <x v="15"/>
    <s v="SK-1"/>
    <x v="0"/>
    <s v="cost-overall"/>
    <x v="16"/>
    <x v="0"/>
    <x v="2"/>
    <x v="2"/>
    <n v="33"/>
    <n v="3.2500000000000001E-2"/>
    <x v="0"/>
    <x v="0"/>
    <n v="0"/>
    <x v="0"/>
    <n v="0"/>
    <n v="0"/>
    <m/>
    <n v="1"/>
    <n v="1"/>
    <n v="0"/>
    <x v="0"/>
    <n v="0"/>
    <m/>
    <m/>
    <n v="0"/>
    <n v="0"/>
  </r>
  <r>
    <s v="SK-1-expenditure-planned"/>
    <x v="15"/>
    <s v="SK-1"/>
    <x v="2"/>
    <s v="expenditure-planned"/>
    <x v="17"/>
    <x v="0"/>
    <x v="2"/>
    <x v="2"/>
    <n v="34"/>
    <n v="3.2500000000000001E-2"/>
    <x v="0"/>
    <x v="1"/>
    <n v="33.33"/>
    <x v="1"/>
    <n v="0"/>
    <n v="0"/>
    <m/>
    <n v="1"/>
    <n v="1"/>
    <n v="0"/>
    <x v="1"/>
    <n v="1"/>
    <m/>
    <s v="website"/>
    <n v="33.33"/>
    <n v="33.33"/>
  </r>
  <r>
    <s v="SK-1-budget-identifier"/>
    <x v="15"/>
    <s v="SK-1"/>
    <x v="0"/>
    <s v="budget-identifier"/>
    <x v="18"/>
    <x v="0"/>
    <x v="2"/>
    <x v="2"/>
    <n v="36"/>
    <n v="3.2500000000000001E-2"/>
    <x v="0"/>
    <x v="0"/>
    <n v="0"/>
    <x v="0"/>
    <n v="0"/>
    <n v="0"/>
    <m/>
    <n v="1"/>
    <n v="1"/>
    <n v="0"/>
    <x v="0"/>
    <n v="0"/>
    <m/>
    <m/>
    <n v="0"/>
    <n v="0"/>
  </r>
  <r>
    <s v="SK-1-conditions"/>
    <x v="15"/>
    <s v="SK-1"/>
    <x v="0"/>
    <s v="conditions"/>
    <x v="19"/>
    <x v="0"/>
    <x v="3"/>
    <x v="3"/>
    <n v="39"/>
    <n v="4.3299999999999998E-2"/>
    <x v="0"/>
    <x v="2"/>
    <n v="0"/>
    <x v="0"/>
    <n v="0"/>
    <n v="0"/>
    <m/>
    <n v="1"/>
    <n v="1"/>
    <n v="0"/>
    <x v="0"/>
    <n v="0"/>
    <m/>
    <s v="document"/>
    <n v="50"/>
    <n v="0"/>
  </r>
  <r>
    <s v="SK-1-impact-appraisals"/>
    <x v="15"/>
    <s v="SK-1"/>
    <x v="0"/>
    <s v="impact-appraisals"/>
    <x v="20"/>
    <x v="0"/>
    <x v="3"/>
    <x v="3"/>
    <n v="38"/>
    <n v="4.3299999999999998E-2"/>
    <x v="0"/>
    <x v="2"/>
    <n v="0"/>
    <x v="0"/>
    <n v="0"/>
    <n v="0"/>
    <m/>
    <n v="1"/>
    <n v="1"/>
    <n v="0"/>
    <x v="2"/>
    <n v="0"/>
    <m/>
    <s v="document"/>
    <n v="50"/>
    <n v="0"/>
  </r>
  <r>
    <s v="SK-1-results"/>
    <x v="15"/>
    <s v="SK-1"/>
    <x v="0"/>
    <s v="results"/>
    <x v="21"/>
    <x v="0"/>
    <x v="3"/>
    <x v="3"/>
    <n v="37"/>
    <n v="4.3299999999999998E-2"/>
    <x v="0"/>
    <x v="3"/>
    <n v="0"/>
    <x v="0"/>
    <n v="0"/>
    <n v="0"/>
    <m/>
    <n v="1"/>
    <n v="1"/>
    <n v="0"/>
    <x v="2"/>
    <n v="0"/>
    <m/>
    <s v="pdf"/>
    <n v="16.664999999999999"/>
    <n v="0"/>
  </r>
  <r>
    <s v="SK-1-budget"/>
    <x v="15"/>
    <s v="SK-1"/>
    <x v="0"/>
    <s v="budget"/>
    <x v="22"/>
    <x v="0"/>
    <x v="4"/>
    <x v="4"/>
    <n v="30"/>
    <n v="2.1700000000000001E-2"/>
    <x v="0"/>
    <x v="2"/>
    <n v="0"/>
    <x v="0"/>
    <n v="0"/>
    <n v="0"/>
    <m/>
    <n v="1"/>
    <n v="1"/>
    <n v="0"/>
    <x v="2"/>
    <n v="0"/>
    <m/>
    <s v="document"/>
    <n v="50"/>
    <n v="0"/>
  </r>
  <r>
    <s v="SK-1-contracts"/>
    <x v="15"/>
    <s v="SK-1"/>
    <x v="3"/>
    <s v="contracts"/>
    <x v="23"/>
    <x v="0"/>
    <x v="4"/>
    <x v="4"/>
    <n v="31"/>
    <n v="2.1700000000000001E-2"/>
    <x v="0"/>
    <x v="2"/>
    <n v="50"/>
    <x v="2"/>
    <n v="0"/>
    <n v="0"/>
    <m/>
    <n v="1"/>
    <n v="1"/>
    <n v="0"/>
    <x v="1"/>
    <n v="1"/>
    <m/>
    <s v="document"/>
    <n v="50"/>
    <n v="50"/>
  </r>
  <r>
    <s v="SK-1-evaluations"/>
    <x v="15"/>
    <s v="SK-1"/>
    <x v="3"/>
    <s v="evaluations"/>
    <x v="24"/>
    <x v="0"/>
    <x v="4"/>
    <x v="4"/>
    <n v="28"/>
    <n v="2.1700000000000001E-2"/>
    <x v="0"/>
    <x v="2"/>
    <n v="50"/>
    <x v="2"/>
    <n v="0"/>
    <n v="0"/>
    <m/>
    <n v="1"/>
    <n v="1"/>
    <n v="0"/>
    <x v="1"/>
    <n v="1"/>
    <m/>
    <s v="document"/>
    <n v="50"/>
    <n v="50"/>
  </r>
  <r>
    <s v="SK-1-mou"/>
    <x v="15"/>
    <s v="SK-1"/>
    <x v="0"/>
    <s v="mou"/>
    <x v="25"/>
    <x v="0"/>
    <x v="4"/>
    <x v="4"/>
    <n v="27"/>
    <n v="2.1700000000000001E-2"/>
    <x v="0"/>
    <x v="2"/>
    <n v="0"/>
    <x v="0"/>
    <n v="0"/>
    <n v="0"/>
    <m/>
    <n v="1"/>
    <n v="1"/>
    <n v="0"/>
    <x v="2"/>
    <n v="0"/>
    <m/>
    <s v="document"/>
    <n v="50"/>
    <n v="0"/>
  </r>
  <r>
    <s v="SK-1-objectives"/>
    <x v="15"/>
    <s v="SK-1"/>
    <x v="3"/>
    <s v="objectives"/>
    <x v="26"/>
    <x v="0"/>
    <x v="4"/>
    <x v="4"/>
    <n v="29"/>
    <n v="2.1700000000000001E-2"/>
    <x v="0"/>
    <x v="2"/>
    <n v="50"/>
    <x v="2"/>
    <n v="0"/>
    <n v="0"/>
    <m/>
    <n v="1"/>
    <n v="1"/>
    <n v="0"/>
    <x v="1"/>
    <n v="1"/>
    <m/>
    <s v="document"/>
    <n v="50"/>
    <n v="50"/>
  </r>
  <r>
    <s v="SK-1-tenders"/>
    <x v="15"/>
    <s v="SK-1"/>
    <x v="0"/>
    <s v="tenders"/>
    <x v="27"/>
    <x v="0"/>
    <x v="4"/>
    <x v="4"/>
    <n v="32"/>
    <n v="2.1700000000000001E-2"/>
    <x v="0"/>
    <x v="2"/>
    <n v="0"/>
    <x v="0"/>
    <n v="0"/>
    <n v="0"/>
    <m/>
    <n v="1"/>
    <n v="1"/>
    <n v="0"/>
    <x v="0"/>
    <n v="0"/>
    <m/>
    <s v="document"/>
    <n v="50"/>
    <n v="0"/>
  </r>
  <r>
    <s v="SK-1-audit"/>
    <x v="15"/>
    <s v="SK-1"/>
    <x v="0"/>
    <s v="audit"/>
    <x v="28"/>
    <x v="1"/>
    <x v="2"/>
    <x v="5"/>
    <n v="11"/>
    <n v="4.1700000000000001E-2"/>
    <x v="0"/>
    <x v="2"/>
    <n v="0"/>
    <x v="0"/>
    <n v="0"/>
    <n v="0"/>
    <m/>
    <n v="1"/>
    <n v="1"/>
    <n v="0"/>
    <x v="0"/>
    <n v="0"/>
    <m/>
    <s v="document"/>
    <n v="50"/>
    <n v="0"/>
  </r>
  <r>
    <s v="SK-1-total-budget"/>
    <x v="15"/>
    <s v="SK-1"/>
    <x v="5"/>
    <s v="total-budget"/>
    <x v="29"/>
    <x v="1"/>
    <x v="2"/>
    <x v="5"/>
    <n v="9"/>
    <n v="4.1700000000000001E-2"/>
    <x v="0"/>
    <x v="3"/>
    <n v="11.11"/>
    <x v="3"/>
    <n v="0"/>
    <n v="0"/>
    <m/>
    <n v="1"/>
    <n v="1"/>
    <n v="0"/>
    <x v="3"/>
    <n v="0"/>
    <n v="2"/>
    <s v="pdf"/>
    <n v="16.664999999999999"/>
    <n v="11.11"/>
  </r>
  <r>
    <s v="SK-1-disaggregated-budgets"/>
    <x v="15"/>
    <s v="SK-1"/>
    <x v="0"/>
    <s v="disaggregated-budgets"/>
    <x v="30"/>
    <x v="1"/>
    <x v="2"/>
    <x v="5"/>
    <n v="10"/>
    <n v="4.1700000000000001E-2"/>
    <x v="0"/>
    <x v="0"/>
    <n v="0"/>
    <x v="0"/>
    <n v="0"/>
    <n v="0"/>
    <m/>
    <n v="1"/>
    <n v="1"/>
    <n v="0"/>
    <x v="3"/>
    <n v="0"/>
    <n v="0"/>
    <m/>
    <n v="0"/>
    <n v="0"/>
  </r>
  <r>
    <s v="SK-1-strategy"/>
    <x v="15"/>
    <s v="SK-1"/>
    <x v="6"/>
    <s v="strategy"/>
    <x v="31"/>
    <x v="1"/>
    <x v="5"/>
    <x v="6"/>
    <n v="4"/>
    <n v="2.5000000000000001E-2"/>
    <x v="0"/>
    <x v="2"/>
    <n v="50"/>
    <x v="2"/>
    <n v="0"/>
    <n v="0"/>
    <m/>
    <n v="1"/>
    <n v="1"/>
    <n v="0"/>
    <x v="1"/>
    <n v="1"/>
    <m/>
    <s v="document"/>
    <n v="50"/>
    <n v="50"/>
  </r>
  <r>
    <s v="SK-1-annual-report"/>
    <x v="15"/>
    <s v="SK-1"/>
    <x v="6"/>
    <s v="annual-report"/>
    <x v="32"/>
    <x v="1"/>
    <x v="5"/>
    <x v="6"/>
    <n v="5"/>
    <n v="2.5000000000000001E-2"/>
    <x v="0"/>
    <x v="2"/>
    <n v="50"/>
    <x v="2"/>
    <n v="0"/>
    <n v="0"/>
    <m/>
    <n v="1"/>
    <n v="1"/>
    <n v="0"/>
    <x v="1"/>
    <n v="1"/>
    <m/>
    <s v="document"/>
    <n v="50"/>
    <n v="50"/>
  </r>
  <r>
    <s v="SK-1-allocation"/>
    <x v="15"/>
    <s v="SK-1"/>
    <x v="6"/>
    <s v="allocation"/>
    <x v="33"/>
    <x v="1"/>
    <x v="5"/>
    <x v="6"/>
    <n v="6"/>
    <n v="2.5000000000000001E-2"/>
    <x v="0"/>
    <x v="2"/>
    <n v="50"/>
    <x v="2"/>
    <n v="0"/>
    <n v="0"/>
    <m/>
    <n v="1"/>
    <n v="1"/>
    <n v="0"/>
    <x v="1"/>
    <n v="1"/>
    <m/>
    <s v="document"/>
    <n v="50"/>
    <n v="50"/>
  </r>
  <r>
    <s v="SK-1-procurement-policy"/>
    <x v="15"/>
    <s v="SK-1"/>
    <x v="6"/>
    <s v="procurement-policy"/>
    <x v="34"/>
    <x v="1"/>
    <x v="5"/>
    <x v="6"/>
    <n v="7"/>
    <n v="2.5000000000000001E-2"/>
    <x v="0"/>
    <x v="2"/>
    <n v="50"/>
    <x v="2"/>
    <n v="0"/>
    <n v="0"/>
    <m/>
    <n v="1"/>
    <n v="1"/>
    <n v="0"/>
    <x v="1"/>
    <n v="1"/>
    <m/>
    <s v="document"/>
    <n v="50"/>
    <n v="50"/>
  </r>
  <r>
    <s v="SK-1-country-strategy"/>
    <x v="15"/>
    <s v="SK-1"/>
    <x v="0"/>
    <s v="country-strategy"/>
    <x v="35"/>
    <x v="1"/>
    <x v="5"/>
    <x v="6"/>
    <n v="8"/>
    <n v="2.5000000000000001E-2"/>
    <x v="0"/>
    <x v="2"/>
    <n v="0"/>
    <x v="0"/>
    <n v="0"/>
    <n v="0"/>
    <m/>
    <n v="1"/>
    <n v="1"/>
    <n v="0"/>
    <x v="2"/>
    <n v="0"/>
    <m/>
    <s v="document"/>
    <n v="50"/>
    <n v="0"/>
  </r>
  <r>
    <s v="SK-1-foia"/>
    <x v="15"/>
    <s v="SK-1"/>
    <x v="15"/>
    <s v="foia"/>
    <x v="36"/>
    <x v="2"/>
    <x v="6"/>
    <x v="7"/>
    <n v="1"/>
    <n v="3.3300000000000003E-2"/>
    <x v="0"/>
    <x v="5"/>
    <n v="66.66"/>
    <x v="6"/>
    <n v="0"/>
    <n v="0"/>
    <m/>
    <n v="1"/>
    <n v="1"/>
    <n v="0"/>
    <x v="3"/>
    <n v="0"/>
    <n v="66.66"/>
    <m/>
    <n v="0"/>
    <n v="66.66"/>
  </r>
  <r>
    <s v="SK-1-accessibility"/>
    <x v="15"/>
    <s v="SK-1"/>
    <x v="7"/>
    <s v="accessibility"/>
    <x v="37"/>
    <x v="2"/>
    <x v="6"/>
    <x v="7"/>
    <n v="3"/>
    <n v="3.3300000000000003E-2"/>
    <x v="0"/>
    <x v="5"/>
    <n v="33.33"/>
    <x v="1"/>
    <n v="0"/>
    <n v="0"/>
    <m/>
    <n v="1"/>
    <n v="1"/>
    <n v="0"/>
    <x v="3"/>
    <n v="0"/>
    <n v="33.33"/>
    <m/>
    <n v="0"/>
    <n v="33.33"/>
  </r>
  <r>
    <s v="SK-1-implementation-schedules"/>
    <x v="15"/>
    <s v="SK-1"/>
    <x v="0"/>
    <s v="implementation-schedules"/>
    <x v="38"/>
    <x v="2"/>
    <x v="6"/>
    <x v="7"/>
    <n v="2"/>
    <n v="3.3300000000000003E-2"/>
    <x v="0"/>
    <x v="5"/>
    <n v="0"/>
    <x v="0"/>
    <n v="0"/>
    <n v="0"/>
    <m/>
    <n v="1"/>
    <n v="1"/>
    <n v="0"/>
    <x v="3"/>
    <n v="0"/>
    <n v="0"/>
    <m/>
    <n v="0"/>
    <n v="0"/>
  </r>
  <r>
    <s v="SI-1-dates-actual"/>
    <x v="16"/>
    <s v="SI-1"/>
    <x v="0"/>
    <s v="dates-actual"/>
    <x v="0"/>
    <x v="0"/>
    <x v="0"/>
    <x v="0"/>
    <n v="17"/>
    <n v="1.6299999999999999E-2"/>
    <x v="0"/>
    <x v="0"/>
    <n v="0"/>
    <x v="0"/>
    <n v="0"/>
    <n v="0"/>
    <m/>
    <n v="1"/>
    <n v="1"/>
    <n v="0"/>
    <x v="0"/>
    <n v="0"/>
    <m/>
    <m/>
    <n v="0"/>
    <n v="0"/>
  </r>
  <r>
    <s v="SI-1-contact-details"/>
    <x v="16"/>
    <s v="SI-1"/>
    <x v="1"/>
    <s v="contact-details"/>
    <x v="1"/>
    <x v="0"/>
    <x v="0"/>
    <x v="0"/>
    <n v="19"/>
    <n v="1.6299999999999999E-2"/>
    <x v="0"/>
    <x v="1"/>
    <n v="33.33"/>
    <x v="1"/>
    <n v="0"/>
    <n v="0"/>
    <m/>
    <n v="1"/>
    <n v="1"/>
    <n v="0"/>
    <x v="1"/>
    <n v="1"/>
    <m/>
    <s v="website"/>
    <n v="33.33"/>
    <n v="33.33"/>
  </r>
  <r>
    <s v="SI-1-current-status"/>
    <x v="16"/>
    <s v="SI-1"/>
    <x v="1"/>
    <s v="current-status"/>
    <x v="2"/>
    <x v="0"/>
    <x v="0"/>
    <x v="0"/>
    <n v="18"/>
    <n v="1.6299999999999999E-2"/>
    <x v="0"/>
    <x v="1"/>
    <n v="33.33"/>
    <x v="1"/>
    <n v="0"/>
    <n v="0"/>
    <m/>
    <n v="1"/>
    <n v="1"/>
    <n v="0"/>
    <x v="1"/>
    <n v="1"/>
    <m/>
    <s v="website"/>
    <n v="33.33"/>
    <n v="33.33"/>
  </r>
  <r>
    <s v="SI-1-description"/>
    <x v="16"/>
    <s v="SI-1"/>
    <x v="1"/>
    <s v="description"/>
    <x v="3"/>
    <x v="0"/>
    <x v="0"/>
    <x v="0"/>
    <n v="15"/>
    <n v="1.6299999999999999E-2"/>
    <x v="0"/>
    <x v="1"/>
    <n v="33.33"/>
    <x v="1"/>
    <n v="0"/>
    <n v="0"/>
    <m/>
    <n v="1"/>
    <n v="1"/>
    <n v="0"/>
    <x v="1"/>
    <n v="1"/>
    <m/>
    <s v="website"/>
    <n v="33.33"/>
    <n v="33.33"/>
  </r>
  <r>
    <s v="SI-1-implementer"/>
    <x v="16"/>
    <s v="SI-1"/>
    <x v="0"/>
    <s v="implementer"/>
    <x v="4"/>
    <x v="0"/>
    <x v="0"/>
    <x v="0"/>
    <n v="12"/>
    <n v="1.6299999999999999E-2"/>
    <x v="0"/>
    <x v="1"/>
    <n v="0"/>
    <x v="0"/>
    <n v="0"/>
    <n v="0"/>
    <m/>
    <n v="1"/>
    <n v="1"/>
    <n v="0"/>
    <x v="2"/>
    <n v="0"/>
    <m/>
    <s v="website"/>
    <n v="33.33"/>
    <n v="0"/>
  </r>
  <r>
    <s v="SI-1-dates-planned"/>
    <x v="16"/>
    <s v="SI-1"/>
    <x v="1"/>
    <s v="dates-planned"/>
    <x v="5"/>
    <x v="0"/>
    <x v="0"/>
    <x v="0"/>
    <n v="16"/>
    <n v="1.6299999999999999E-2"/>
    <x v="0"/>
    <x v="1"/>
    <n v="33.33"/>
    <x v="1"/>
    <n v="0"/>
    <n v="0"/>
    <m/>
    <n v="1"/>
    <n v="1"/>
    <n v="0"/>
    <x v="1"/>
    <n v="1"/>
    <m/>
    <s v="website"/>
    <n v="33.33"/>
    <n v="33.33"/>
  </r>
  <r>
    <s v="SI-1-title"/>
    <x v="16"/>
    <s v="SI-1"/>
    <x v="1"/>
    <s v="title"/>
    <x v="6"/>
    <x v="0"/>
    <x v="0"/>
    <x v="0"/>
    <n v="14"/>
    <n v="1.6299999999999999E-2"/>
    <x v="0"/>
    <x v="1"/>
    <n v="33.33"/>
    <x v="1"/>
    <n v="0"/>
    <n v="0"/>
    <m/>
    <n v="1"/>
    <n v="1"/>
    <n v="0"/>
    <x v="1"/>
    <n v="1"/>
    <m/>
    <s v="website"/>
    <n v="33.33"/>
    <n v="33.33"/>
  </r>
  <r>
    <s v="SI-1-unique-id"/>
    <x v="16"/>
    <s v="SI-1"/>
    <x v="1"/>
    <s v="unique-id"/>
    <x v="7"/>
    <x v="0"/>
    <x v="0"/>
    <x v="0"/>
    <n v="13"/>
    <n v="1.6299999999999999E-2"/>
    <x v="0"/>
    <x v="1"/>
    <n v="33.33"/>
    <x v="1"/>
    <n v="0"/>
    <n v="0"/>
    <m/>
    <n v="1"/>
    <n v="1"/>
    <n v="0"/>
    <x v="1"/>
    <n v="1"/>
    <m/>
    <s v="website"/>
    <n v="33.33"/>
    <n v="33.33"/>
  </r>
  <r>
    <s v="SI-1-aid-type"/>
    <x v="16"/>
    <s v="SI-1"/>
    <x v="8"/>
    <s v="aid-type"/>
    <x v="8"/>
    <x v="0"/>
    <x v="1"/>
    <x v="1"/>
    <n v="22"/>
    <n v="1.8599999999999998E-2"/>
    <x v="0"/>
    <x v="1"/>
    <n v="33.33"/>
    <x v="1"/>
    <n v="0"/>
    <n v="0"/>
    <m/>
    <n v="1"/>
    <n v="1"/>
    <n v="0"/>
    <x v="1"/>
    <n v="1"/>
    <m/>
    <s v="website"/>
    <n v="33.33"/>
    <n v="33.33"/>
  </r>
  <r>
    <s v="SI-1-collaboration-type"/>
    <x v="16"/>
    <s v="SI-1"/>
    <x v="8"/>
    <s v="collaboration-type"/>
    <x v="9"/>
    <x v="0"/>
    <x v="1"/>
    <x v="1"/>
    <n v="20"/>
    <n v="1.8599999999999998E-2"/>
    <x v="0"/>
    <x v="1"/>
    <n v="33.33"/>
    <x v="1"/>
    <n v="0"/>
    <n v="0"/>
    <m/>
    <n v="1"/>
    <n v="1"/>
    <n v="0"/>
    <x v="1"/>
    <n v="1"/>
    <m/>
    <s v="website"/>
    <n v="33.33"/>
    <n v="33.33"/>
  </r>
  <r>
    <s v="SI-1-finance-type"/>
    <x v="16"/>
    <s v="SI-1"/>
    <x v="8"/>
    <s v="finance-type"/>
    <x v="10"/>
    <x v="0"/>
    <x v="1"/>
    <x v="1"/>
    <n v="23"/>
    <n v="1.8599999999999998E-2"/>
    <x v="0"/>
    <x v="1"/>
    <n v="33.33"/>
    <x v="1"/>
    <n v="0"/>
    <n v="0"/>
    <m/>
    <n v="1"/>
    <n v="1"/>
    <n v="0"/>
    <x v="1"/>
    <n v="1"/>
    <m/>
    <s v="website"/>
    <n v="33.33"/>
    <n v="33.33"/>
  </r>
  <r>
    <s v="SI-1-flow-type"/>
    <x v="16"/>
    <s v="SI-1"/>
    <x v="8"/>
    <s v="flow-type"/>
    <x v="11"/>
    <x v="0"/>
    <x v="1"/>
    <x v="1"/>
    <n v="21"/>
    <n v="1.8599999999999998E-2"/>
    <x v="0"/>
    <x v="1"/>
    <n v="33.33"/>
    <x v="1"/>
    <n v="0"/>
    <n v="0"/>
    <m/>
    <n v="1"/>
    <n v="1"/>
    <n v="0"/>
    <x v="1"/>
    <n v="1"/>
    <m/>
    <s v="website"/>
    <n v="33.33"/>
    <n v="33.33"/>
  </r>
  <r>
    <s v="SI-1-sector"/>
    <x v="16"/>
    <s v="SI-1"/>
    <x v="8"/>
    <s v="sector"/>
    <x v="12"/>
    <x v="0"/>
    <x v="1"/>
    <x v="1"/>
    <n v="24"/>
    <n v="1.8599999999999998E-2"/>
    <x v="0"/>
    <x v="1"/>
    <n v="33.33"/>
    <x v="1"/>
    <n v="0"/>
    <n v="0"/>
    <m/>
    <n v="1"/>
    <n v="1"/>
    <n v="0"/>
    <x v="1"/>
    <n v="1"/>
    <m/>
    <s v="website"/>
    <n v="33.33"/>
    <n v="33.33"/>
  </r>
  <r>
    <s v="SI-1-location"/>
    <x v="16"/>
    <s v="SI-1"/>
    <x v="0"/>
    <s v="location"/>
    <x v="13"/>
    <x v="0"/>
    <x v="1"/>
    <x v="1"/>
    <n v="25"/>
    <n v="1.8599999999999998E-2"/>
    <x v="0"/>
    <x v="1"/>
    <n v="0"/>
    <x v="0"/>
    <n v="0"/>
    <n v="0"/>
    <m/>
    <n v="1"/>
    <n v="1"/>
    <n v="0"/>
    <x v="2"/>
    <n v="0"/>
    <m/>
    <s v="website"/>
    <n v="33.33"/>
    <n v="0"/>
  </r>
  <r>
    <s v="SI-1-tied-aid-status"/>
    <x v="16"/>
    <s v="SI-1"/>
    <x v="0"/>
    <s v="tied-aid-status"/>
    <x v="14"/>
    <x v="0"/>
    <x v="1"/>
    <x v="1"/>
    <n v="26"/>
    <n v="1.8599999999999998E-2"/>
    <x v="0"/>
    <x v="0"/>
    <n v="0"/>
    <x v="0"/>
    <n v="0"/>
    <n v="0"/>
    <m/>
    <n v="1"/>
    <n v="1"/>
    <n v="0"/>
    <x v="0"/>
    <n v="0"/>
    <m/>
    <m/>
    <n v="0"/>
    <n v="0"/>
  </r>
  <r>
    <s v="SI-1-expenditure-actual"/>
    <x v="16"/>
    <s v="SI-1"/>
    <x v="0"/>
    <s v="expenditure-actual"/>
    <x v="15"/>
    <x v="0"/>
    <x v="2"/>
    <x v="2"/>
    <n v="35"/>
    <n v="3.2500000000000001E-2"/>
    <x v="0"/>
    <x v="0"/>
    <n v="0"/>
    <x v="0"/>
    <n v="0"/>
    <n v="0"/>
    <m/>
    <n v="1"/>
    <n v="1"/>
    <n v="0"/>
    <x v="0"/>
    <n v="0"/>
    <m/>
    <m/>
    <n v="0"/>
    <n v="0"/>
  </r>
  <r>
    <s v="SI-1-cost-overall"/>
    <x v="16"/>
    <s v="SI-1"/>
    <x v="0"/>
    <s v="cost-overall"/>
    <x v="16"/>
    <x v="0"/>
    <x v="2"/>
    <x v="2"/>
    <n v="33"/>
    <n v="3.2500000000000001E-2"/>
    <x v="0"/>
    <x v="0"/>
    <n v="0"/>
    <x v="0"/>
    <n v="0"/>
    <n v="0"/>
    <m/>
    <n v="1"/>
    <n v="1"/>
    <n v="0"/>
    <x v="0"/>
    <n v="0"/>
    <m/>
    <m/>
    <n v="0"/>
    <n v="0"/>
  </r>
  <r>
    <s v="SI-1-expenditure-planned"/>
    <x v="16"/>
    <s v="SI-1"/>
    <x v="2"/>
    <s v="expenditure-planned"/>
    <x v="17"/>
    <x v="0"/>
    <x v="2"/>
    <x v="2"/>
    <n v="34"/>
    <n v="3.2500000000000001E-2"/>
    <x v="0"/>
    <x v="1"/>
    <n v="33.33"/>
    <x v="1"/>
    <n v="0"/>
    <n v="0"/>
    <m/>
    <n v="1"/>
    <n v="1"/>
    <n v="0"/>
    <x v="1"/>
    <n v="1"/>
    <m/>
    <s v="website"/>
    <n v="33.33"/>
    <n v="33.33"/>
  </r>
  <r>
    <s v="SI-1-budget-identifier"/>
    <x v="16"/>
    <s v="SI-1"/>
    <x v="0"/>
    <s v="budget-identifier"/>
    <x v="18"/>
    <x v="0"/>
    <x v="2"/>
    <x v="2"/>
    <n v="36"/>
    <n v="3.2500000000000001E-2"/>
    <x v="0"/>
    <x v="0"/>
    <n v="0"/>
    <x v="0"/>
    <n v="0"/>
    <n v="0"/>
    <m/>
    <n v="1"/>
    <n v="1"/>
    <n v="0"/>
    <x v="0"/>
    <n v="0"/>
    <m/>
    <m/>
    <n v="0"/>
    <n v="0"/>
  </r>
  <r>
    <s v="SI-1-conditions"/>
    <x v="16"/>
    <s v="SI-1"/>
    <x v="0"/>
    <s v="conditions"/>
    <x v="19"/>
    <x v="0"/>
    <x v="3"/>
    <x v="3"/>
    <n v="39"/>
    <n v="4.3299999999999998E-2"/>
    <x v="0"/>
    <x v="2"/>
    <n v="0"/>
    <x v="0"/>
    <n v="0"/>
    <n v="0"/>
    <m/>
    <n v="1"/>
    <n v="1"/>
    <n v="0"/>
    <x v="2"/>
    <n v="0"/>
    <m/>
    <s v="document"/>
    <n v="50"/>
    <n v="0"/>
  </r>
  <r>
    <s v="SI-1-impact-appraisals"/>
    <x v="16"/>
    <s v="SI-1"/>
    <x v="0"/>
    <s v="impact-appraisals"/>
    <x v="20"/>
    <x v="0"/>
    <x v="3"/>
    <x v="3"/>
    <n v="38"/>
    <n v="4.3299999999999998E-2"/>
    <x v="0"/>
    <x v="2"/>
    <n v="0"/>
    <x v="0"/>
    <n v="0"/>
    <n v="0"/>
    <m/>
    <n v="1"/>
    <n v="1"/>
    <n v="0"/>
    <x v="0"/>
    <n v="0"/>
    <m/>
    <s v="document"/>
    <n v="50"/>
    <n v="0"/>
  </r>
  <r>
    <s v="SI-1-results"/>
    <x v="16"/>
    <s v="SI-1"/>
    <x v="0"/>
    <s v="results"/>
    <x v="21"/>
    <x v="0"/>
    <x v="3"/>
    <x v="3"/>
    <n v="37"/>
    <n v="4.3299999999999998E-2"/>
    <x v="0"/>
    <x v="1"/>
    <n v="0"/>
    <x v="0"/>
    <n v="0"/>
    <n v="0"/>
    <m/>
    <n v="1"/>
    <n v="1"/>
    <n v="0"/>
    <x v="2"/>
    <n v="0"/>
    <m/>
    <s v="website"/>
    <n v="33.33"/>
    <n v="0"/>
  </r>
  <r>
    <s v="SI-1-budget"/>
    <x v="16"/>
    <s v="SI-1"/>
    <x v="0"/>
    <s v="budget"/>
    <x v="22"/>
    <x v="0"/>
    <x v="4"/>
    <x v="4"/>
    <n v="30"/>
    <n v="2.1700000000000001E-2"/>
    <x v="0"/>
    <x v="2"/>
    <n v="0"/>
    <x v="0"/>
    <n v="0"/>
    <n v="0"/>
    <m/>
    <n v="1"/>
    <n v="1"/>
    <n v="0"/>
    <x v="0"/>
    <n v="0"/>
    <m/>
    <s v="document"/>
    <n v="50"/>
    <n v="0"/>
  </r>
  <r>
    <s v="SI-1-contracts"/>
    <x v="16"/>
    <s v="SI-1"/>
    <x v="0"/>
    <s v="contracts"/>
    <x v="23"/>
    <x v="0"/>
    <x v="4"/>
    <x v="4"/>
    <n v="31"/>
    <n v="2.1700000000000001E-2"/>
    <x v="0"/>
    <x v="2"/>
    <n v="0"/>
    <x v="0"/>
    <n v="0"/>
    <n v="0"/>
    <m/>
    <n v="1"/>
    <n v="1"/>
    <n v="0"/>
    <x v="0"/>
    <n v="0"/>
    <m/>
    <s v="document"/>
    <n v="50"/>
    <n v="0"/>
  </r>
  <r>
    <s v="SI-1-evaluations"/>
    <x v="16"/>
    <s v="SI-1"/>
    <x v="0"/>
    <s v="evaluations"/>
    <x v="24"/>
    <x v="0"/>
    <x v="4"/>
    <x v="4"/>
    <n v="28"/>
    <n v="2.1700000000000001E-2"/>
    <x v="0"/>
    <x v="2"/>
    <n v="0"/>
    <x v="0"/>
    <n v="0"/>
    <n v="0"/>
    <m/>
    <n v="1"/>
    <n v="1"/>
    <n v="0"/>
    <x v="2"/>
    <n v="0"/>
    <m/>
    <s v="document"/>
    <n v="50"/>
    <n v="0"/>
  </r>
  <r>
    <s v="SI-1-mou"/>
    <x v="16"/>
    <s v="SI-1"/>
    <x v="0"/>
    <s v="mou"/>
    <x v="25"/>
    <x v="0"/>
    <x v="4"/>
    <x v="4"/>
    <n v="27"/>
    <n v="2.1700000000000001E-2"/>
    <x v="0"/>
    <x v="2"/>
    <n v="0"/>
    <x v="0"/>
    <n v="0"/>
    <n v="0"/>
    <m/>
    <n v="1"/>
    <n v="1"/>
    <n v="0"/>
    <x v="2"/>
    <n v="0"/>
    <m/>
    <s v="document"/>
    <n v="50"/>
    <n v="0"/>
  </r>
  <r>
    <s v="SI-1-objectives"/>
    <x v="16"/>
    <s v="SI-1"/>
    <x v="0"/>
    <s v="objectives"/>
    <x v="26"/>
    <x v="0"/>
    <x v="4"/>
    <x v="4"/>
    <n v="29"/>
    <n v="2.1700000000000001E-2"/>
    <x v="0"/>
    <x v="2"/>
    <n v="0"/>
    <x v="0"/>
    <n v="0"/>
    <n v="0"/>
    <m/>
    <n v="1"/>
    <n v="1"/>
    <n v="0"/>
    <x v="2"/>
    <n v="0"/>
    <m/>
    <s v="document"/>
    <n v="50"/>
    <n v="0"/>
  </r>
  <r>
    <s v="SI-1-tenders"/>
    <x v="16"/>
    <s v="SI-1"/>
    <x v="3"/>
    <s v="tenders"/>
    <x v="27"/>
    <x v="0"/>
    <x v="4"/>
    <x v="4"/>
    <n v="32"/>
    <n v="2.1700000000000001E-2"/>
    <x v="0"/>
    <x v="2"/>
    <n v="50"/>
    <x v="2"/>
    <n v="0"/>
    <n v="0"/>
    <m/>
    <n v="1"/>
    <n v="1"/>
    <n v="0"/>
    <x v="1"/>
    <n v="1"/>
    <m/>
    <s v="document"/>
    <n v="50"/>
    <n v="50"/>
  </r>
  <r>
    <s v="SI-1-audit"/>
    <x v="16"/>
    <s v="SI-1"/>
    <x v="0"/>
    <s v="audit"/>
    <x v="28"/>
    <x v="1"/>
    <x v="2"/>
    <x v="5"/>
    <n v="11"/>
    <n v="4.1700000000000001E-2"/>
    <x v="0"/>
    <x v="2"/>
    <n v="0"/>
    <x v="0"/>
    <n v="0"/>
    <n v="0"/>
    <m/>
    <n v="1"/>
    <n v="1"/>
    <n v="0"/>
    <x v="2"/>
    <n v="0"/>
    <m/>
    <s v="document"/>
    <n v="50"/>
    <n v="0"/>
  </r>
  <r>
    <s v="SI-1-total-budget"/>
    <x v="16"/>
    <s v="SI-1"/>
    <x v="5"/>
    <s v="total-budget"/>
    <x v="29"/>
    <x v="1"/>
    <x v="2"/>
    <x v="5"/>
    <n v="9"/>
    <n v="4.1700000000000001E-2"/>
    <x v="0"/>
    <x v="3"/>
    <n v="11.11"/>
    <x v="3"/>
    <n v="0"/>
    <n v="0"/>
    <m/>
    <n v="1"/>
    <n v="1"/>
    <n v="0"/>
    <x v="3"/>
    <n v="0"/>
    <n v="2"/>
    <s v="pdf"/>
    <n v="16.664999999999999"/>
    <n v="11.11"/>
  </r>
  <r>
    <s v="SI-1-disaggregated-budgets"/>
    <x v="16"/>
    <s v="SI-1"/>
    <x v="5"/>
    <s v="disaggregated-budgets"/>
    <x v="30"/>
    <x v="1"/>
    <x v="2"/>
    <x v="5"/>
    <n v="10"/>
    <n v="4.1700000000000001E-2"/>
    <x v="0"/>
    <x v="3"/>
    <n v="11.11"/>
    <x v="3"/>
    <n v="0"/>
    <n v="0"/>
    <m/>
    <n v="1"/>
    <n v="1"/>
    <n v="0"/>
    <x v="3"/>
    <n v="0"/>
    <n v="2"/>
    <s v="pdf"/>
    <n v="16.664999999999999"/>
    <n v="11.11"/>
  </r>
  <r>
    <s v="SI-1-strategy"/>
    <x v="16"/>
    <s v="SI-1"/>
    <x v="6"/>
    <s v="strategy"/>
    <x v="31"/>
    <x v="1"/>
    <x v="5"/>
    <x v="6"/>
    <n v="4"/>
    <n v="2.5000000000000001E-2"/>
    <x v="0"/>
    <x v="2"/>
    <n v="50"/>
    <x v="2"/>
    <n v="0"/>
    <n v="0"/>
    <m/>
    <n v="1"/>
    <n v="1"/>
    <n v="0"/>
    <x v="1"/>
    <n v="1"/>
    <m/>
    <s v="document"/>
    <n v="50"/>
    <n v="50"/>
  </r>
  <r>
    <s v="SI-1-annual-report"/>
    <x v="16"/>
    <s v="SI-1"/>
    <x v="6"/>
    <s v="annual-report"/>
    <x v="32"/>
    <x v="1"/>
    <x v="5"/>
    <x v="6"/>
    <n v="5"/>
    <n v="2.5000000000000001E-2"/>
    <x v="0"/>
    <x v="2"/>
    <n v="50"/>
    <x v="2"/>
    <n v="0"/>
    <n v="0"/>
    <m/>
    <n v="1"/>
    <n v="1"/>
    <n v="0"/>
    <x v="1"/>
    <n v="1"/>
    <m/>
    <s v="document"/>
    <n v="50"/>
    <n v="50"/>
  </r>
  <r>
    <s v="SI-1-allocation"/>
    <x v="16"/>
    <s v="SI-1"/>
    <x v="6"/>
    <s v="allocation"/>
    <x v="33"/>
    <x v="1"/>
    <x v="5"/>
    <x v="6"/>
    <n v="6"/>
    <n v="2.5000000000000001E-2"/>
    <x v="0"/>
    <x v="2"/>
    <n v="50"/>
    <x v="2"/>
    <n v="0"/>
    <n v="0"/>
    <m/>
    <n v="1"/>
    <n v="1"/>
    <n v="0"/>
    <x v="1"/>
    <n v="1"/>
    <m/>
    <s v="document"/>
    <n v="50"/>
    <n v="50"/>
  </r>
  <r>
    <s v="SI-1-procurement-policy"/>
    <x v="16"/>
    <s v="SI-1"/>
    <x v="6"/>
    <s v="procurement-policy"/>
    <x v="34"/>
    <x v="1"/>
    <x v="5"/>
    <x v="6"/>
    <n v="7"/>
    <n v="2.5000000000000001E-2"/>
    <x v="0"/>
    <x v="2"/>
    <n v="50"/>
    <x v="2"/>
    <n v="0"/>
    <n v="0"/>
    <m/>
    <n v="1"/>
    <n v="1"/>
    <n v="0"/>
    <x v="1"/>
    <n v="1"/>
    <m/>
    <s v="document"/>
    <n v="50"/>
    <n v="50"/>
  </r>
  <r>
    <s v="SI-1-country-strategy"/>
    <x v="16"/>
    <s v="SI-1"/>
    <x v="0"/>
    <s v="country-strategy"/>
    <x v="35"/>
    <x v="1"/>
    <x v="5"/>
    <x v="6"/>
    <n v="8"/>
    <n v="2.5000000000000001E-2"/>
    <x v="0"/>
    <x v="2"/>
    <n v="0"/>
    <x v="0"/>
    <n v="0"/>
    <n v="0"/>
    <m/>
    <n v="1"/>
    <n v="1"/>
    <n v="0"/>
    <x v="2"/>
    <n v="0"/>
    <m/>
    <s v="document"/>
    <n v="50"/>
    <n v="0"/>
  </r>
  <r>
    <s v="SI-1-foia"/>
    <x v="16"/>
    <s v="SI-1"/>
    <x v="10"/>
    <s v="foia"/>
    <x v="36"/>
    <x v="2"/>
    <x v="6"/>
    <x v="7"/>
    <n v="1"/>
    <n v="3.3300000000000003E-2"/>
    <x v="0"/>
    <x v="5"/>
    <n v="100"/>
    <x v="5"/>
    <n v="0"/>
    <n v="0"/>
    <m/>
    <n v="1"/>
    <n v="1"/>
    <n v="0"/>
    <x v="3"/>
    <n v="0"/>
    <n v="100"/>
    <m/>
    <n v="0"/>
    <n v="100"/>
  </r>
  <r>
    <s v="SI-1-accessibility"/>
    <x v="16"/>
    <s v="SI-1"/>
    <x v="0"/>
    <s v="accessibility"/>
    <x v="37"/>
    <x v="2"/>
    <x v="6"/>
    <x v="7"/>
    <n v="3"/>
    <n v="3.3300000000000003E-2"/>
    <x v="0"/>
    <x v="5"/>
    <n v="0"/>
    <x v="0"/>
    <n v="0"/>
    <n v="0"/>
    <m/>
    <n v="1"/>
    <n v="1"/>
    <n v="0"/>
    <x v="3"/>
    <n v="0"/>
    <n v="0"/>
    <m/>
    <n v="0"/>
    <n v="0"/>
  </r>
  <r>
    <s v="SI-1-implementation-schedules"/>
    <x v="16"/>
    <s v="SI-1"/>
    <x v="0"/>
    <s v="implementation-schedules"/>
    <x v="38"/>
    <x v="2"/>
    <x v="6"/>
    <x v="7"/>
    <n v="2"/>
    <n v="3.3300000000000003E-2"/>
    <x v="0"/>
    <x v="5"/>
    <n v="0"/>
    <x v="0"/>
    <n v="0"/>
    <n v="0"/>
    <m/>
    <n v="1"/>
    <n v="1"/>
    <n v="0"/>
    <x v="3"/>
    <n v="0"/>
    <n v="0"/>
    <m/>
    <n v="0"/>
    <n v="0"/>
  </r>
  <r>
    <s v="46012-dates-actual"/>
    <x v="17"/>
    <n v="46012"/>
    <x v="25"/>
    <s v="dates-actual"/>
    <x v="0"/>
    <x v="0"/>
    <x v="0"/>
    <x v="0"/>
    <n v="17"/>
    <n v="1.6299999999999999E-2"/>
    <x v="1"/>
    <x v="6"/>
    <n v="50"/>
    <x v="11"/>
    <n v="93.921698160199995"/>
    <n v="46.960849080099997"/>
    <s v="quarterly"/>
    <n v="0.9"/>
    <n v="0.9"/>
    <n v="42.264764172100001"/>
    <x v="3"/>
    <m/>
    <m/>
    <m/>
    <m/>
    <n v="0"/>
  </r>
  <r>
    <s v="46012-contact-details"/>
    <x v="17"/>
    <n v="46012"/>
    <x v="26"/>
    <s v="contact-details"/>
    <x v="1"/>
    <x v="0"/>
    <x v="0"/>
    <x v="0"/>
    <n v="19"/>
    <n v="1.6299999999999999E-2"/>
    <x v="1"/>
    <x v="6"/>
    <n v="50"/>
    <x v="12"/>
    <n v="100"/>
    <n v="50"/>
    <s v="quarterly"/>
    <n v="0.9"/>
    <n v="0.9"/>
    <n v="45"/>
    <x v="3"/>
    <m/>
    <m/>
    <m/>
    <m/>
    <n v="0"/>
  </r>
  <r>
    <s v="46012-current-status"/>
    <x v="17"/>
    <n v="46012"/>
    <x v="26"/>
    <s v="current-status"/>
    <x v="2"/>
    <x v="0"/>
    <x v="0"/>
    <x v="0"/>
    <n v="18"/>
    <n v="1.6299999999999999E-2"/>
    <x v="1"/>
    <x v="6"/>
    <n v="50"/>
    <x v="12"/>
    <n v="100"/>
    <n v="50"/>
    <s v="quarterly"/>
    <n v="0.9"/>
    <n v="0.9"/>
    <n v="45"/>
    <x v="3"/>
    <m/>
    <m/>
    <m/>
    <m/>
    <n v="0"/>
  </r>
  <r>
    <s v="46012-description"/>
    <x v="17"/>
    <n v="46012"/>
    <x v="27"/>
    <s v="description"/>
    <x v="3"/>
    <x v="0"/>
    <x v="0"/>
    <x v="0"/>
    <n v="15"/>
    <n v="1.6299999999999999E-2"/>
    <x v="1"/>
    <x v="6"/>
    <n v="50"/>
    <x v="13"/>
    <n v="99.613601236500003"/>
    <n v="49.8068006182"/>
    <s v="quarterly"/>
    <n v="0.9"/>
    <n v="0.9"/>
    <n v="44.826120556399999"/>
    <x v="3"/>
    <m/>
    <m/>
    <m/>
    <m/>
    <n v="0"/>
  </r>
  <r>
    <s v="46012-implementer"/>
    <x v="17"/>
    <n v="46012"/>
    <x v="26"/>
    <s v="implementer"/>
    <x v="4"/>
    <x v="0"/>
    <x v="0"/>
    <x v="0"/>
    <n v="12"/>
    <n v="1.6299999999999999E-2"/>
    <x v="1"/>
    <x v="6"/>
    <n v="50"/>
    <x v="12"/>
    <n v="100"/>
    <n v="50"/>
    <s v="quarterly"/>
    <n v="0.9"/>
    <n v="0.9"/>
    <n v="45"/>
    <x v="3"/>
    <m/>
    <m/>
    <m/>
    <m/>
    <n v="0"/>
  </r>
  <r>
    <s v="46012-dates-planned"/>
    <x v="17"/>
    <n v="46012"/>
    <x v="28"/>
    <s v="dates-planned"/>
    <x v="5"/>
    <x v="0"/>
    <x v="0"/>
    <x v="0"/>
    <n v="16"/>
    <n v="1.6299999999999999E-2"/>
    <x v="1"/>
    <x v="6"/>
    <n v="50"/>
    <x v="14"/>
    <n v="50"/>
    <n v="25"/>
    <s v="quarterly"/>
    <n v="0.9"/>
    <n v="0.9"/>
    <n v="22.5"/>
    <x v="3"/>
    <m/>
    <m/>
    <m/>
    <m/>
    <n v="0"/>
  </r>
  <r>
    <s v="46012-title"/>
    <x v="17"/>
    <n v="46012"/>
    <x v="26"/>
    <s v="title"/>
    <x v="6"/>
    <x v="0"/>
    <x v="0"/>
    <x v="0"/>
    <n v="14"/>
    <n v="1.6299999999999999E-2"/>
    <x v="1"/>
    <x v="6"/>
    <n v="50"/>
    <x v="12"/>
    <n v="100"/>
    <n v="50"/>
    <s v="quarterly"/>
    <n v="0.9"/>
    <n v="0.9"/>
    <n v="45"/>
    <x v="3"/>
    <m/>
    <m/>
    <m/>
    <m/>
    <n v="0"/>
  </r>
  <r>
    <s v="46012-unique-id"/>
    <x v="17"/>
    <n v="46012"/>
    <x v="26"/>
    <s v="unique-id"/>
    <x v="7"/>
    <x v="0"/>
    <x v="0"/>
    <x v="0"/>
    <n v="13"/>
    <n v="1.6299999999999999E-2"/>
    <x v="1"/>
    <x v="6"/>
    <n v="50"/>
    <x v="12"/>
    <n v="100"/>
    <n v="50"/>
    <s v="quarterly"/>
    <n v="0.9"/>
    <n v="0.9"/>
    <n v="45"/>
    <x v="3"/>
    <m/>
    <m/>
    <m/>
    <m/>
    <n v="0"/>
  </r>
  <r>
    <s v="46012-aid-type"/>
    <x v="17"/>
    <n v="46012"/>
    <x v="29"/>
    <s v="aid-type"/>
    <x v="8"/>
    <x v="0"/>
    <x v="1"/>
    <x v="1"/>
    <n v="22"/>
    <n v="1.8599999999999998E-2"/>
    <x v="1"/>
    <x v="6"/>
    <n v="50"/>
    <x v="12"/>
    <n v="100"/>
    <n v="50"/>
    <s v="quarterly"/>
    <n v="0.9"/>
    <n v="0.9"/>
    <n v="45"/>
    <x v="3"/>
    <m/>
    <m/>
    <m/>
    <m/>
    <n v="0"/>
  </r>
  <r>
    <s v="46012-collaboration-type"/>
    <x v="17"/>
    <n v="46012"/>
    <x v="29"/>
    <s v="collaboration-type"/>
    <x v="9"/>
    <x v="0"/>
    <x v="1"/>
    <x v="1"/>
    <n v="20"/>
    <n v="1.8599999999999998E-2"/>
    <x v="1"/>
    <x v="6"/>
    <n v="50"/>
    <x v="12"/>
    <n v="100"/>
    <n v="50"/>
    <s v="quarterly"/>
    <n v="0.9"/>
    <n v="0.9"/>
    <n v="45"/>
    <x v="3"/>
    <m/>
    <m/>
    <m/>
    <m/>
    <n v="0"/>
  </r>
  <r>
    <s v="46012-finance-type"/>
    <x v="17"/>
    <n v="46012"/>
    <x v="29"/>
    <s v="finance-type"/>
    <x v="10"/>
    <x v="0"/>
    <x v="1"/>
    <x v="1"/>
    <n v="23"/>
    <n v="1.8599999999999998E-2"/>
    <x v="1"/>
    <x v="6"/>
    <n v="50"/>
    <x v="12"/>
    <n v="100"/>
    <n v="50"/>
    <s v="quarterly"/>
    <n v="0.9"/>
    <n v="0.9"/>
    <n v="45"/>
    <x v="3"/>
    <m/>
    <m/>
    <m/>
    <m/>
    <n v="0"/>
  </r>
  <r>
    <s v="46012-flow-type"/>
    <x v="17"/>
    <n v="46012"/>
    <x v="30"/>
    <s v="flow-type"/>
    <x v="11"/>
    <x v="0"/>
    <x v="1"/>
    <x v="1"/>
    <n v="21"/>
    <n v="1.8599999999999998E-2"/>
    <x v="1"/>
    <x v="6"/>
    <n v="50"/>
    <x v="15"/>
    <n v="97.758887171599994"/>
    <n v="48.879443585799997"/>
    <s v="quarterly"/>
    <n v="0.9"/>
    <n v="0.9"/>
    <n v="43.991499227200002"/>
    <x v="3"/>
    <m/>
    <m/>
    <m/>
    <m/>
    <n v="0"/>
  </r>
  <r>
    <s v="46012-sector"/>
    <x v="17"/>
    <n v="46012"/>
    <x v="29"/>
    <s v="sector"/>
    <x v="12"/>
    <x v="0"/>
    <x v="1"/>
    <x v="1"/>
    <n v="24"/>
    <n v="1.8599999999999998E-2"/>
    <x v="1"/>
    <x v="6"/>
    <n v="50"/>
    <x v="12"/>
    <n v="100"/>
    <n v="50"/>
    <s v="quarterly"/>
    <n v="0.9"/>
    <n v="0.9"/>
    <n v="45"/>
    <x v="3"/>
    <m/>
    <m/>
    <m/>
    <m/>
    <n v="0"/>
  </r>
  <r>
    <s v="46012-tied-aid-status"/>
    <x v="17"/>
    <n v="46012"/>
    <x v="29"/>
    <s v="tied-aid-status"/>
    <x v="14"/>
    <x v="0"/>
    <x v="1"/>
    <x v="1"/>
    <n v="26"/>
    <n v="1.8599999999999998E-2"/>
    <x v="1"/>
    <x v="6"/>
    <n v="50"/>
    <x v="12"/>
    <n v="100"/>
    <n v="50"/>
    <s v="quarterly"/>
    <n v="0.9"/>
    <n v="0.9"/>
    <n v="45"/>
    <x v="3"/>
    <m/>
    <m/>
    <m/>
    <m/>
    <n v="0"/>
  </r>
  <r>
    <s v="46012-expenditure-actual"/>
    <x v="17"/>
    <n v="46012"/>
    <x v="31"/>
    <s v="expenditure-actual"/>
    <x v="15"/>
    <x v="0"/>
    <x v="2"/>
    <x v="2"/>
    <n v="35"/>
    <n v="3.2500000000000001E-2"/>
    <x v="1"/>
    <x v="6"/>
    <n v="50"/>
    <x v="16"/>
    <n v="90.262751159199993"/>
    <n v="45.131375579599997"/>
    <s v="quarterly"/>
    <n v="0.9"/>
    <n v="0.9"/>
    <n v="40.6182380216"/>
    <x v="3"/>
    <m/>
    <m/>
    <m/>
    <m/>
    <n v="0"/>
  </r>
  <r>
    <s v="46012-expenditure-planned"/>
    <x v="17"/>
    <n v="46012"/>
    <x v="32"/>
    <s v="expenditure-planned"/>
    <x v="17"/>
    <x v="0"/>
    <x v="2"/>
    <x v="2"/>
    <n v="34"/>
    <n v="3.2500000000000001E-2"/>
    <x v="1"/>
    <x v="6"/>
    <n v="50"/>
    <x v="17"/>
    <n v="99.845440494599998"/>
    <n v="49.922720247299999"/>
    <s v="quarterly"/>
    <n v="0.9"/>
    <n v="0.9"/>
    <n v="44.930448222599999"/>
    <x v="3"/>
    <m/>
    <m/>
    <m/>
    <m/>
    <n v="0"/>
  </r>
  <r>
    <s v="46012-conditions"/>
    <x v="17"/>
    <n v="46012"/>
    <x v="33"/>
    <s v="conditions"/>
    <x v="19"/>
    <x v="0"/>
    <x v="3"/>
    <x v="3"/>
    <n v="39"/>
    <n v="4.3299999999999998E-2"/>
    <x v="1"/>
    <x v="6"/>
    <n v="50"/>
    <x v="18"/>
    <n v="98.377125193200001"/>
    <n v="49.188562596600001"/>
    <s v="quarterly"/>
    <n v="0.9"/>
    <n v="0.9"/>
    <n v="44.269706336900001"/>
    <x v="3"/>
    <m/>
    <m/>
    <m/>
    <m/>
    <n v="0"/>
  </r>
  <r>
    <s v="46012-impact-appraisals"/>
    <x v="17"/>
    <n v="46012"/>
    <x v="34"/>
    <s v="impact-appraisals"/>
    <x v="20"/>
    <x v="0"/>
    <x v="3"/>
    <x v="3"/>
    <n v="38"/>
    <n v="4.3299999999999998E-2"/>
    <x v="1"/>
    <x v="6"/>
    <n v="50"/>
    <x v="17"/>
    <n v="99.845440494599998"/>
    <n v="49.922720247299999"/>
    <s v="quarterly"/>
    <n v="0.9"/>
    <n v="0.9"/>
    <n v="44.930448222599999"/>
    <x v="3"/>
    <m/>
    <m/>
    <m/>
    <m/>
    <n v="0"/>
  </r>
  <r>
    <s v="46012-results"/>
    <x v="17"/>
    <n v="46012"/>
    <x v="35"/>
    <s v="results"/>
    <x v="21"/>
    <x v="0"/>
    <x v="3"/>
    <x v="3"/>
    <n v="37"/>
    <n v="4.3299999999999998E-2"/>
    <x v="1"/>
    <x v="6"/>
    <n v="50"/>
    <x v="19"/>
    <n v="45.285935084999998"/>
    <n v="22.642967542499999"/>
    <s v="quarterly"/>
    <n v="0.9"/>
    <n v="0.9"/>
    <n v="20.378670788299999"/>
    <x v="3"/>
    <m/>
    <m/>
    <m/>
    <m/>
    <n v="0"/>
  </r>
  <r>
    <s v="46012-budget"/>
    <x v="17"/>
    <n v="46012"/>
    <x v="36"/>
    <s v="budget"/>
    <x v="22"/>
    <x v="0"/>
    <x v="4"/>
    <x v="4"/>
    <n v="30"/>
    <n v="2.1700000000000001E-2"/>
    <x v="1"/>
    <x v="6"/>
    <n v="50"/>
    <x v="20"/>
    <n v="99.841269841300004"/>
    <n v="49.920634920600001"/>
    <s v="quarterly"/>
    <n v="0.9"/>
    <n v="0.9"/>
    <n v="44.928571428600002"/>
    <x v="3"/>
    <m/>
    <m/>
    <m/>
    <m/>
    <n v="0"/>
  </r>
  <r>
    <s v="46012-contracts"/>
    <x v="17"/>
    <n v="46012"/>
    <x v="37"/>
    <s v="contracts"/>
    <x v="23"/>
    <x v="0"/>
    <x v="4"/>
    <x v="4"/>
    <n v="31"/>
    <n v="2.1700000000000001E-2"/>
    <x v="1"/>
    <x v="6"/>
    <n v="50"/>
    <x v="21"/>
    <n v="96.825396825400006"/>
    <n v="48.412698412700003"/>
    <s v="quarterly"/>
    <n v="0.9"/>
    <n v="0.9"/>
    <n v="43.571428571399998"/>
    <x v="3"/>
    <m/>
    <m/>
    <m/>
    <m/>
    <n v="0"/>
  </r>
  <r>
    <s v="46012-evaluations"/>
    <x v="17"/>
    <n v="46012"/>
    <x v="38"/>
    <s v="evaluations"/>
    <x v="24"/>
    <x v="0"/>
    <x v="4"/>
    <x v="4"/>
    <n v="28"/>
    <n v="2.1700000000000001E-2"/>
    <x v="1"/>
    <x v="6"/>
    <n v="50"/>
    <x v="22"/>
    <n v="80.645161290299995"/>
    <n v="40.322580645199999"/>
    <s v="quarterly"/>
    <n v="0.9"/>
    <n v="0.9"/>
    <n v="36.290322580599998"/>
    <x v="3"/>
    <m/>
    <m/>
    <m/>
    <m/>
    <n v="0"/>
  </r>
  <r>
    <s v="46012-mou"/>
    <x v="17"/>
    <n v="46012"/>
    <x v="39"/>
    <s v="mou"/>
    <x v="25"/>
    <x v="0"/>
    <x v="4"/>
    <x v="4"/>
    <n v="27"/>
    <n v="2.1700000000000001E-2"/>
    <x v="1"/>
    <x v="6"/>
    <n v="50"/>
    <x v="23"/>
    <n v="26.120556414199999"/>
    <n v="13.0602782071"/>
    <s v="quarterly"/>
    <n v="0.9"/>
    <n v="0.9"/>
    <n v="11.754250386400001"/>
    <x v="3"/>
    <m/>
    <m/>
    <m/>
    <m/>
    <n v="0"/>
  </r>
  <r>
    <s v="46012-objectives"/>
    <x v="17"/>
    <n v="46012"/>
    <x v="40"/>
    <s v="objectives"/>
    <x v="26"/>
    <x v="0"/>
    <x v="4"/>
    <x v="4"/>
    <n v="29"/>
    <n v="2.1700000000000001E-2"/>
    <x v="1"/>
    <x v="6"/>
    <n v="50"/>
    <x v="24"/>
    <n v="97.527047913399997"/>
    <n v="48.763523956699999"/>
    <s v="quarterly"/>
    <n v="0.9"/>
    <n v="0.9"/>
    <n v="43.887171561099997"/>
    <x v="3"/>
    <m/>
    <m/>
    <m/>
    <m/>
    <n v="0"/>
  </r>
  <r>
    <s v="46012-tenders"/>
    <x v="17"/>
    <n v="46012"/>
    <x v="41"/>
    <s v="tenders"/>
    <x v="27"/>
    <x v="0"/>
    <x v="4"/>
    <x v="4"/>
    <n v="32"/>
    <n v="2.1700000000000001E-2"/>
    <x v="1"/>
    <x v="6"/>
    <n v="50"/>
    <x v="25"/>
    <n v="28.095238095199999"/>
    <n v="14.0476190476"/>
    <s v="quarterly"/>
    <n v="0.9"/>
    <n v="0.9"/>
    <n v="12.642857142900001"/>
    <x v="3"/>
    <m/>
    <m/>
    <m/>
    <m/>
    <n v="0"/>
  </r>
  <r>
    <s v="46012-audit"/>
    <x v="17"/>
    <n v="46012"/>
    <x v="42"/>
    <s v="audit"/>
    <x v="28"/>
    <x v="1"/>
    <x v="2"/>
    <x v="5"/>
    <n v="11"/>
    <n v="4.1700000000000001E-2"/>
    <x v="1"/>
    <x v="6"/>
    <n v="50"/>
    <x v="5"/>
    <n v="100"/>
    <n v="50"/>
    <s v="quarterly"/>
    <n v="0.9"/>
    <n v="1"/>
    <n v="50"/>
    <x v="3"/>
    <m/>
    <m/>
    <m/>
    <m/>
    <n v="0"/>
  </r>
  <r>
    <s v="46012-strategy"/>
    <x v="17"/>
    <n v="46012"/>
    <x v="43"/>
    <s v="strategy"/>
    <x v="31"/>
    <x v="1"/>
    <x v="5"/>
    <x v="6"/>
    <n v="4"/>
    <n v="2.5000000000000001E-2"/>
    <x v="1"/>
    <x v="6"/>
    <n v="50"/>
    <x v="5"/>
    <n v="100"/>
    <n v="50"/>
    <s v="quarterly"/>
    <n v="0.9"/>
    <n v="1"/>
    <n v="50"/>
    <x v="3"/>
    <m/>
    <m/>
    <m/>
    <m/>
    <n v="0"/>
  </r>
  <r>
    <s v="46012-annual-report"/>
    <x v="17"/>
    <n v="46012"/>
    <x v="43"/>
    <s v="annual-report"/>
    <x v="32"/>
    <x v="1"/>
    <x v="5"/>
    <x v="6"/>
    <n v="5"/>
    <n v="2.5000000000000001E-2"/>
    <x v="1"/>
    <x v="6"/>
    <n v="50"/>
    <x v="5"/>
    <n v="100"/>
    <n v="50"/>
    <s v="quarterly"/>
    <n v="0.9"/>
    <n v="1"/>
    <n v="50"/>
    <x v="3"/>
    <m/>
    <m/>
    <m/>
    <m/>
    <n v="0"/>
  </r>
  <r>
    <s v="46012-allocation"/>
    <x v="17"/>
    <n v="46012"/>
    <x v="43"/>
    <s v="allocation"/>
    <x v="33"/>
    <x v="1"/>
    <x v="5"/>
    <x v="6"/>
    <n v="6"/>
    <n v="2.5000000000000001E-2"/>
    <x v="1"/>
    <x v="6"/>
    <n v="50"/>
    <x v="5"/>
    <n v="100"/>
    <n v="50"/>
    <s v="quarterly"/>
    <n v="0.9"/>
    <n v="1"/>
    <n v="50"/>
    <x v="3"/>
    <m/>
    <m/>
    <m/>
    <m/>
    <n v="0"/>
  </r>
  <r>
    <s v="46012-procurement-policy"/>
    <x v="17"/>
    <n v="46012"/>
    <x v="43"/>
    <s v="procurement-policy"/>
    <x v="34"/>
    <x v="1"/>
    <x v="5"/>
    <x v="6"/>
    <n v="7"/>
    <n v="2.5000000000000001E-2"/>
    <x v="1"/>
    <x v="6"/>
    <n v="50"/>
    <x v="5"/>
    <n v="100"/>
    <n v="50"/>
    <s v="quarterly"/>
    <n v="0.9"/>
    <n v="1"/>
    <n v="50"/>
    <x v="3"/>
    <m/>
    <m/>
    <m/>
    <m/>
    <n v="0"/>
  </r>
  <r>
    <s v="46012-country-strategy"/>
    <x v="17"/>
    <n v="46012"/>
    <x v="43"/>
    <s v="country-strategy"/>
    <x v="35"/>
    <x v="1"/>
    <x v="5"/>
    <x v="6"/>
    <n v="8"/>
    <n v="2.5000000000000001E-2"/>
    <x v="1"/>
    <x v="6"/>
    <n v="50"/>
    <x v="5"/>
    <n v="100"/>
    <n v="50"/>
    <s v="quarterly"/>
    <n v="0.9"/>
    <n v="1"/>
    <n v="50"/>
    <x v="3"/>
    <m/>
    <m/>
    <m/>
    <m/>
    <n v="0"/>
  </r>
  <r>
    <s v="46012-location"/>
    <x v="17"/>
    <n v="46012"/>
    <x v="0"/>
    <s v="location"/>
    <x v="13"/>
    <x v="0"/>
    <x v="1"/>
    <x v="1"/>
    <n v="25"/>
    <n v="1.8599999999999998E-2"/>
    <x v="0"/>
    <x v="1"/>
    <n v="0"/>
    <x v="0"/>
    <n v="0"/>
    <n v="0"/>
    <s v="quarterly"/>
    <n v="0.9"/>
    <n v="1"/>
    <n v="0"/>
    <x v="2"/>
    <n v="0"/>
    <m/>
    <s v="website"/>
    <n v="33.33"/>
    <n v="0"/>
  </r>
  <r>
    <s v="46012-disaggregated-budgets"/>
    <x v="17"/>
    <n v="46012"/>
    <x v="23"/>
    <s v="disaggregated-budgets"/>
    <x v="30"/>
    <x v="1"/>
    <x v="2"/>
    <x v="5"/>
    <n v="10"/>
    <n v="4.1700000000000001E-2"/>
    <x v="0"/>
    <x v="4"/>
    <n v="16.666666666699999"/>
    <x v="9"/>
    <n v="0"/>
    <n v="0"/>
    <s v="quarterly"/>
    <n v="0.9"/>
    <n v="1"/>
    <n v="0"/>
    <x v="3"/>
    <n v="0"/>
    <n v="1"/>
    <s v="machine-readable"/>
    <n v="50"/>
    <n v="16.666666666699999"/>
  </r>
  <r>
    <s v="46012-cost-overall"/>
    <x v="17"/>
    <n v="46012"/>
    <x v="0"/>
    <s v="cost-overall"/>
    <x v="16"/>
    <x v="0"/>
    <x v="2"/>
    <x v="2"/>
    <n v="33"/>
    <n v="3.2500000000000001E-2"/>
    <x v="0"/>
    <x v="3"/>
    <n v="0"/>
    <x v="0"/>
    <n v="0"/>
    <n v="0"/>
    <s v="quarterly"/>
    <n v="0.9"/>
    <n v="1"/>
    <n v="0"/>
    <x v="2"/>
    <n v="0"/>
    <m/>
    <s v="pdf"/>
    <n v="16.664999999999999"/>
    <n v="0"/>
  </r>
  <r>
    <s v="46012-budget-identifier"/>
    <x v="17"/>
    <n v="46012"/>
    <x v="0"/>
    <s v="budget-identifier"/>
    <x v="18"/>
    <x v="0"/>
    <x v="2"/>
    <x v="2"/>
    <n v="36"/>
    <n v="3.2500000000000001E-2"/>
    <x v="0"/>
    <x v="0"/>
    <n v="0"/>
    <x v="0"/>
    <n v="0"/>
    <n v="0"/>
    <s v="quarterly"/>
    <n v="0.9"/>
    <n v="1"/>
    <n v="0"/>
    <x v="0"/>
    <n v="0"/>
    <m/>
    <m/>
    <n v="0"/>
    <n v="0"/>
  </r>
  <r>
    <s v="46012-total-budget"/>
    <x v="17"/>
    <n v="46012"/>
    <x v="24"/>
    <s v="total-budget"/>
    <x v="29"/>
    <x v="1"/>
    <x v="2"/>
    <x v="5"/>
    <n v="9"/>
    <n v="4.1700000000000001E-2"/>
    <x v="0"/>
    <x v="3"/>
    <n v="5.5549999999999997"/>
    <x v="10"/>
    <n v="0"/>
    <n v="0"/>
    <s v="quarterly"/>
    <n v="0.9"/>
    <n v="1"/>
    <n v="0"/>
    <x v="3"/>
    <n v="0"/>
    <n v="1"/>
    <s v="pdf"/>
    <n v="16.664999999999999"/>
    <n v="5.5549999999999997"/>
  </r>
  <r>
    <s v="46012-foia"/>
    <x v="17"/>
    <n v="46012"/>
    <x v="15"/>
    <s v="foia"/>
    <x v="36"/>
    <x v="2"/>
    <x v="6"/>
    <x v="7"/>
    <n v="1"/>
    <n v="3.3300000000000003E-2"/>
    <x v="0"/>
    <x v="5"/>
    <n v="66.66"/>
    <x v="6"/>
    <n v="0"/>
    <n v="0"/>
    <s v="quarterly"/>
    <n v="0.9"/>
    <n v="1"/>
    <n v="0"/>
    <x v="3"/>
    <n v="0"/>
    <n v="66.66"/>
    <m/>
    <n v="0"/>
    <n v="66.66"/>
  </r>
  <r>
    <s v="46012-accessibility"/>
    <x v="17"/>
    <n v="46012"/>
    <x v="7"/>
    <s v="accessibility"/>
    <x v="37"/>
    <x v="2"/>
    <x v="6"/>
    <x v="7"/>
    <n v="3"/>
    <n v="3.3300000000000003E-2"/>
    <x v="0"/>
    <x v="5"/>
    <n v="33.33"/>
    <x v="1"/>
    <n v="0"/>
    <n v="0"/>
    <s v="quarterly"/>
    <n v="0.9"/>
    <n v="1"/>
    <n v="0"/>
    <x v="3"/>
    <n v="0"/>
    <n v="33.33"/>
    <m/>
    <n v="0"/>
    <n v="33.33"/>
  </r>
  <r>
    <s v="46012-implementation-schedules"/>
    <x v="17"/>
    <n v="46012"/>
    <x v="44"/>
    <s v="implementation-schedules"/>
    <x v="38"/>
    <x v="2"/>
    <x v="6"/>
    <x v="7"/>
    <n v="2"/>
    <n v="3.3300000000000003E-2"/>
    <x v="0"/>
    <x v="5"/>
    <n v="74"/>
    <x v="26"/>
    <n v="0"/>
    <n v="0"/>
    <s v="quarterly"/>
    <n v="0.9"/>
    <n v="1"/>
    <n v="0"/>
    <x v="3"/>
    <n v="0"/>
    <n v="74"/>
    <m/>
    <n v="0"/>
    <n v="74"/>
  </r>
  <r>
    <s v="47122-dates-actual"/>
    <x v="18"/>
    <n v="47122"/>
    <x v="45"/>
    <s v="dates-actual"/>
    <x v="0"/>
    <x v="0"/>
    <x v="0"/>
    <x v="0"/>
    <n v="17"/>
    <n v="1.6299999999999999E-2"/>
    <x v="1"/>
    <x v="6"/>
    <n v="50"/>
    <x v="5"/>
    <n v="100"/>
    <n v="50"/>
    <s v="monthly"/>
    <n v="1"/>
    <n v="1"/>
    <n v="50"/>
    <x v="3"/>
    <m/>
    <m/>
    <m/>
    <m/>
    <n v="0"/>
  </r>
  <r>
    <s v="47122-contact-details"/>
    <x v="18"/>
    <n v="47122"/>
    <x v="46"/>
    <s v="contact-details"/>
    <x v="1"/>
    <x v="0"/>
    <x v="0"/>
    <x v="0"/>
    <n v="19"/>
    <n v="1.6299999999999999E-2"/>
    <x v="1"/>
    <x v="6"/>
    <n v="50"/>
    <x v="5"/>
    <n v="100"/>
    <n v="50"/>
    <s v="monthly"/>
    <n v="1"/>
    <n v="1"/>
    <n v="50"/>
    <x v="3"/>
    <m/>
    <m/>
    <m/>
    <m/>
    <n v="0"/>
  </r>
  <r>
    <s v="47122-current-status"/>
    <x v="18"/>
    <n v="47122"/>
    <x v="46"/>
    <s v="current-status"/>
    <x v="2"/>
    <x v="0"/>
    <x v="0"/>
    <x v="0"/>
    <n v="18"/>
    <n v="1.6299999999999999E-2"/>
    <x v="1"/>
    <x v="6"/>
    <n v="50"/>
    <x v="5"/>
    <n v="100"/>
    <n v="50"/>
    <s v="monthly"/>
    <n v="1"/>
    <n v="1"/>
    <n v="50"/>
    <x v="3"/>
    <m/>
    <m/>
    <m/>
    <m/>
    <n v="0"/>
  </r>
  <r>
    <s v="47122-description"/>
    <x v="18"/>
    <n v="47122"/>
    <x v="46"/>
    <s v="description"/>
    <x v="3"/>
    <x v="0"/>
    <x v="0"/>
    <x v="0"/>
    <n v="15"/>
    <n v="1.6299999999999999E-2"/>
    <x v="1"/>
    <x v="6"/>
    <n v="50"/>
    <x v="5"/>
    <n v="100"/>
    <n v="50"/>
    <s v="monthly"/>
    <n v="1"/>
    <n v="1"/>
    <n v="50"/>
    <x v="3"/>
    <m/>
    <m/>
    <m/>
    <m/>
    <n v="0"/>
  </r>
  <r>
    <s v="47122-implementer"/>
    <x v="18"/>
    <n v="47122"/>
    <x v="46"/>
    <s v="implementer"/>
    <x v="4"/>
    <x v="0"/>
    <x v="0"/>
    <x v="0"/>
    <n v="12"/>
    <n v="1.6299999999999999E-2"/>
    <x v="1"/>
    <x v="6"/>
    <n v="50"/>
    <x v="5"/>
    <n v="100"/>
    <n v="50"/>
    <s v="monthly"/>
    <n v="1"/>
    <n v="1"/>
    <n v="50"/>
    <x v="3"/>
    <m/>
    <m/>
    <m/>
    <m/>
    <n v="0"/>
  </r>
  <r>
    <s v="47122-dates-planned"/>
    <x v="18"/>
    <n v="47122"/>
    <x v="46"/>
    <s v="dates-planned"/>
    <x v="5"/>
    <x v="0"/>
    <x v="0"/>
    <x v="0"/>
    <n v="16"/>
    <n v="1.6299999999999999E-2"/>
    <x v="1"/>
    <x v="6"/>
    <n v="50"/>
    <x v="5"/>
    <n v="100"/>
    <n v="50"/>
    <s v="monthly"/>
    <n v="1"/>
    <n v="1"/>
    <n v="50"/>
    <x v="3"/>
    <m/>
    <m/>
    <m/>
    <m/>
    <n v="0"/>
  </r>
  <r>
    <s v="47122-title"/>
    <x v="18"/>
    <n v="47122"/>
    <x v="46"/>
    <s v="title"/>
    <x v="6"/>
    <x v="0"/>
    <x v="0"/>
    <x v="0"/>
    <n v="14"/>
    <n v="1.6299999999999999E-2"/>
    <x v="1"/>
    <x v="6"/>
    <n v="50"/>
    <x v="5"/>
    <n v="100"/>
    <n v="50"/>
    <s v="monthly"/>
    <n v="1"/>
    <n v="1"/>
    <n v="50"/>
    <x v="3"/>
    <m/>
    <m/>
    <m/>
    <m/>
    <n v="0"/>
  </r>
  <r>
    <s v="47122-unique-id"/>
    <x v="18"/>
    <n v="47122"/>
    <x v="46"/>
    <s v="unique-id"/>
    <x v="7"/>
    <x v="0"/>
    <x v="0"/>
    <x v="0"/>
    <n v="13"/>
    <n v="1.6299999999999999E-2"/>
    <x v="1"/>
    <x v="6"/>
    <n v="50"/>
    <x v="5"/>
    <n v="100"/>
    <n v="50"/>
    <s v="monthly"/>
    <n v="1"/>
    <n v="1"/>
    <n v="50"/>
    <x v="3"/>
    <m/>
    <m/>
    <m/>
    <m/>
    <n v="0"/>
  </r>
  <r>
    <s v="47122-aid-type"/>
    <x v="18"/>
    <n v="47122"/>
    <x v="47"/>
    <s v="aid-type"/>
    <x v="8"/>
    <x v="0"/>
    <x v="1"/>
    <x v="1"/>
    <n v="22"/>
    <n v="1.8599999999999998E-2"/>
    <x v="1"/>
    <x v="6"/>
    <n v="50"/>
    <x v="5"/>
    <n v="100"/>
    <n v="50"/>
    <s v="monthly"/>
    <n v="1"/>
    <n v="1"/>
    <n v="50"/>
    <x v="3"/>
    <m/>
    <m/>
    <m/>
    <m/>
    <n v="0"/>
  </r>
  <r>
    <s v="47122-collaboration-type"/>
    <x v="18"/>
    <n v="47122"/>
    <x v="47"/>
    <s v="collaboration-type"/>
    <x v="9"/>
    <x v="0"/>
    <x v="1"/>
    <x v="1"/>
    <n v="20"/>
    <n v="1.8599999999999998E-2"/>
    <x v="1"/>
    <x v="6"/>
    <n v="50"/>
    <x v="5"/>
    <n v="100"/>
    <n v="50"/>
    <s v="monthly"/>
    <n v="1"/>
    <n v="1"/>
    <n v="50"/>
    <x v="3"/>
    <m/>
    <m/>
    <m/>
    <m/>
    <n v="0"/>
  </r>
  <r>
    <s v="47122-finance-type"/>
    <x v="18"/>
    <n v="47122"/>
    <x v="47"/>
    <s v="finance-type"/>
    <x v="10"/>
    <x v="0"/>
    <x v="1"/>
    <x v="1"/>
    <n v="23"/>
    <n v="1.8599999999999998E-2"/>
    <x v="1"/>
    <x v="6"/>
    <n v="50"/>
    <x v="5"/>
    <n v="100"/>
    <n v="50"/>
    <s v="monthly"/>
    <n v="1"/>
    <n v="1"/>
    <n v="50"/>
    <x v="3"/>
    <m/>
    <m/>
    <m/>
    <m/>
    <n v="0"/>
  </r>
  <r>
    <s v="47122-flow-type"/>
    <x v="18"/>
    <n v="47122"/>
    <x v="47"/>
    <s v="flow-type"/>
    <x v="11"/>
    <x v="0"/>
    <x v="1"/>
    <x v="1"/>
    <n v="21"/>
    <n v="1.8599999999999998E-2"/>
    <x v="1"/>
    <x v="6"/>
    <n v="50"/>
    <x v="5"/>
    <n v="100"/>
    <n v="50"/>
    <s v="monthly"/>
    <n v="1"/>
    <n v="1"/>
    <n v="50"/>
    <x v="3"/>
    <m/>
    <m/>
    <m/>
    <m/>
    <n v="0"/>
  </r>
  <r>
    <s v="47122-sector"/>
    <x v="18"/>
    <n v="47122"/>
    <x v="47"/>
    <s v="sector"/>
    <x v="12"/>
    <x v="0"/>
    <x v="1"/>
    <x v="1"/>
    <n v="24"/>
    <n v="1.8599999999999998E-2"/>
    <x v="1"/>
    <x v="6"/>
    <n v="50"/>
    <x v="5"/>
    <n v="100"/>
    <n v="50"/>
    <s v="monthly"/>
    <n v="1"/>
    <n v="1"/>
    <n v="50"/>
    <x v="3"/>
    <m/>
    <m/>
    <m/>
    <m/>
    <n v="0"/>
  </r>
  <r>
    <s v="47122-location"/>
    <x v="18"/>
    <n v="47122"/>
    <x v="47"/>
    <s v="location"/>
    <x v="13"/>
    <x v="0"/>
    <x v="1"/>
    <x v="1"/>
    <n v="25"/>
    <n v="1.8599999999999998E-2"/>
    <x v="1"/>
    <x v="6"/>
    <n v="50"/>
    <x v="5"/>
    <n v="100"/>
    <n v="50"/>
    <s v="monthly"/>
    <n v="1"/>
    <n v="1"/>
    <n v="50"/>
    <x v="3"/>
    <m/>
    <m/>
    <m/>
    <m/>
    <n v="0"/>
  </r>
  <r>
    <s v="47122-tied-aid-status"/>
    <x v="18"/>
    <n v="47122"/>
    <x v="47"/>
    <s v="tied-aid-status"/>
    <x v="14"/>
    <x v="0"/>
    <x v="1"/>
    <x v="1"/>
    <n v="26"/>
    <n v="1.8599999999999998E-2"/>
    <x v="1"/>
    <x v="6"/>
    <n v="50"/>
    <x v="5"/>
    <n v="100"/>
    <n v="50"/>
    <s v="monthly"/>
    <n v="1"/>
    <n v="1"/>
    <n v="50"/>
    <x v="3"/>
    <m/>
    <m/>
    <m/>
    <m/>
    <n v="0"/>
  </r>
  <r>
    <s v="47122-expenditure-actual"/>
    <x v="18"/>
    <n v="47122"/>
    <x v="48"/>
    <s v="expenditure-actual"/>
    <x v="15"/>
    <x v="0"/>
    <x v="2"/>
    <x v="2"/>
    <n v="35"/>
    <n v="3.2500000000000001E-2"/>
    <x v="1"/>
    <x v="6"/>
    <n v="50"/>
    <x v="27"/>
    <n v="85.623409669200001"/>
    <n v="42.8117048346"/>
    <s v="monthly"/>
    <n v="1"/>
    <n v="1"/>
    <n v="42.8117048346"/>
    <x v="3"/>
    <m/>
    <m/>
    <m/>
    <m/>
    <n v="0"/>
  </r>
  <r>
    <s v="47122-cost-overall"/>
    <x v="18"/>
    <n v="47122"/>
    <x v="49"/>
    <s v="cost-overall"/>
    <x v="16"/>
    <x v="0"/>
    <x v="2"/>
    <x v="2"/>
    <n v="33"/>
    <n v="3.2500000000000001E-2"/>
    <x v="1"/>
    <x v="6"/>
    <n v="50"/>
    <x v="28"/>
    <n v="45.923076923099998"/>
    <n v="22.961538461500002"/>
    <s v="monthly"/>
    <n v="1"/>
    <n v="1"/>
    <n v="22.961538461500002"/>
    <x v="3"/>
    <m/>
    <m/>
    <m/>
    <m/>
    <n v="0"/>
  </r>
  <r>
    <s v="47122-expenditure-planned"/>
    <x v="18"/>
    <n v="47122"/>
    <x v="50"/>
    <s v="expenditure-planned"/>
    <x v="17"/>
    <x v="0"/>
    <x v="2"/>
    <x v="2"/>
    <n v="34"/>
    <n v="3.2500000000000001E-2"/>
    <x v="1"/>
    <x v="6"/>
    <n v="50"/>
    <x v="29"/>
    <n v="97.964376590300006"/>
    <n v="48.982188295199997"/>
    <s v="monthly"/>
    <n v="1"/>
    <n v="1"/>
    <n v="48.982188295199997"/>
    <x v="3"/>
    <m/>
    <m/>
    <m/>
    <m/>
    <n v="0"/>
  </r>
  <r>
    <s v="47122-budget-identifier"/>
    <x v="18"/>
    <n v="47122"/>
    <x v="51"/>
    <s v="budget-identifier"/>
    <x v="18"/>
    <x v="0"/>
    <x v="2"/>
    <x v="2"/>
    <n v="36"/>
    <n v="3.2500000000000001E-2"/>
    <x v="1"/>
    <x v="6"/>
    <n v="50"/>
    <x v="5"/>
    <n v="100"/>
    <n v="50"/>
    <s v="monthly"/>
    <n v="1"/>
    <n v="1"/>
    <n v="50"/>
    <x v="3"/>
    <m/>
    <m/>
    <m/>
    <m/>
    <n v="0"/>
  </r>
  <r>
    <s v="47122-conditions"/>
    <x v="18"/>
    <n v="47122"/>
    <x v="52"/>
    <s v="conditions"/>
    <x v="19"/>
    <x v="0"/>
    <x v="3"/>
    <x v="3"/>
    <n v="39"/>
    <n v="4.3299999999999998E-2"/>
    <x v="1"/>
    <x v="6"/>
    <n v="50"/>
    <x v="30"/>
    <n v="50"/>
    <n v="25"/>
    <s v="monthly"/>
    <n v="1"/>
    <n v="1"/>
    <n v="25"/>
    <x v="3"/>
    <m/>
    <m/>
    <m/>
    <m/>
    <n v="0"/>
  </r>
  <r>
    <s v="47122-results"/>
    <x v="18"/>
    <n v="47122"/>
    <x v="52"/>
    <s v="results"/>
    <x v="21"/>
    <x v="0"/>
    <x v="3"/>
    <x v="3"/>
    <n v="37"/>
    <n v="4.3299999999999998E-2"/>
    <x v="1"/>
    <x v="6"/>
    <n v="50"/>
    <x v="30"/>
    <n v="50"/>
    <n v="25"/>
    <s v="monthly"/>
    <n v="1"/>
    <n v="1"/>
    <n v="25"/>
    <x v="3"/>
    <m/>
    <m/>
    <m/>
    <m/>
    <n v="0"/>
  </r>
  <r>
    <s v="47122-budget"/>
    <x v="18"/>
    <n v="47122"/>
    <x v="53"/>
    <s v="budget"/>
    <x v="22"/>
    <x v="0"/>
    <x v="4"/>
    <x v="4"/>
    <n v="30"/>
    <n v="2.1700000000000001E-2"/>
    <x v="1"/>
    <x v="6"/>
    <n v="50"/>
    <x v="5"/>
    <n v="100"/>
    <n v="50"/>
    <s v="monthly"/>
    <n v="1"/>
    <n v="1"/>
    <n v="50"/>
    <x v="3"/>
    <m/>
    <m/>
    <m/>
    <m/>
    <n v="0"/>
  </r>
  <r>
    <s v="47122-contracts"/>
    <x v="18"/>
    <n v="47122"/>
    <x v="53"/>
    <s v="contracts"/>
    <x v="23"/>
    <x v="0"/>
    <x v="4"/>
    <x v="4"/>
    <n v="31"/>
    <n v="2.1700000000000001E-2"/>
    <x v="1"/>
    <x v="6"/>
    <n v="50"/>
    <x v="5"/>
    <n v="100"/>
    <n v="50"/>
    <s v="monthly"/>
    <n v="1"/>
    <n v="1"/>
    <n v="50"/>
    <x v="3"/>
    <m/>
    <m/>
    <m/>
    <m/>
    <n v="0"/>
  </r>
  <r>
    <s v="47122-mou"/>
    <x v="18"/>
    <n v="47122"/>
    <x v="54"/>
    <s v="mou"/>
    <x v="25"/>
    <x v="0"/>
    <x v="4"/>
    <x v="4"/>
    <n v="27"/>
    <n v="2.1700000000000001E-2"/>
    <x v="1"/>
    <x v="6"/>
    <n v="50"/>
    <x v="31"/>
    <n v="94.274809160299995"/>
    <n v="47.137404580199998"/>
    <s v="monthly"/>
    <n v="1"/>
    <n v="1"/>
    <n v="47.137404580199998"/>
    <x v="3"/>
    <m/>
    <m/>
    <m/>
    <m/>
    <n v="0"/>
  </r>
  <r>
    <s v="47122-tenders"/>
    <x v="18"/>
    <n v="47122"/>
    <x v="53"/>
    <s v="tenders"/>
    <x v="27"/>
    <x v="0"/>
    <x v="4"/>
    <x v="4"/>
    <n v="32"/>
    <n v="2.1700000000000001E-2"/>
    <x v="1"/>
    <x v="6"/>
    <n v="50"/>
    <x v="5"/>
    <n v="100"/>
    <n v="50"/>
    <s v="monthly"/>
    <n v="1"/>
    <n v="1"/>
    <n v="50"/>
    <x v="3"/>
    <m/>
    <m/>
    <m/>
    <m/>
    <n v="0"/>
  </r>
  <r>
    <s v="47122-audit"/>
    <x v="18"/>
    <n v="47122"/>
    <x v="42"/>
    <s v="audit"/>
    <x v="28"/>
    <x v="1"/>
    <x v="2"/>
    <x v="5"/>
    <n v="11"/>
    <n v="4.1700000000000001E-2"/>
    <x v="1"/>
    <x v="6"/>
    <n v="50"/>
    <x v="5"/>
    <n v="100"/>
    <n v="50"/>
    <s v="monthly"/>
    <n v="1"/>
    <n v="1"/>
    <n v="50"/>
    <x v="3"/>
    <m/>
    <m/>
    <m/>
    <m/>
    <n v="0"/>
  </r>
  <r>
    <s v="47122-total-budget"/>
    <x v="18"/>
    <n v="47122"/>
    <x v="42"/>
    <s v="total-budget"/>
    <x v="29"/>
    <x v="1"/>
    <x v="2"/>
    <x v="5"/>
    <n v="9"/>
    <n v="4.1700000000000001E-2"/>
    <x v="1"/>
    <x v="6"/>
    <n v="50"/>
    <x v="5"/>
    <n v="100"/>
    <n v="50"/>
    <s v="monthly"/>
    <n v="1"/>
    <n v="1"/>
    <n v="50"/>
    <x v="3"/>
    <m/>
    <m/>
    <m/>
    <m/>
    <n v="0"/>
  </r>
  <r>
    <s v="47122-disaggregated-budgets"/>
    <x v="18"/>
    <n v="47122"/>
    <x v="42"/>
    <s v="disaggregated-budgets"/>
    <x v="30"/>
    <x v="1"/>
    <x v="2"/>
    <x v="5"/>
    <n v="10"/>
    <n v="4.1700000000000001E-2"/>
    <x v="1"/>
    <x v="6"/>
    <n v="50"/>
    <x v="5"/>
    <n v="100"/>
    <n v="50"/>
    <s v="monthly"/>
    <n v="1"/>
    <n v="1"/>
    <n v="50"/>
    <x v="3"/>
    <m/>
    <m/>
    <m/>
    <m/>
    <n v="0"/>
  </r>
  <r>
    <s v="47122-strategy"/>
    <x v="18"/>
    <n v="47122"/>
    <x v="43"/>
    <s v="strategy"/>
    <x v="31"/>
    <x v="1"/>
    <x v="5"/>
    <x v="6"/>
    <n v="4"/>
    <n v="2.5000000000000001E-2"/>
    <x v="1"/>
    <x v="6"/>
    <n v="50"/>
    <x v="5"/>
    <n v="100"/>
    <n v="50"/>
    <s v="monthly"/>
    <n v="1"/>
    <n v="1"/>
    <n v="50"/>
    <x v="3"/>
    <m/>
    <m/>
    <m/>
    <m/>
    <n v="0"/>
  </r>
  <r>
    <s v="47122-annual-report"/>
    <x v="18"/>
    <n v="47122"/>
    <x v="43"/>
    <s v="annual-report"/>
    <x v="32"/>
    <x v="1"/>
    <x v="5"/>
    <x v="6"/>
    <n v="5"/>
    <n v="2.5000000000000001E-2"/>
    <x v="1"/>
    <x v="6"/>
    <n v="50"/>
    <x v="5"/>
    <n v="100"/>
    <n v="50"/>
    <s v="monthly"/>
    <n v="1"/>
    <n v="1"/>
    <n v="50"/>
    <x v="3"/>
    <m/>
    <m/>
    <m/>
    <m/>
    <n v="0"/>
  </r>
  <r>
    <s v="47122-allocation"/>
    <x v="18"/>
    <n v="47122"/>
    <x v="43"/>
    <s v="allocation"/>
    <x v="33"/>
    <x v="1"/>
    <x v="5"/>
    <x v="6"/>
    <n v="6"/>
    <n v="2.5000000000000001E-2"/>
    <x v="1"/>
    <x v="6"/>
    <n v="50"/>
    <x v="5"/>
    <n v="100"/>
    <n v="50"/>
    <s v="monthly"/>
    <n v="1"/>
    <n v="1"/>
    <n v="50"/>
    <x v="3"/>
    <m/>
    <m/>
    <m/>
    <m/>
    <n v="0"/>
  </r>
  <r>
    <s v="47122-procurement-policy"/>
    <x v="18"/>
    <n v="47122"/>
    <x v="43"/>
    <s v="procurement-policy"/>
    <x v="34"/>
    <x v="1"/>
    <x v="5"/>
    <x v="6"/>
    <n v="7"/>
    <n v="2.5000000000000001E-2"/>
    <x v="1"/>
    <x v="6"/>
    <n v="50"/>
    <x v="5"/>
    <n v="100"/>
    <n v="50"/>
    <s v="monthly"/>
    <n v="1"/>
    <n v="1"/>
    <n v="50"/>
    <x v="3"/>
    <m/>
    <m/>
    <m/>
    <m/>
    <n v="0"/>
  </r>
  <r>
    <s v="47122-country-strategy"/>
    <x v="18"/>
    <n v="47122"/>
    <x v="43"/>
    <s v="country-strategy"/>
    <x v="35"/>
    <x v="1"/>
    <x v="5"/>
    <x v="6"/>
    <n v="8"/>
    <n v="2.5000000000000001E-2"/>
    <x v="1"/>
    <x v="6"/>
    <n v="50"/>
    <x v="5"/>
    <n v="100"/>
    <n v="50"/>
    <s v="monthly"/>
    <n v="1"/>
    <n v="1"/>
    <n v="50"/>
    <x v="3"/>
    <m/>
    <m/>
    <m/>
    <m/>
    <n v="0"/>
  </r>
  <r>
    <s v="47122-impact-appraisals"/>
    <x v="18"/>
    <n v="47122"/>
    <x v="20"/>
    <s v="impact-appraisals"/>
    <x v="20"/>
    <x v="0"/>
    <x v="3"/>
    <x v="3"/>
    <n v="38"/>
    <n v="4.3299999999999998E-2"/>
    <x v="0"/>
    <x v="2"/>
    <n v="50"/>
    <x v="2"/>
    <n v="0"/>
    <n v="0"/>
    <s v="monthly"/>
    <n v="1"/>
    <n v="1"/>
    <n v="0"/>
    <x v="1"/>
    <n v="1"/>
    <m/>
    <s v="document"/>
    <n v="50"/>
    <n v="50"/>
  </r>
  <r>
    <s v="47122-evaluations"/>
    <x v="18"/>
    <n v="47122"/>
    <x v="3"/>
    <s v="evaluations"/>
    <x v="24"/>
    <x v="0"/>
    <x v="4"/>
    <x v="4"/>
    <n v="28"/>
    <n v="2.1700000000000001E-2"/>
    <x v="0"/>
    <x v="2"/>
    <n v="50"/>
    <x v="2"/>
    <n v="0"/>
    <n v="0"/>
    <s v="monthly"/>
    <n v="1"/>
    <n v="1"/>
    <n v="0"/>
    <x v="1"/>
    <n v="1"/>
    <m/>
    <s v="document"/>
    <n v="50"/>
    <n v="50"/>
  </r>
  <r>
    <s v="47122-objectives"/>
    <x v="18"/>
    <n v="47122"/>
    <x v="3"/>
    <s v="objectives"/>
    <x v="26"/>
    <x v="0"/>
    <x v="4"/>
    <x v="4"/>
    <n v="29"/>
    <n v="2.1700000000000001E-2"/>
    <x v="0"/>
    <x v="2"/>
    <n v="50"/>
    <x v="2"/>
    <n v="0"/>
    <n v="0"/>
    <s v="monthly"/>
    <n v="1"/>
    <n v="1"/>
    <n v="0"/>
    <x v="1"/>
    <n v="1"/>
    <m/>
    <s v="document"/>
    <n v="50"/>
    <n v="50"/>
  </r>
  <r>
    <s v="47122-foia"/>
    <x v="18"/>
    <n v="47122"/>
    <x v="7"/>
    <s v="foia"/>
    <x v="36"/>
    <x v="2"/>
    <x v="6"/>
    <x v="7"/>
    <n v="1"/>
    <n v="3.3300000000000003E-2"/>
    <x v="0"/>
    <x v="5"/>
    <n v="33.33"/>
    <x v="1"/>
    <n v="0"/>
    <n v="0"/>
    <s v="monthly"/>
    <n v="1"/>
    <n v="1"/>
    <n v="0"/>
    <x v="3"/>
    <n v="0"/>
    <n v="33.33"/>
    <m/>
    <n v="0"/>
    <n v="33.33"/>
  </r>
  <r>
    <s v="47122-accessibility"/>
    <x v="18"/>
    <n v="47122"/>
    <x v="0"/>
    <s v="accessibility"/>
    <x v="37"/>
    <x v="2"/>
    <x v="6"/>
    <x v="7"/>
    <n v="3"/>
    <n v="3.3300000000000003E-2"/>
    <x v="0"/>
    <x v="5"/>
    <n v="0"/>
    <x v="0"/>
    <n v="0"/>
    <n v="0"/>
    <s v="monthly"/>
    <n v="1"/>
    <n v="1"/>
    <n v="0"/>
    <x v="3"/>
    <n v="0"/>
    <n v="0"/>
    <m/>
    <n v="0"/>
    <n v="0"/>
  </r>
  <r>
    <s v="47122-implementation-schedules"/>
    <x v="18"/>
    <n v="47122"/>
    <x v="55"/>
    <s v="implementation-schedules"/>
    <x v="38"/>
    <x v="2"/>
    <x v="6"/>
    <x v="7"/>
    <n v="2"/>
    <n v="3.3300000000000003E-2"/>
    <x v="0"/>
    <x v="5"/>
    <n v="98"/>
    <x v="32"/>
    <n v="0"/>
    <n v="0"/>
    <s v="monthly"/>
    <n v="1"/>
    <n v="1"/>
    <n v="0"/>
    <x v="3"/>
    <n v="0"/>
    <n v="98"/>
    <m/>
    <n v="0"/>
    <n v="98"/>
  </r>
  <r>
    <s v="46004-dates-actual"/>
    <x v="19"/>
    <n v="46004"/>
    <x v="26"/>
    <s v="dates-actual"/>
    <x v="0"/>
    <x v="0"/>
    <x v="0"/>
    <x v="0"/>
    <n v="17"/>
    <n v="1.6299999999999999E-2"/>
    <x v="1"/>
    <x v="6"/>
    <n v="50"/>
    <x v="12"/>
    <n v="100"/>
    <n v="50"/>
    <s v="quarterly"/>
    <n v="0.9"/>
    <n v="0.9"/>
    <n v="45"/>
    <x v="3"/>
    <m/>
    <m/>
    <m/>
    <m/>
    <n v="0"/>
  </r>
  <r>
    <s v="46004-contact-details"/>
    <x v="19"/>
    <n v="46004"/>
    <x v="26"/>
    <s v="contact-details"/>
    <x v="1"/>
    <x v="0"/>
    <x v="0"/>
    <x v="0"/>
    <n v="19"/>
    <n v="1.6299999999999999E-2"/>
    <x v="1"/>
    <x v="6"/>
    <n v="50"/>
    <x v="12"/>
    <n v="100"/>
    <n v="50"/>
    <s v="quarterly"/>
    <n v="0.9"/>
    <n v="0.9"/>
    <n v="45"/>
    <x v="3"/>
    <m/>
    <m/>
    <m/>
    <m/>
    <n v="0"/>
  </r>
  <r>
    <s v="46004-current-status"/>
    <x v="19"/>
    <n v="46004"/>
    <x v="26"/>
    <s v="current-status"/>
    <x v="2"/>
    <x v="0"/>
    <x v="0"/>
    <x v="0"/>
    <n v="18"/>
    <n v="1.6299999999999999E-2"/>
    <x v="1"/>
    <x v="6"/>
    <n v="50"/>
    <x v="12"/>
    <n v="100"/>
    <n v="50"/>
    <s v="quarterly"/>
    <n v="0.9"/>
    <n v="0.9"/>
    <n v="45"/>
    <x v="3"/>
    <m/>
    <m/>
    <m/>
    <m/>
    <n v="0"/>
  </r>
  <r>
    <s v="46004-description"/>
    <x v="19"/>
    <n v="46004"/>
    <x v="56"/>
    <s v="description"/>
    <x v="3"/>
    <x v="0"/>
    <x v="0"/>
    <x v="0"/>
    <n v="15"/>
    <n v="1.6299999999999999E-2"/>
    <x v="1"/>
    <x v="6"/>
    <n v="50"/>
    <x v="33"/>
    <n v="99.893276414100001"/>
    <n v="49.946638206999999"/>
    <s v="quarterly"/>
    <n v="0.9"/>
    <n v="0.9"/>
    <n v="44.951974386300002"/>
    <x v="3"/>
    <m/>
    <m/>
    <m/>
    <m/>
    <n v="0"/>
  </r>
  <r>
    <s v="46004-implementer"/>
    <x v="19"/>
    <n v="46004"/>
    <x v="26"/>
    <s v="implementer"/>
    <x v="4"/>
    <x v="0"/>
    <x v="0"/>
    <x v="0"/>
    <n v="12"/>
    <n v="1.6299999999999999E-2"/>
    <x v="1"/>
    <x v="6"/>
    <n v="50"/>
    <x v="12"/>
    <n v="100"/>
    <n v="50"/>
    <s v="quarterly"/>
    <n v="0.9"/>
    <n v="0.9"/>
    <n v="45"/>
    <x v="3"/>
    <m/>
    <m/>
    <m/>
    <m/>
    <n v="0"/>
  </r>
  <r>
    <s v="46004-dates-planned"/>
    <x v="19"/>
    <n v="46004"/>
    <x v="26"/>
    <s v="dates-planned"/>
    <x v="5"/>
    <x v="0"/>
    <x v="0"/>
    <x v="0"/>
    <n v="16"/>
    <n v="1.6299999999999999E-2"/>
    <x v="1"/>
    <x v="6"/>
    <n v="50"/>
    <x v="12"/>
    <n v="100"/>
    <n v="50"/>
    <s v="quarterly"/>
    <n v="0.9"/>
    <n v="0.9"/>
    <n v="45"/>
    <x v="3"/>
    <m/>
    <m/>
    <m/>
    <m/>
    <n v="0"/>
  </r>
  <r>
    <s v="46004-title"/>
    <x v="19"/>
    <n v="46004"/>
    <x v="26"/>
    <s v="title"/>
    <x v="6"/>
    <x v="0"/>
    <x v="0"/>
    <x v="0"/>
    <n v="14"/>
    <n v="1.6299999999999999E-2"/>
    <x v="1"/>
    <x v="6"/>
    <n v="50"/>
    <x v="12"/>
    <n v="100"/>
    <n v="50"/>
    <s v="quarterly"/>
    <n v="0.9"/>
    <n v="0.9"/>
    <n v="45"/>
    <x v="3"/>
    <m/>
    <m/>
    <m/>
    <m/>
    <n v="0"/>
  </r>
  <r>
    <s v="46004-unique-id"/>
    <x v="19"/>
    <n v="46004"/>
    <x v="26"/>
    <s v="unique-id"/>
    <x v="7"/>
    <x v="0"/>
    <x v="0"/>
    <x v="0"/>
    <n v="13"/>
    <n v="1.6299999999999999E-2"/>
    <x v="1"/>
    <x v="6"/>
    <n v="50"/>
    <x v="12"/>
    <n v="100"/>
    <n v="50"/>
    <s v="quarterly"/>
    <n v="0.9"/>
    <n v="0.9"/>
    <n v="45"/>
    <x v="3"/>
    <m/>
    <m/>
    <m/>
    <m/>
    <n v="0"/>
  </r>
  <r>
    <s v="46004-aid-type"/>
    <x v="19"/>
    <n v="46004"/>
    <x v="29"/>
    <s v="aid-type"/>
    <x v="8"/>
    <x v="0"/>
    <x v="1"/>
    <x v="1"/>
    <n v="22"/>
    <n v="1.8599999999999998E-2"/>
    <x v="1"/>
    <x v="6"/>
    <n v="50"/>
    <x v="12"/>
    <n v="100"/>
    <n v="50"/>
    <s v="quarterly"/>
    <n v="0.9"/>
    <n v="0.9"/>
    <n v="45"/>
    <x v="3"/>
    <m/>
    <m/>
    <m/>
    <m/>
    <n v="0"/>
  </r>
  <r>
    <s v="46004-collaboration-type"/>
    <x v="19"/>
    <n v="46004"/>
    <x v="29"/>
    <s v="collaboration-type"/>
    <x v="9"/>
    <x v="0"/>
    <x v="1"/>
    <x v="1"/>
    <n v="20"/>
    <n v="1.8599999999999998E-2"/>
    <x v="1"/>
    <x v="6"/>
    <n v="50"/>
    <x v="12"/>
    <n v="100"/>
    <n v="50"/>
    <s v="quarterly"/>
    <n v="0.9"/>
    <n v="0.9"/>
    <n v="45"/>
    <x v="3"/>
    <m/>
    <m/>
    <m/>
    <m/>
    <n v="0"/>
  </r>
  <r>
    <s v="46004-finance-type"/>
    <x v="19"/>
    <n v="46004"/>
    <x v="29"/>
    <s v="finance-type"/>
    <x v="10"/>
    <x v="0"/>
    <x v="1"/>
    <x v="1"/>
    <n v="23"/>
    <n v="1.8599999999999998E-2"/>
    <x v="1"/>
    <x v="6"/>
    <n v="50"/>
    <x v="12"/>
    <n v="100"/>
    <n v="50"/>
    <s v="quarterly"/>
    <n v="0.9"/>
    <n v="0.9"/>
    <n v="45"/>
    <x v="3"/>
    <m/>
    <m/>
    <m/>
    <m/>
    <n v="0"/>
  </r>
  <r>
    <s v="46004-flow-type"/>
    <x v="19"/>
    <n v="46004"/>
    <x v="29"/>
    <s v="flow-type"/>
    <x v="11"/>
    <x v="0"/>
    <x v="1"/>
    <x v="1"/>
    <n v="21"/>
    <n v="1.8599999999999998E-2"/>
    <x v="1"/>
    <x v="6"/>
    <n v="50"/>
    <x v="12"/>
    <n v="100"/>
    <n v="50"/>
    <s v="quarterly"/>
    <n v="0.9"/>
    <n v="0.9"/>
    <n v="45"/>
    <x v="3"/>
    <m/>
    <m/>
    <m/>
    <m/>
    <n v="0"/>
  </r>
  <r>
    <s v="46004-sector"/>
    <x v="19"/>
    <n v="46004"/>
    <x v="57"/>
    <s v="sector"/>
    <x v="12"/>
    <x v="0"/>
    <x v="1"/>
    <x v="1"/>
    <n v="24"/>
    <n v="1.8599999999999998E-2"/>
    <x v="1"/>
    <x v="6"/>
    <n v="50"/>
    <x v="14"/>
    <n v="50"/>
    <n v="25"/>
    <s v="quarterly"/>
    <n v="0.9"/>
    <n v="0.9"/>
    <n v="22.5"/>
    <x v="3"/>
    <m/>
    <m/>
    <m/>
    <m/>
    <n v="0"/>
  </r>
  <r>
    <s v="46004-location"/>
    <x v="19"/>
    <n v="46004"/>
    <x v="58"/>
    <s v="location"/>
    <x v="13"/>
    <x v="0"/>
    <x v="1"/>
    <x v="1"/>
    <n v="25"/>
    <n v="1.8599999999999998E-2"/>
    <x v="1"/>
    <x v="6"/>
    <n v="50"/>
    <x v="34"/>
    <n v="81.109925293499998"/>
    <n v="40.554962646699998"/>
    <s v="quarterly"/>
    <n v="0.9"/>
    <n v="0.9"/>
    <n v="36.499466382100003"/>
    <x v="3"/>
    <m/>
    <m/>
    <m/>
    <m/>
    <n v="0"/>
  </r>
  <r>
    <s v="46004-tied-aid-status"/>
    <x v="19"/>
    <n v="46004"/>
    <x v="29"/>
    <s v="tied-aid-status"/>
    <x v="14"/>
    <x v="0"/>
    <x v="1"/>
    <x v="1"/>
    <n v="26"/>
    <n v="1.8599999999999998E-2"/>
    <x v="1"/>
    <x v="6"/>
    <n v="50"/>
    <x v="12"/>
    <n v="100"/>
    <n v="50"/>
    <s v="quarterly"/>
    <n v="0.9"/>
    <n v="0.9"/>
    <n v="45"/>
    <x v="3"/>
    <m/>
    <m/>
    <m/>
    <m/>
    <n v="0"/>
  </r>
  <r>
    <s v="46004-expenditure-actual"/>
    <x v="19"/>
    <n v="46004"/>
    <x v="59"/>
    <s v="expenditure-actual"/>
    <x v="15"/>
    <x v="0"/>
    <x v="2"/>
    <x v="2"/>
    <n v="35"/>
    <n v="3.2500000000000001E-2"/>
    <x v="1"/>
    <x v="6"/>
    <n v="50"/>
    <x v="35"/>
    <n v="87.1931696905"/>
    <n v="43.596584845300001"/>
    <s v="quarterly"/>
    <n v="0.9"/>
    <n v="0.9"/>
    <n v="39.236926360699997"/>
    <x v="3"/>
    <m/>
    <m/>
    <m/>
    <m/>
    <n v="0"/>
  </r>
  <r>
    <s v="46004-expenditure-planned"/>
    <x v="19"/>
    <n v="46004"/>
    <x v="60"/>
    <s v="expenditure-planned"/>
    <x v="17"/>
    <x v="0"/>
    <x v="2"/>
    <x v="2"/>
    <n v="34"/>
    <n v="3.2500000000000001E-2"/>
    <x v="1"/>
    <x v="6"/>
    <n v="50"/>
    <x v="12"/>
    <n v="100"/>
    <n v="50"/>
    <s v="quarterly"/>
    <n v="0.9"/>
    <n v="0.9"/>
    <n v="45"/>
    <x v="3"/>
    <m/>
    <m/>
    <m/>
    <m/>
    <n v="0"/>
  </r>
  <r>
    <s v="46004-conditions"/>
    <x v="19"/>
    <n v="46004"/>
    <x v="61"/>
    <s v="conditions"/>
    <x v="19"/>
    <x v="0"/>
    <x v="3"/>
    <x v="3"/>
    <n v="39"/>
    <n v="4.3299999999999998E-2"/>
    <x v="1"/>
    <x v="6"/>
    <n v="50"/>
    <x v="36"/>
    <n v="49.8399146211"/>
    <n v="24.919957310600001"/>
    <s v="quarterly"/>
    <n v="0.9"/>
    <n v="0.9"/>
    <n v="22.4279615795"/>
    <x v="3"/>
    <m/>
    <m/>
    <m/>
    <m/>
    <n v="0"/>
  </r>
  <r>
    <s v="46004-impact-appraisals"/>
    <x v="19"/>
    <n v="46004"/>
    <x v="62"/>
    <s v="impact-appraisals"/>
    <x v="20"/>
    <x v="0"/>
    <x v="3"/>
    <x v="3"/>
    <n v="38"/>
    <n v="4.3299999999999998E-2"/>
    <x v="1"/>
    <x v="6"/>
    <n v="50"/>
    <x v="12"/>
    <n v="100"/>
    <n v="50"/>
    <s v="quarterly"/>
    <n v="0.9"/>
    <n v="0.9"/>
    <n v="45"/>
    <x v="3"/>
    <m/>
    <m/>
    <m/>
    <m/>
    <n v="0"/>
  </r>
  <r>
    <s v="46004-results"/>
    <x v="19"/>
    <n v="46004"/>
    <x v="63"/>
    <s v="results"/>
    <x v="21"/>
    <x v="0"/>
    <x v="3"/>
    <x v="3"/>
    <n v="37"/>
    <n v="4.3299999999999998E-2"/>
    <x v="1"/>
    <x v="6"/>
    <n v="50"/>
    <x v="14"/>
    <n v="50"/>
    <n v="25"/>
    <s v="quarterly"/>
    <n v="0.9"/>
    <n v="0.9"/>
    <n v="22.5"/>
    <x v="3"/>
    <m/>
    <m/>
    <m/>
    <m/>
    <n v="0"/>
  </r>
  <r>
    <s v="46004-budget"/>
    <x v="19"/>
    <n v="46004"/>
    <x v="64"/>
    <s v="budget"/>
    <x v="22"/>
    <x v="0"/>
    <x v="4"/>
    <x v="4"/>
    <n v="30"/>
    <n v="2.1700000000000001E-2"/>
    <x v="1"/>
    <x v="6"/>
    <n v="50"/>
    <x v="12"/>
    <n v="100"/>
    <n v="50"/>
    <s v="quarterly"/>
    <n v="0.9"/>
    <n v="0.9"/>
    <n v="45"/>
    <x v="3"/>
    <m/>
    <m/>
    <m/>
    <m/>
    <n v="0"/>
  </r>
  <r>
    <s v="46004-evaluations"/>
    <x v="19"/>
    <n v="46004"/>
    <x v="65"/>
    <s v="evaluations"/>
    <x v="24"/>
    <x v="0"/>
    <x v="4"/>
    <x v="4"/>
    <n v="28"/>
    <n v="2.1700000000000001E-2"/>
    <x v="1"/>
    <x v="6"/>
    <n v="50"/>
    <x v="37"/>
    <n v="42.647058823499997"/>
    <n v="21.323529411799999"/>
    <s v="quarterly"/>
    <n v="0.9"/>
    <n v="0.9"/>
    <n v="19.191176470599999"/>
    <x v="3"/>
    <m/>
    <m/>
    <m/>
    <m/>
    <n v="0"/>
  </r>
  <r>
    <s v="46004-mou"/>
    <x v="19"/>
    <n v="46004"/>
    <x v="66"/>
    <s v="mou"/>
    <x v="25"/>
    <x v="0"/>
    <x v="4"/>
    <x v="4"/>
    <n v="27"/>
    <n v="2.1700000000000001E-2"/>
    <x v="1"/>
    <x v="6"/>
    <n v="50"/>
    <x v="38"/>
    <n v="99.679829242300002"/>
    <n v="49.8399146211"/>
    <s v="quarterly"/>
    <n v="0.9"/>
    <n v="0.9"/>
    <n v="44.855923159"/>
    <x v="3"/>
    <m/>
    <m/>
    <m/>
    <m/>
    <n v="0"/>
  </r>
  <r>
    <s v="46004-objectives"/>
    <x v="19"/>
    <n v="46004"/>
    <x v="64"/>
    <s v="objectives"/>
    <x v="26"/>
    <x v="0"/>
    <x v="4"/>
    <x v="4"/>
    <n v="29"/>
    <n v="2.1700000000000001E-2"/>
    <x v="1"/>
    <x v="6"/>
    <n v="50"/>
    <x v="12"/>
    <n v="100"/>
    <n v="50"/>
    <s v="quarterly"/>
    <n v="0.9"/>
    <n v="0.9"/>
    <n v="45"/>
    <x v="3"/>
    <m/>
    <m/>
    <m/>
    <m/>
    <n v="0"/>
  </r>
  <r>
    <s v="46004-audit"/>
    <x v="19"/>
    <n v="46004"/>
    <x v="42"/>
    <s v="audit"/>
    <x v="28"/>
    <x v="1"/>
    <x v="2"/>
    <x v="5"/>
    <n v="11"/>
    <n v="4.1700000000000001E-2"/>
    <x v="1"/>
    <x v="6"/>
    <n v="50"/>
    <x v="5"/>
    <n v="100"/>
    <n v="50"/>
    <s v="quarterly"/>
    <n v="0.9"/>
    <n v="1"/>
    <n v="50"/>
    <x v="3"/>
    <m/>
    <m/>
    <m/>
    <m/>
    <n v="0"/>
  </r>
  <r>
    <s v="46004-total-budget"/>
    <x v="19"/>
    <n v="46004"/>
    <x v="42"/>
    <s v="total-budget"/>
    <x v="29"/>
    <x v="1"/>
    <x v="2"/>
    <x v="5"/>
    <n v="9"/>
    <n v="4.1700000000000001E-2"/>
    <x v="1"/>
    <x v="6"/>
    <n v="50"/>
    <x v="5"/>
    <n v="100"/>
    <n v="50"/>
    <s v="quarterly"/>
    <n v="0.9"/>
    <n v="1"/>
    <n v="50"/>
    <x v="3"/>
    <m/>
    <m/>
    <m/>
    <m/>
    <n v="0"/>
  </r>
  <r>
    <s v="46004-disaggregated-budgets"/>
    <x v="19"/>
    <n v="46004"/>
    <x v="42"/>
    <s v="disaggregated-budgets"/>
    <x v="30"/>
    <x v="1"/>
    <x v="2"/>
    <x v="5"/>
    <n v="10"/>
    <n v="4.1700000000000001E-2"/>
    <x v="1"/>
    <x v="6"/>
    <n v="50"/>
    <x v="5"/>
    <n v="100"/>
    <n v="50"/>
    <s v="quarterly"/>
    <n v="0.9"/>
    <n v="1"/>
    <n v="50"/>
    <x v="3"/>
    <m/>
    <m/>
    <m/>
    <m/>
    <n v="0"/>
  </r>
  <r>
    <s v="46004-strategy"/>
    <x v="19"/>
    <n v="46004"/>
    <x v="43"/>
    <s v="strategy"/>
    <x v="31"/>
    <x v="1"/>
    <x v="5"/>
    <x v="6"/>
    <n v="4"/>
    <n v="2.5000000000000001E-2"/>
    <x v="1"/>
    <x v="6"/>
    <n v="50"/>
    <x v="5"/>
    <n v="100"/>
    <n v="50"/>
    <s v="quarterly"/>
    <n v="0.9"/>
    <n v="1"/>
    <n v="50"/>
    <x v="3"/>
    <m/>
    <m/>
    <m/>
    <m/>
    <n v="0"/>
  </r>
  <r>
    <s v="46004-annual-report"/>
    <x v="19"/>
    <n v="46004"/>
    <x v="43"/>
    <s v="annual-report"/>
    <x v="32"/>
    <x v="1"/>
    <x v="5"/>
    <x v="6"/>
    <n v="5"/>
    <n v="2.5000000000000001E-2"/>
    <x v="1"/>
    <x v="6"/>
    <n v="50"/>
    <x v="5"/>
    <n v="100"/>
    <n v="50"/>
    <s v="quarterly"/>
    <n v="0.9"/>
    <n v="1"/>
    <n v="50"/>
    <x v="3"/>
    <m/>
    <m/>
    <m/>
    <m/>
    <n v="0"/>
  </r>
  <r>
    <s v="46004-allocation"/>
    <x v="19"/>
    <n v="46004"/>
    <x v="43"/>
    <s v="allocation"/>
    <x v="33"/>
    <x v="1"/>
    <x v="5"/>
    <x v="6"/>
    <n v="6"/>
    <n v="2.5000000000000001E-2"/>
    <x v="1"/>
    <x v="6"/>
    <n v="50"/>
    <x v="5"/>
    <n v="100"/>
    <n v="50"/>
    <s v="quarterly"/>
    <n v="0.9"/>
    <n v="1"/>
    <n v="50"/>
    <x v="3"/>
    <m/>
    <m/>
    <m/>
    <m/>
    <n v="0"/>
  </r>
  <r>
    <s v="46004-procurement-policy"/>
    <x v="19"/>
    <n v="46004"/>
    <x v="43"/>
    <s v="procurement-policy"/>
    <x v="34"/>
    <x v="1"/>
    <x v="5"/>
    <x v="6"/>
    <n v="7"/>
    <n v="2.5000000000000001E-2"/>
    <x v="1"/>
    <x v="6"/>
    <n v="50"/>
    <x v="5"/>
    <n v="100"/>
    <n v="50"/>
    <s v="quarterly"/>
    <n v="0.9"/>
    <n v="1"/>
    <n v="50"/>
    <x v="3"/>
    <m/>
    <m/>
    <m/>
    <m/>
    <n v="0"/>
  </r>
  <r>
    <s v="46004-country-strategy"/>
    <x v="19"/>
    <n v="46004"/>
    <x v="67"/>
    <s v="country-strategy"/>
    <x v="35"/>
    <x v="1"/>
    <x v="5"/>
    <x v="6"/>
    <n v="8"/>
    <n v="2.5000000000000001E-2"/>
    <x v="1"/>
    <x v="6"/>
    <n v="50"/>
    <x v="39"/>
    <n v="87.5"/>
    <n v="43.75"/>
    <s v="quarterly"/>
    <n v="0.9"/>
    <n v="1"/>
    <n v="43.75"/>
    <x v="3"/>
    <m/>
    <m/>
    <m/>
    <m/>
    <n v="0"/>
  </r>
  <r>
    <s v="46004-contracts"/>
    <x v="19"/>
    <n v="46004"/>
    <x v="3"/>
    <s v="contracts"/>
    <x v="23"/>
    <x v="0"/>
    <x v="4"/>
    <x v="4"/>
    <n v="31"/>
    <n v="2.1700000000000001E-2"/>
    <x v="0"/>
    <x v="2"/>
    <n v="50"/>
    <x v="2"/>
    <n v="0"/>
    <n v="0"/>
    <s v="quarterly"/>
    <n v="0.9"/>
    <n v="1"/>
    <n v="0"/>
    <x v="1"/>
    <n v="1"/>
    <m/>
    <s v="document"/>
    <n v="50"/>
    <n v="50"/>
  </r>
  <r>
    <s v="46004-cost-overall"/>
    <x v="19"/>
    <n v="46004"/>
    <x v="0"/>
    <s v="cost-overall"/>
    <x v="16"/>
    <x v="0"/>
    <x v="2"/>
    <x v="2"/>
    <n v="33"/>
    <n v="3.2500000000000001E-2"/>
    <x v="0"/>
    <x v="3"/>
    <n v="0"/>
    <x v="0"/>
    <n v="0"/>
    <n v="0"/>
    <s v="quarterly"/>
    <n v="0.9"/>
    <n v="1"/>
    <n v="0"/>
    <x v="2"/>
    <n v="0"/>
    <m/>
    <s v="pdf"/>
    <n v="16.664999999999999"/>
    <n v="0"/>
  </r>
  <r>
    <s v="46004-budget-identifier"/>
    <x v="19"/>
    <n v="46004"/>
    <x v="0"/>
    <s v="budget-identifier"/>
    <x v="18"/>
    <x v="0"/>
    <x v="2"/>
    <x v="2"/>
    <n v="36"/>
    <n v="3.2500000000000001E-2"/>
    <x v="0"/>
    <x v="0"/>
    <n v="0"/>
    <x v="0"/>
    <n v="0"/>
    <n v="0"/>
    <s v="quarterly"/>
    <n v="0.9"/>
    <n v="1"/>
    <n v="0"/>
    <x v="0"/>
    <n v="0"/>
    <m/>
    <m/>
    <n v="0"/>
    <n v="0"/>
  </r>
  <r>
    <s v="46004-tenders"/>
    <x v="19"/>
    <n v="46004"/>
    <x v="3"/>
    <s v="tenders"/>
    <x v="27"/>
    <x v="0"/>
    <x v="4"/>
    <x v="4"/>
    <n v="32"/>
    <n v="2.1700000000000001E-2"/>
    <x v="0"/>
    <x v="2"/>
    <n v="50"/>
    <x v="2"/>
    <n v="0"/>
    <n v="0"/>
    <s v="quarterly"/>
    <n v="0.9"/>
    <n v="1"/>
    <n v="0"/>
    <x v="1"/>
    <n v="1"/>
    <m/>
    <s v="document"/>
    <n v="50"/>
    <n v="50"/>
  </r>
  <r>
    <s v="46004-foia"/>
    <x v="19"/>
    <n v="46004"/>
    <x v="15"/>
    <s v="foia"/>
    <x v="36"/>
    <x v="2"/>
    <x v="6"/>
    <x v="7"/>
    <n v="1"/>
    <n v="3.3300000000000003E-2"/>
    <x v="0"/>
    <x v="5"/>
    <n v="66.66"/>
    <x v="6"/>
    <n v="0"/>
    <n v="0"/>
    <s v="quarterly"/>
    <n v="0.9"/>
    <n v="1"/>
    <n v="0"/>
    <x v="3"/>
    <n v="0"/>
    <n v="66.66"/>
    <m/>
    <n v="0"/>
    <n v="66.66"/>
  </r>
  <r>
    <s v="46004-accessibility"/>
    <x v="19"/>
    <n v="46004"/>
    <x v="10"/>
    <s v="accessibility"/>
    <x v="37"/>
    <x v="2"/>
    <x v="6"/>
    <x v="7"/>
    <n v="3"/>
    <n v="3.3300000000000003E-2"/>
    <x v="0"/>
    <x v="5"/>
    <n v="100"/>
    <x v="5"/>
    <n v="0"/>
    <n v="0"/>
    <s v="quarterly"/>
    <n v="0.9"/>
    <n v="1"/>
    <n v="0"/>
    <x v="3"/>
    <n v="0"/>
    <n v="100"/>
    <m/>
    <n v="0"/>
    <n v="100"/>
  </r>
  <r>
    <s v="46004-implementation-schedules"/>
    <x v="19"/>
    <n v="46004"/>
    <x v="68"/>
    <s v="implementation-schedules"/>
    <x v="38"/>
    <x v="2"/>
    <x v="6"/>
    <x v="7"/>
    <n v="2"/>
    <n v="3.3300000000000003E-2"/>
    <x v="0"/>
    <x v="5"/>
    <n v="91"/>
    <x v="40"/>
    <n v="0"/>
    <n v="0"/>
    <s v="quarterly"/>
    <n v="0.9"/>
    <n v="1"/>
    <n v="0"/>
    <x v="3"/>
    <n v="0"/>
    <n v="91"/>
    <m/>
    <n v="0"/>
    <n v="91"/>
  </r>
  <r>
    <s v="EU-4-audit"/>
    <x v="20"/>
    <s v="EU-4"/>
    <x v="42"/>
    <s v="audit"/>
    <x v="28"/>
    <x v="1"/>
    <x v="2"/>
    <x v="5"/>
    <n v="11"/>
    <n v="4.1700000000000001E-2"/>
    <x v="1"/>
    <x v="6"/>
    <n v="50"/>
    <x v="5"/>
    <n v="100"/>
    <n v="50"/>
    <s v="quarterly"/>
    <n v="0.9"/>
    <n v="1"/>
    <n v="50"/>
    <x v="3"/>
    <m/>
    <m/>
    <m/>
    <m/>
    <n v="0"/>
  </r>
  <r>
    <s v="EU-4-total-budget"/>
    <x v="20"/>
    <s v="EU-4"/>
    <x v="42"/>
    <s v="total-budget"/>
    <x v="29"/>
    <x v="1"/>
    <x v="2"/>
    <x v="5"/>
    <n v="9"/>
    <n v="4.1700000000000001E-2"/>
    <x v="1"/>
    <x v="6"/>
    <n v="50"/>
    <x v="5"/>
    <n v="100"/>
    <n v="50"/>
    <s v="quarterly"/>
    <n v="0.9"/>
    <n v="1"/>
    <n v="50"/>
    <x v="3"/>
    <m/>
    <m/>
    <m/>
    <m/>
    <n v="0"/>
  </r>
  <r>
    <s v="EU-4-disaggregated-budgets"/>
    <x v="20"/>
    <s v="EU-4"/>
    <x v="69"/>
    <s v="disaggregated-budgets"/>
    <x v="30"/>
    <x v="1"/>
    <x v="2"/>
    <x v="5"/>
    <n v="10"/>
    <n v="4.1700000000000001E-2"/>
    <x v="1"/>
    <x v="6"/>
    <n v="50"/>
    <x v="41"/>
    <n v="33.333333333299997"/>
    <n v="16.666666666699999"/>
    <s v="quarterly"/>
    <n v="0.9"/>
    <n v="1"/>
    <n v="16.666666666699999"/>
    <x v="3"/>
    <m/>
    <m/>
    <m/>
    <m/>
    <n v="0"/>
  </r>
  <r>
    <s v="EU-4-strategy"/>
    <x v="20"/>
    <s v="EU-4"/>
    <x v="43"/>
    <s v="strategy"/>
    <x v="31"/>
    <x v="1"/>
    <x v="5"/>
    <x v="6"/>
    <n v="4"/>
    <n v="2.5000000000000001E-2"/>
    <x v="1"/>
    <x v="6"/>
    <n v="50"/>
    <x v="5"/>
    <n v="100"/>
    <n v="50"/>
    <s v="quarterly"/>
    <n v="0.9"/>
    <n v="1"/>
    <n v="50"/>
    <x v="3"/>
    <m/>
    <m/>
    <m/>
    <m/>
    <n v="0"/>
  </r>
  <r>
    <s v="EU-4-dates-actual"/>
    <x v="20"/>
    <s v="EU-4"/>
    <x v="70"/>
    <s v="dates-actual"/>
    <x v="0"/>
    <x v="0"/>
    <x v="0"/>
    <x v="0"/>
    <n v="17"/>
    <n v="1.6299999999999999E-2"/>
    <x v="1"/>
    <x v="6"/>
    <n v="50"/>
    <x v="42"/>
    <n v="98.364648573400004"/>
    <n v="49.182324286700002"/>
    <s v="quarterly"/>
    <n v="0.9"/>
    <n v="0.9"/>
    <n v="44.264091858"/>
    <x v="3"/>
    <m/>
    <m/>
    <m/>
    <m/>
    <n v="0"/>
  </r>
  <r>
    <s v="EU-4-allocation"/>
    <x v="20"/>
    <s v="EU-4"/>
    <x v="43"/>
    <s v="allocation"/>
    <x v="33"/>
    <x v="1"/>
    <x v="5"/>
    <x v="6"/>
    <n v="6"/>
    <n v="2.5000000000000001E-2"/>
    <x v="1"/>
    <x v="6"/>
    <n v="50"/>
    <x v="5"/>
    <n v="100"/>
    <n v="50"/>
    <s v="quarterly"/>
    <n v="0.9"/>
    <n v="1"/>
    <n v="50"/>
    <x v="3"/>
    <m/>
    <m/>
    <m/>
    <m/>
    <n v="0"/>
  </r>
  <r>
    <s v="EU-4-procurement-policy"/>
    <x v="20"/>
    <s v="EU-4"/>
    <x v="43"/>
    <s v="procurement-policy"/>
    <x v="34"/>
    <x v="1"/>
    <x v="5"/>
    <x v="6"/>
    <n v="7"/>
    <n v="2.5000000000000001E-2"/>
    <x v="1"/>
    <x v="6"/>
    <n v="50"/>
    <x v="5"/>
    <n v="100"/>
    <n v="50"/>
    <s v="quarterly"/>
    <n v="0.9"/>
    <n v="1"/>
    <n v="50"/>
    <x v="3"/>
    <m/>
    <m/>
    <m/>
    <m/>
    <n v="0"/>
  </r>
  <r>
    <s v="EU-4-description"/>
    <x v="20"/>
    <s v="EU-4"/>
    <x v="71"/>
    <s v="description"/>
    <x v="3"/>
    <x v="0"/>
    <x v="0"/>
    <x v="0"/>
    <n v="15"/>
    <n v="1.6299999999999999E-2"/>
    <x v="1"/>
    <x v="6"/>
    <n v="50"/>
    <x v="43"/>
    <n v="99.373695198299998"/>
    <n v="49.6868475992"/>
    <s v="quarterly"/>
    <n v="0.9"/>
    <n v="0.9"/>
    <n v="44.718162839199998"/>
    <x v="3"/>
    <m/>
    <m/>
    <m/>
    <m/>
    <n v="0"/>
  </r>
  <r>
    <s v="EU-4-implementer"/>
    <x v="20"/>
    <s v="EU-4"/>
    <x v="72"/>
    <s v="implementer"/>
    <x v="4"/>
    <x v="0"/>
    <x v="0"/>
    <x v="0"/>
    <n v="12"/>
    <n v="1.6299999999999999E-2"/>
    <x v="1"/>
    <x v="6"/>
    <n v="50"/>
    <x v="44"/>
    <n v="91.022964509399998"/>
    <n v="45.511482254699999"/>
    <s v="quarterly"/>
    <n v="0.9"/>
    <n v="0.9"/>
    <n v="40.960334029199998"/>
    <x v="3"/>
    <m/>
    <m/>
    <m/>
    <m/>
    <n v="0"/>
  </r>
  <r>
    <s v="EU-4-dates-planned"/>
    <x v="20"/>
    <s v="EU-4"/>
    <x v="28"/>
    <s v="dates-planned"/>
    <x v="5"/>
    <x v="0"/>
    <x v="0"/>
    <x v="0"/>
    <n v="16"/>
    <n v="1.6299999999999999E-2"/>
    <x v="1"/>
    <x v="6"/>
    <n v="50"/>
    <x v="14"/>
    <n v="50"/>
    <n v="25"/>
    <s v="quarterly"/>
    <n v="0.9"/>
    <n v="0.9"/>
    <n v="22.5"/>
    <x v="3"/>
    <m/>
    <m/>
    <m/>
    <m/>
    <n v="0"/>
  </r>
  <r>
    <s v="EU-4-title"/>
    <x v="20"/>
    <s v="EU-4"/>
    <x v="73"/>
    <s v="title"/>
    <x v="6"/>
    <x v="0"/>
    <x v="0"/>
    <x v="0"/>
    <n v="14"/>
    <n v="1.6299999999999999E-2"/>
    <x v="1"/>
    <x v="6"/>
    <n v="50"/>
    <x v="45"/>
    <n v="99.756437021599993"/>
    <n v="49.878218510799996"/>
    <s v="quarterly"/>
    <n v="0.9"/>
    <n v="0.9"/>
    <n v="44.890396659700002"/>
    <x v="3"/>
    <m/>
    <m/>
    <m/>
    <m/>
    <n v="0"/>
  </r>
  <r>
    <s v="EU-4-unique-id"/>
    <x v="20"/>
    <s v="EU-4"/>
    <x v="26"/>
    <s v="unique-id"/>
    <x v="7"/>
    <x v="0"/>
    <x v="0"/>
    <x v="0"/>
    <n v="13"/>
    <n v="1.6299999999999999E-2"/>
    <x v="1"/>
    <x v="6"/>
    <n v="50"/>
    <x v="12"/>
    <n v="100"/>
    <n v="50"/>
    <s v="quarterly"/>
    <n v="0.9"/>
    <n v="0.9"/>
    <n v="45"/>
    <x v="3"/>
    <m/>
    <m/>
    <m/>
    <m/>
    <n v="0"/>
  </r>
  <r>
    <s v="EU-4-aid-type"/>
    <x v="20"/>
    <s v="EU-4"/>
    <x v="74"/>
    <s v="aid-type"/>
    <x v="8"/>
    <x v="0"/>
    <x v="1"/>
    <x v="1"/>
    <n v="22"/>
    <n v="1.8599999999999998E-2"/>
    <x v="1"/>
    <x v="6"/>
    <n v="50"/>
    <x v="46"/>
    <n v="77.453027139900001"/>
    <n v="38.7265135699"/>
    <s v="quarterly"/>
    <n v="0.9"/>
    <n v="0.9"/>
    <n v="34.853862212899998"/>
    <x v="3"/>
    <m/>
    <m/>
    <m/>
    <m/>
    <n v="0"/>
  </r>
  <r>
    <s v="EU-4-collaboration-type"/>
    <x v="20"/>
    <s v="EU-4"/>
    <x v="75"/>
    <s v="collaboration-type"/>
    <x v="9"/>
    <x v="0"/>
    <x v="1"/>
    <x v="1"/>
    <n v="20"/>
    <n v="1.8599999999999998E-2"/>
    <x v="1"/>
    <x v="6"/>
    <n v="50"/>
    <x v="44"/>
    <n v="91.022964509399998"/>
    <n v="45.511482254699999"/>
    <s v="quarterly"/>
    <n v="0.9"/>
    <n v="0.9"/>
    <n v="40.960334029199998"/>
    <x v="3"/>
    <m/>
    <m/>
    <m/>
    <m/>
    <n v="0"/>
  </r>
  <r>
    <s v="EU-4-finance-type"/>
    <x v="20"/>
    <s v="EU-4"/>
    <x v="76"/>
    <s v="finance-type"/>
    <x v="10"/>
    <x v="0"/>
    <x v="1"/>
    <x v="1"/>
    <n v="23"/>
    <n v="1.8599999999999998E-2"/>
    <x v="1"/>
    <x v="6"/>
    <n v="50"/>
    <x v="47"/>
    <n v="45.511482254699999"/>
    <n v="22.755741127299999"/>
    <s v="quarterly"/>
    <n v="0.9"/>
    <n v="0.9"/>
    <n v="20.480167014599999"/>
    <x v="3"/>
    <m/>
    <m/>
    <m/>
    <m/>
    <n v="0"/>
  </r>
  <r>
    <s v="EU-4-flow-type"/>
    <x v="20"/>
    <s v="EU-4"/>
    <x v="29"/>
    <s v="flow-type"/>
    <x v="11"/>
    <x v="0"/>
    <x v="1"/>
    <x v="1"/>
    <n v="21"/>
    <n v="1.8599999999999998E-2"/>
    <x v="1"/>
    <x v="6"/>
    <n v="50"/>
    <x v="12"/>
    <n v="100"/>
    <n v="50"/>
    <s v="quarterly"/>
    <n v="0.9"/>
    <n v="0.9"/>
    <n v="45"/>
    <x v="3"/>
    <m/>
    <m/>
    <m/>
    <m/>
    <n v="0"/>
  </r>
  <r>
    <s v="EU-4-sector"/>
    <x v="20"/>
    <s v="EU-4"/>
    <x v="77"/>
    <s v="sector"/>
    <x v="12"/>
    <x v="0"/>
    <x v="1"/>
    <x v="1"/>
    <n v="24"/>
    <n v="1.8599999999999998E-2"/>
    <x v="1"/>
    <x v="6"/>
    <n v="50"/>
    <x v="48"/>
    <n v="42.797494780800001"/>
    <n v="21.398747390400001"/>
    <s v="quarterly"/>
    <n v="0.9"/>
    <n v="0.9"/>
    <n v="19.258872651400001"/>
    <x v="3"/>
    <m/>
    <m/>
    <m/>
    <m/>
    <n v="0"/>
  </r>
  <r>
    <s v="EU-4-tied-aid-status"/>
    <x v="20"/>
    <s v="EU-4"/>
    <x v="29"/>
    <s v="tied-aid-status"/>
    <x v="14"/>
    <x v="0"/>
    <x v="1"/>
    <x v="1"/>
    <n v="26"/>
    <n v="1.8599999999999998E-2"/>
    <x v="1"/>
    <x v="6"/>
    <n v="50"/>
    <x v="12"/>
    <n v="100"/>
    <n v="50"/>
    <s v="quarterly"/>
    <n v="0.9"/>
    <n v="0.9"/>
    <n v="45"/>
    <x v="3"/>
    <m/>
    <m/>
    <m/>
    <m/>
    <n v="0"/>
  </r>
  <r>
    <s v="EU-4-expenditure-actual"/>
    <x v="20"/>
    <s v="EU-4"/>
    <x v="78"/>
    <s v="expenditure-actual"/>
    <x v="15"/>
    <x v="0"/>
    <x v="2"/>
    <x v="2"/>
    <n v="35"/>
    <n v="3.2500000000000001E-2"/>
    <x v="1"/>
    <x v="6"/>
    <n v="50"/>
    <x v="44"/>
    <n v="91.022964509399998"/>
    <n v="45.511482254699999"/>
    <s v="quarterly"/>
    <n v="0.9"/>
    <n v="0.9"/>
    <n v="40.960334029199998"/>
    <x v="3"/>
    <m/>
    <m/>
    <m/>
    <m/>
    <n v="0"/>
  </r>
  <r>
    <s v="EU-4-expenditure-planned"/>
    <x v="20"/>
    <s v="EU-4"/>
    <x v="79"/>
    <s v="expenditure-planned"/>
    <x v="17"/>
    <x v="0"/>
    <x v="2"/>
    <x v="2"/>
    <n v="34"/>
    <n v="3.2500000000000001E-2"/>
    <x v="1"/>
    <x v="6"/>
    <n v="50"/>
    <x v="49"/>
    <n v="8.9770354906099996"/>
    <n v="4.4885177453000003"/>
    <s v="quarterly"/>
    <n v="0.9"/>
    <n v="0.9"/>
    <n v="4.0396659707699998"/>
    <x v="3"/>
    <m/>
    <m/>
    <m/>
    <m/>
    <n v="0"/>
  </r>
  <r>
    <s v="EU-4-annual-report"/>
    <x v="20"/>
    <s v="EU-4"/>
    <x v="43"/>
    <s v="annual-report"/>
    <x v="32"/>
    <x v="1"/>
    <x v="5"/>
    <x v="6"/>
    <n v="5"/>
    <n v="2.5000000000000001E-2"/>
    <x v="1"/>
    <x v="6"/>
    <n v="50"/>
    <x v="5"/>
    <n v="100"/>
    <n v="50"/>
    <s v="quarterly"/>
    <n v="0.9"/>
    <n v="1"/>
    <n v="50"/>
    <x v="3"/>
    <m/>
    <m/>
    <m/>
    <m/>
    <n v="0"/>
  </r>
  <r>
    <s v="EU-4-contact-details"/>
    <x v="20"/>
    <s v="EU-4"/>
    <x v="1"/>
    <s v="contact-details"/>
    <x v="1"/>
    <x v="0"/>
    <x v="0"/>
    <x v="0"/>
    <n v="19"/>
    <n v="1.6299999999999999E-2"/>
    <x v="0"/>
    <x v="1"/>
    <n v="33.33"/>
    <x v="1"/>
    <n v="0"/>
    <n v="0"/>
    <s v="quarterly"/>
    <n v="0.9"/>
    <n v="1"/>
    <n v="0"/>
    <x v="1"/>
    <n v="1"/>
    <m/>
    <s v="website"/>
    <n v="33.33"/>
    <n v="33.33"/>
  </r>
  <r>
    <s v="EU-4-current-status"/>
    <x v="20"/>
    <s v="EU-4"/>
    <x v="0"/>
    <s v="current-status"/>
    <x v="2"/>
    <x v="0"/>
    <x v="0"/>
    <x v="0"/>
    <n v="18"/>
    <n v="1.6299999999999999E-2"/>
    <x v="0"/>
    <x v="0"/>
    <n v="0"/>
    <x v="0"/>
    <n v="0"/>
    <n v="0"/>
    <s v="quarterly"/>
    <n v="0.9"/>
    <n v="1"/>
    <n v="0"/>
    <x v="0"/>
    <n v="0"/>
    <m/>
    <m/>
    <n v="0"/>
    <n v="0"/>
  </r>
  <r>
    <s v="EU-4-country-strategy"/>
    <x v="20"/>
    <s v="EU-4"/>
    <x v="6"/>
    <s v="country-strategy"/>
    <x v="35"/>
    <x v="1"/>
    <x v="5"/>
    <x v="6"/>
    <n v="8"/>
    <n v="2.5000000000000001E-2"/>
    <x v="0"/>
    <x v="2"/>
    <n v="50"/>
    <x v="2"/>
    <n v="0"/>
    <n v="0"/>
    <s v="quarterly"/>
    <n v="0.9"/>
    <n v="1"/>
    <n v="0"/>
    <x v="1"/>
    <n v="1"/>
    <m/>
    <s v="document"/>
    <n v="50"/>
    <n v="50"/>
  </r>
  <r>
    <s v="EU-4-location"/>
    <x v="20"/>
    <s v="EU-4"/>
    <x v="0"/>
    <s v="location"/>
    <x v="13"/>
    <x v="0"/>
    <x v="1"/>
    <x v="1"/>
    <n v="25"/>
    <n v="1.8599999999999998E-2"/>
    <x v="0"/>
    <x v="0"/>
    <n v="0"/>
    <x v="0"/>
    <n v="0"/>
    <n v="0"/>
    <s v="quarterly"/>
    <n v="0.9"/>
    <n v="1"/>
    <n v="0"/>
    <x v="0"/>
    <n v="0"/>
    <m/>
    <m/>
    <n v="0"/>
    <n v="0"/>
  </r>
  <r>
    <s v="EU-4-cost-overall"/>
    <x v="20"/>
    <s v="EU-4"/>
    <x v="0"/>
    <s v="cost-overall"/>
    <x v="16"/>
    <x v="0"/>
    <x v="2"/>
    <x v="2"/>
    <n v="33"/>
    <n v="3.2500000000000001E-2"/>
    <x v="0"/>
    <x v="0"/>
    <n v="0"/>
    <x v="0"/>
    <n v="0"/>
    <n v="0"/>
    <s v="quarterly"/>
    <n v="0.9"/>
    <n v="1"/>
    <n v="0"/>
    <x v="0"/>
    <n v="0"/>
    <m/>
    <m/>
    <n v="0"/>
    <n v="0"/>
  </r>
  <r>
    <s v="EU-4-budget-identifier"/>
    <x v="20"/>
    <s v="EU-4"/>
    <x v="0"/>
    <s v="budget-identifier"/>
    <x v="18"/>
    <x v="0"/>
    <x v="2"/>
    <x v="2"/>
    <n v="36"/>
    <n v="3.2500000000000001E-2"/>
    <x v="0"/>
    <x v="0"/>
    <n v="0"/>
    <x v="0"/>
    <n v="0"/>
    <n v="0"/>
    <s v="quarterly"/>
    <n v="0.9"/>
    <n v="1"/>
    <n v="0"/>
    <x v="0"/>
    <n v="0"/>
    <m/>
    <m/>
    <n v="0"/>
    <n v="0"/>
  </r>
  <r>
    <s v="EU-4-conditions"/>
    <x v="20"/>
    <s v="EU-4"/>
    <x v="0"/>
    <s v="conditions"/>
    <x v="19"/>
    <x v="0"/>
    <x v="3"/>
    <x v="3"/>
    <n v="39"/>
    <n v="4.3299999999999998E-2"/>
    <x v="0"/>
    <x v="2"/>
    <n v="0"/>
    <x v="0"/>
    <n v="0"/>
    <n v="0"/>
    <s v="quarterly"/>
    <n v="0.9"/>
    <n v="1"/>
    <n v="0"/>
    <x v="0"/>
    <n v="0"/>
    <m/>
    <s v="document"/>
    <n v="50"/>
    <n v="0"/>
  </r>
  <r>
    <s v="EU-4-impact-appraisals"/>
    <x v="20"/>
    <s v="EU-4"/>
    <x v="20"/>
    <s v="impact-appraisals"/>
    <x v="20"/>
    <x v="0"/>
    <x v="3"/>
    <x v="3"/>
    <n v="38"/>
    <n v="4.3299999999999998E-2"/>
    <x v="0"/>
    <x v="2"/>
    <n v="50"/>
    <x v="2"/>
    <n v="0"/>
    <n v="0"/>
    <s v="quarterly"/>
    <n v="0.9"/>
    <n v="1"/>
    <n v="0"/>
    <x v="1"/>
    <n v="1"/>
    <m/>
    <s v="document"/>
    <n v="50"/>
    <n v="50"/>
  </r>
  <r>
    <s v="EU-4-results"/>
    <x v="20"/>
    <s v="EU-4"/>
    <x v="0"/>
    <s v="results"/>
    <x v="21"/>
    <x v="0"/>
    <x v="3"/>
    <x v="3"/>
    <n v="37"/>
    <n v="4.3299999999999998E-2"/>
    <x v="0"/>
    <x v="0"/>
    <n v="0"/>
    <x v="0"/>
    <n v="0"/>
    <n v="0"/>
    <s v="quarterly"/>
    <n v="0.9"/>
    <n v="1"/>
    <n v="0"/>
    <x v="0"/>
    <n v="0"/>
    <m/>
    <m/>
    <n v="0"/>
    <n v="0"/>
  </r>
  <r>
    <s v="EU-4-budget"/>
    <x v="20"/>
    <s v="EU-4"/>
    <x v="0"/>
    <s v="budget"/>
    <x v="22"/>
    <x v="0"/>
    <x v="4"/>
    <x v="4"/>
    <n v="30"/>
    <n v="2.1700000000000001E-2"/>
    <x v="0"/>
    <x v="2"/>
    <n v="0"/>
    <x v="0"/>
    <n v="0"/>
    <n v="0"/>
    <s v="quarterly"/>
    <n v="0.9"/>
    <n v="1"/>
    <n v="0"/>
    <x v="0"/>
    <n v="0"/>
    <m/>
    <s v="document"/>
    <n v="50"/>
    <n v="0"/>
  </r>
  <r>
    <s v="EU-4-contracts"/>
    <x v="20"/>
    <s v="EU-4"/>
    <x v="3"/>
    <s v="contracts"/>
    <x v="23"/>
    <x v="0"/>
    <x v="4"/>
    <x v="4"/>
    <n v="31"/>
    <n v="2.1700000000000001E-2"/>
    <x v="0"/>
    <x v="2"/>
    <n v="50"/>
    <x v="2"/>
    <n v="0"/>
    <n v="0"/>
    <s v="quarterly"/>
    <n v="0.9"/>
    <n v="1"/>
    <n v="0"/>
    <x v="1"/>
    <n v="1"/>
    <m/>
    <s v="document"/>
    <n v="50"/>
    <n v="50"/>
  </r>
  <r>
    <s v="EU-4-evaluations"/>
    <x v="20"/>
    <s v="EU-4"/>
    <x v="3"/>
    <s v="evaluations"/>
    <x v="24"/>
    <x v="0"/>
    <x v="4"/>
    <x v="4"/>
    <n v="28"/>
    <n v="2.1700000000000001E-2"/>
    <x v="0"/>
    <x v="2"/>
    <n v="50"/>
    <x v="2"/>
    <n v="0"/>
    <n v="0"/>
    <s v="quarterly"/>
    <n v="0.9"/>
    <n v="1"/>
    <n v="0"/>
    <x v="1"/>
    <n v="1"/>
    <m/>
    <s v="document"/>
    <n v="50"/>
    <n v="50"/>
  </r>
  <r>
    <s v="EU-4-mou"/>
    <x v="20"/>
    <s v="EU-4"/>
    <x v="0"/>
    <s v="mou"/>
    <x v="25"/>
    <x v="0"/>
    <x v="4"/>
    <x v="4"/>
    <n v="27"/>
    <n v="2.1700000000000001E-2"/>
    <x v="0"/>
    <x v="2"/>
    <n v="0"/>
    <x v="0"/>
    <n v="0"/>
    <n v="0"/>
    <s v="quarterly"/>
    <n v="0.9"/>
    <n v="1"/>
    <n v="0"/>
    <x v="0"/>
    <n v="0"/>
    <m/>
    <s v="document"/>
    <n v="50"/>
    <n v="0"/>
  </r>
  <r>
    <s v="EU-4-objectives"/>
    <x v="20"/>
    <s v="EU-4"/>
    <x v="0"/>
    <s v="objectives"/>
    <x v="26"/>
    <x v="0"/>
    <x v="4"/>
    <x v="4"/>
    <n v="29"/>
    <n v="2.1700000000000001E-2"/>
    <x v="0"/>
    <x v="2"/>
    <n v="0"/>
    <x v="0"/>
    <n v="0"/>
    <n v="0"/>
    <s v="quarterly"/>
    <n v="0.9"/>
    <n v="1"/>
    <n v="0"/>
    <x v="2"/>
    <n v="0"/>
    <m/>
    <s v="document"/>
    <n v="50"/>
    <n v="0"/>
  </r>
  <r>
    <s v="EU-4-tenders"/>
    <x v="20"/>
    <s v="EU-4"/>
    <x v="3"/>
    <s v="tenders"/>
    <x v="27"/>
    <x v="0"/>
    <x v="4"/>
    <x v="4"/>
    <n v="32"/>
    <n v="2.1700000000000001E-2"/>
    <x v="0"/>
    <x v="2"/>
    <n v="50"/>
    <x v="2"/>
    <n v="0"/>
    <n v="0"/>
    <s v="quarterly"/>
    <n v="0.9"/>
    <n v="1"/>
    <n v="0"/>
    <x v="1"/>
    <n v="1"/>
    <m/>
    <s v="document"/>
    <n v="50"/>
    <n v="50"/>
  </r>
  <r>
    <s v="EU-4-foia"/>
    <x v="20"/>
    <s v="EU-4"/>
    <x v="10"/>
    <s v="foia"/>
    <x v="36"/>
    <x v="2"/>
    <x v="6"/>
    <x v="7"/>
    <n v="1"/>
    <n v="3.3300000000000003E-2"/>
    <x v="0"/>
    <x v="5"/>
    <n v="100"/>
    <x v="5"/>
    <n v="0"/>
    <n v="0"/>
    <s v="quarterly"/>
    <n v="0.9"/>
    <n v="1"/>
    <n v="0"/>
    <x v="3"/>
    <n v="0"/>
    <n v="100"/>
    <m/>
    <n v="0"/>
    <n v="100"/>
  </r>
  <r>
    <s v="EU-4-accessibility"/>
    <x v="20"/>
    <s v="EU-4"/>
    <x v="10"/>
    <s v="accessibility"/>
    <x v="37"/>
    <x v="2"/>
    <x v="6"/>
    <x v="7"/>
    <n v="3"/>
    <n v="3.3300000000000003E-2"/>
    <x v="0"/>
    <x v="5"/>
    <n v="100"/>
    <x v="5"/>
    <n v="0"/>
    <n v="0"/>
    <s v="quarterly"/>
    <n v="0.9"/>
    <n v="1"/>
    <n v="0"/>
    <x v="3"/>
    <n v="0"/>
    <n v="100"/>
    <m/>
    <n v="0"/>
    <n v="100"/>
  </r>
  <r>
    <s v="EU-4-implementation-schedules"/>
    <x v="20"/>
    <s v="EU-4"/>
    <x v="80"/>
    <s v="implementation-schedules"/>
    <x v="38"/>
    <x v="2"/>
    <x v="6"/>
    <x v="7"/>
    <n v="2"/>
    <n v="3.3300000000000003E-2"/>
    <x v="0"/>
    <x v="5"/>
    <n v="59"/>
    <x v="50"/>
    <n v="0"/>
    <n v="0"/>
    <s v="quarterly"/>
    <n v="0.9"/>
    <n v="1"/>
    <n v="0"/>
    <x v="3"/>
    <n v="0"/>
    <n v="59"/>
    <m/>
    <n v="0"/>
    <n v="59"/>
  </r>
  <r>
    <s v="SE-6-dates-actual"/>
    <x v="21"/>
    <s v="SE-6"/>
    <x v="81"/>
    <s v="dates-actual"/>
    <x v="0"/>
    <x v="0"/>
    <x v="0"/>
    <x v="0"/>
    <n v="17"/>
    <n v="1.6299999999999999E-2"/>
    <x v="1"/>
    <x v="6"/>
    <n v="50"/>
    <x v="51"/>
    <n v="99.881458003099993"/>
    <n v="49.940729001500003"/>
    <s v="monthly"/>
    <n v="1"/>
    <n v="1"/>
    <n v="49.940729001500003"/>
    <x v="3"/>
    <m/>
    <m/>
    <m/>
    <m/>
    <n v="0"/>
  </r>
  <r>
    <s v="SE-6-contact-details"/>
    <x v="21"/>
    <s v="SE-6"/>
    <x v="46"/>
    <s v="contact-details"/>
    <x v="1"/>
    <x v="0"/>
    <x v="0"/>
    <x v="0"/>
    <n v="19"/>
    <n v="1.6299999999999999E-2"/>
    <x v="1"/>
    <x v="6"/>
    <n v="50"/>
    <x v="5"/>
    <n v="100"/>
    <n v="50"/>
    <s v="monthly"/>
    <n v="1"/>
    <n v="1"/>
    <n v="50"/>
    <x v="3"/>
    <m/>
    <m/>
    <m/>
    <m/>
    <n v="0"/>
  </r>
  <r>
    <s v="SE-6-current-status"/>
    <x v="21"/>
    <s v="SE-6"/>
    <x v="46"/>
    <s v="current-status"/>
    <x v="2"/>
    <x v="0"/>
    <x v="0"/>
    <x v="0"/>
    <n v="18"/>
    <n v="1.6299999999999999E-2"/>
    <x v="1"/>
    <x v="6"/>
    <n v="50"/>
    <x v="5"/>
    <n v="100"/>
    <n v="50"/>
    <s v="monthly"/>
    <n v="1"/>
    <n v="1"/>
    <n v="50"/>
    <x v="3"/>
    <m/>
    <m/>
    <m/>
    <m/>
    <n v="0"/>
  </r>
  <r>
    <s v="SE-6-description"/>
    <x v="21"/>
    <s v="SE-6"/>
    <x v="82"/>
    <s v="description"/>
    <x v="3"/>
    <x v="0"/>
    <x v="0"/>
    <x v="0"/>
    <n v="15"/>
    <n v="1.6299999999999999E-2"/>
    <x v="1"/>
    <x v="6"/>
    <n v="50"/>
    <x v="52"/>
    <n v="85.896801846399995"/>
    <n v="42.948400923199998"/>
    <s v="monthly"/>
    <n v="1"/>
    <n v="1"/>
    <n v="42.948400923199998"/>
    <x v="3"/>
    <m/>
    <m/>
    <m/>
    <m/>
    <n v="0"/>
  </r>
  <r>
    <s v="SE-6-implementer"/>
    <x v="21"/>
    <s v="SE-6"/>
    <x v="83"/>
    <s v="implementer"/>
    <x v="4"/>
    <x v="0"/>
    <x v="0"/>
    <x v="0"/>
    <n v="12"/>
    <n v="1.6299999999999999E-2"/>
    <x v="1"/>
    <x v="6"/>
    <n v="50"/>
    <x v="53"/>
    <n v="87.957078002499998"/>
    <n v="43.978539001199998"/>
    <s v="monthly"/>
    <n v="1"/>
    <n v="1"/>
    <n v="43.978539001199998"/>
    <x v="3"/>
    <m/>
    <m/>
    <m/>
    <m/>
    <n v="0"/>
  </r>
  <r>
    <s v="SE-6-dates-planned"/>
    <x v="21"/>
    <s v="SE-6"/>
    <x v="84"/>
    <s v="dates-planned"/>
    <x v="5"/>
    <x v="0"/>
    <x v="0"/>
    <x v="0"/>
    <n v="16"/>
    <n v="1.6299999999999999E-2"/>
    <x v="1"/>
    <x v="6"/>
    <n v="50"/>
    <x v="54"/>
    <n v="4.94559841741E-2"/>
    <n v="2.4727992087000002E-2"/>
    <s v="monthly"/>
    <n v="1"/>
    <n v="1"/>
    <n v="2.4727992087000002E-2"/>
    <x v="3"/>
    <m/>
    <m/>
    <m/>
    <m/>
    <n v="0"/>
  </r>
  <r>
    <s v="SE-6-title"/>
    <x v="21"/>
    <s v="SE-6"/>
    <x v="85"/>
    <s v="title"/>
    <x v="6"/>
    <x v="0"/>
    <x v="0"/>
    <x v="0"/>
    <n v="14"/>
    <n v="1.6299999999999999E-2"/>
    <x v="1"/>
    <x v="6"/>
    <n v="50"/>
    <x v="55"/>
    <n v="99.9793933399"/>
    <n v="49.989696670000001"/>
    <s v="monthly"/>
    <n v="1"/>
    <n v="1"/>
    <n v="49.989696670000001"/>
    <x v="3"/>
    <m/>
    <m/>
    <m/>
    <m/>
    <n v="0"/>
  </r>
  <r>
    <s v="SE-6-unique-id"/>
    <x v="21"/>
    <s v="SE-6"/>
    <x v="86"/>
    <s v="unique-id"/>
    <x v="7"/>
    <x v="0"/>
    <x v="0"/>
    <x v="0"/>
    <n v="13"/>
    <n v="1.6299999999999999E-2"/>
    <x v="1"/>
    <x v="6"/>
    <n v="50"/>
    <x v="56"/>
    <n v="99.995878668000003"/>
    <n v="49.997939334000002"/>
    <s v="monthly"/>
    <n v="1"/>
    <n v="1"/>
    <n v="49.997939334000002"/>
    <x v="3"/>
    <m/>
    <m/>
    <m/>
    <m/>
    <n v="0"/>
  </r>
  <r>
    <s v="SE-6-aid-type"/>
    <x v="21"/>
    <s v="SE-6"/>
    <x v="87"/>
    <s v="aid-type"/>
    <x v="8"/>
    <x v="0"/>
    <x v="1"/>
    <x v="1"/>
    <n v="22"/>
    <n v="1.8599999999999998E-2"/>
    <x v="1"/>
    <x v="6"/>
    <n v="50"/>
    <x v="57"/>
    <n v="99.983491539400006"/>
    <n v="49.991745769700003"/>
    <s v="monthly"/>
    <n v="1"/>
    <n v="1"/>
    <n v="49.991745769700003"/>
    <x v="3"/>
    <m/>
    <m/>
    <m/>
    <m/>
    <n v="0"/>
  </r>
  <r>
    <s v="SE-6-collaboration-type"/>
    <x v="21"/>
    <s v="SE-6"/>
    <x v="47"/>
    <s v="collaboration-type"/>
    <x v="9"/>
    <x v="0"/>
    <x v="1"/>
    <x v="1"/>
    <n v="20"/>
    <n v="1.8599999999999998E-2"/>
    <x v="1"/>
    <x v="6"/>
    <n v="50"/>
    <x v="5"/>
    <n v="100"/>
    <n v="50"/>
    <s v="monthly"/>
    <n v="1"/>
    <n v="1"/>
    <n v="50"/>
    <x v="3"/>
    <m/>
    <m/>
    <m/>
    <m/>
    <n v="0"/>
  </r>
  <r>
    <s v="SE-6-finance-type"/>
    <x v="21"/>
    <s v="SE-6"/>
    <x v="47"/>
    <s v="finance-type"/>
    <x v="10"/>
    <x v="0"/>
    <x v="1"/>
    <x v="1"/>
    <n v="23"/>
    <n v="1.8599999999999998E-2"/>
    <x v="1"/>
    <x v="6"/>
    <n v="50"/>
    <x v="5"/>
    <n v="100"/>
    <n v="50"/>
    <s v="monthly"/>
    <n v="1"/>
    <n v="1"/>
    <n v="50"/>
    <x v="3"/>
    <m/>
    <m/>
    <m/>
    <m/>
    <n v="0"/>
  </r>
  <r>
    <s v="SE-6-flow-type"/>
    <x v="21"/>
    <s v="SE-6"/>
    <x v="47"/>
    <s v="flow-type"/>
    <x v="11"/>
    <x v="0"/>
    <x v="1"/>
    <x v="1"/>
    <n v="21"/>
    <n v="1.8599999999999998E-2"/>
    <x v="1"/>
    <x v="6"/>
    <n v="50"/>
    <x v="5"/>
    <n v="100"/>
    <n v="50"/>
    <s v="monthly"/>
    <n v="1"/>
    <n v="1"/>
    <n v="50"/>
    <x v="3"/>
    <m/>
    <m/>
    <m/>
    <m/>
    <n v="0"/>
  </r>
  <r>
    <s v="SE-6-sector"/>
    <x v="21"/>
    <s v="SE-6"/>
    <x v="88"/>
    <s v="sector"/>
    <x v="12"/>
    <x v="0"/>
    <x v="1"/>
    <x v="1"/>
    <n v="24"/>
    <n v="1.8599999999999998E-2"/>
    <x v="1"/>
    <x v="6"/>
    <n v="50"/>
    <x v="58"/>
    <n v="99.938180019800001"/>
    <n v="49.9690900099"/>
    <s v="monthly"/>
    <n v="1"/>
    <n v="1"/>
    <n v="49.9690900099"/>
    <x v="3"/>
    <m/>
    <m/>
    <m/>
    <m/>
    <n v="0"/>
  </r>
  <r>
    <s v="SE-6-location"/>
    <x v="21"/>
    <s v="SE-6"/>
    <x v="89"/>
    <s v="location"/>
    <x v="13"/>
    <x v="0"/>
    <x v="1"/>
    <x v="1"/>
    <n v="25"/>
    <n v="1.8599999999999998E-2"/>
    <x v="1"/>
    <x v="6"/>
    <n v="50"/>
    <x v="59"/>
    <n v="0.183440753594"/>
    <n v="9.1720376797200007E-2"/>
    <s v="monthly"/>
    <n v="1"/>
    <n v="1"/>
    <n v="9.1720376797200007E-2"/>
    <x v="3"/>
    <m/>
    <m/>
    <m/>
    <m/>
    <n v="0"/>
  </r>
  <r>
    <s v="SE-6-tied-aid-status"/>
    <x v="21"/>
    <s v="SE-6"/>
    <x v="90"/>
    <s v="tied-aid-status"/>
    <x v="14"/>
    <x v="0"/>
    <x v="1"/>
    <x v="1"/>
    <n v="26"/>
    <n v="1.8599999999999998E-2"/>
    <x v="1"/>
    <x v="6"/>
    <n v="50"/>
    <x v="60"/>
    <n v="96.021460998799995"/>
    <n v="48.010730499399997"/>
    <s v="monthly"/>
    <n v="1"/>
    <n v="1"/>
    <n v="48.010730499399997"/>
    <x v="3"/>
    <m/>
    <m/>
    <m/>
    <m/>
    <n v="0"/>
  </r>
  <r>
    <s v="SE-6-expenditure-actual"/>
    <x v="21"/>
    <s v="SE-6"/>
    <x v="91"/>
    <s v="expenditure-actual"/>
    <x v="15"/>
    <x v="0"/>
    <x v="2"/>
    <x v="2"/>
    <n v="35"/>
    <n v="3.2500000000000001E-2"/>
    <x v="1"/>
    <x v="6"/>
    <n v="50"/>
    <x v="61"/>
    <n v="91.333058192300001"/>
    <n v="45.666529096200001"/>
    <s v="monthly"/>
    <n v="1"/>
    <n v="1"/>
    <n v="45.666529096200001"/>
    <x v="3"/>
    <m/>
    <m/>
    <m/>
    <m/>
    <n v="0"/>
  </r>
  <r>
    <s v="SE-6-cost-overall"/>
    <x v="21"/>
    <s v="SE-6"/>
    <x v="92"/>
    <s v="cost-overall"/>
    <x v="16"/>
    <x v="0"/>
    <x v="2"/>
    <x v="2"/>
    <n v="33"/>
    <n v="3.2500000000000001E-2"/>
    <x v="1"/>
    <x v="6"/>
    <n v="50"/>
    <x v="62"/>
    <n v="27.423494570599999"/>
    <n v="13.7117472853"/>
    <s v="monthly"/>
    <n v="1"/>
    <n v="1"/>
    <n v="13.7117472853"/>
    <x v="3"/>
    <m/>
    <m/>
    <m/>
    <m/>
    <n v="0"/>
  </r>
  <r>
    <s v="SE-6-expenditure-planned"/>
    <x v="21"/>
    <s v="SE-6"/>
    <x v="93"/>
    <s v="expenditure-planned"/>
    <x v="17"/>
    <x v="0"/>
    <x v="2"/>
    <x v="2"/>
    <n v="34"/>
    <n v="3.2500000000000001E-2"/>
    <x v="1"/>
    <x v="6"/>
    <n v="50"/>
    <x v="63"/>
    <n v="62.2286421791"/>
    <n v="31.114321089600001"/>
    <s v="monthly"/>
    <n v="1"/>
    <n v="1"/>
    <n v="31.114321089600001"/>
    <x v="3"/>
    <m/>
    <m/>
    <m/>
    <m/>
    <n v="0"/>
  </r>
  <r>
    <s v="SE-6-budget-identifier"/>
    <x v="21"/>
    <s v="SE-6"/>
    <x v="94"/>
    <s v="budget-identifier"/>
    <x v="18"/>
    <x v="0"/>
    <x v="2"/>
    <x v="2"/>
    <n v="36"/>
    <n v="3.2500000000000001E-2"/>
    <x v="1"/>
    <x v="6"/>
    <n v="50"/>
    <x v="64"/>
    <n v="31.8407343091"/>
    <n v="15.920367154599999"/>
    <s v="monthly"/>
    <n v="1"/>
    <n v="1"/>
    <n v="15.920367154599999"/>
    <x v="3"/>
    <m/>
    <m/>
    <m/>
    <m/>
    <n v="0"/>
  </r>
  <r>
    <s v="SE-6-conditions"/>
    <x v="21"/>
    <s v="SE-6"/>
    <x v="95"/>
    <s v="conditions"/>
    <x v="19"/>
    <x v="0"/>
    <x v="3"/>
    <x v="3"/>
    <n v="39"/>
    <n v="4.3299999999999998E-2"/>
    <x v="1"/>
    <x v="6"/>
    <n v="50"/>
    <x v="65"/>
    <n v="54.8122162608"/>
    <n v="27.4061081304"/>
    <s v="monthly"/>
    <n v="1"/>
    <n v="1"/>
    <n v="27.4061081304"/>
    <x v="3"/>
    <m/>
    <m/>
    <m/>
    <m/>
    <n v="0"/>
  </r>
  <r>
    <s v="SE-6-impact-appraisals"/>
    <x v="21"/>
    <s v="SE-6"/>
    <x v="96"/>
    <s v="impact-appraisals"/>
    <x v="20"/>
    <x v="0"/>
    <x v="3"/>
    <x v="3"/>
    <n v="38"/>
    <n v="4.3299999999999998E-2"/>
    <x v="1"/>
    <x v="6"/>
    <n v="50"/>
    <x v="66"/>
    <n v="2.1213371853099998"/>
    <n v="1.0606685926499999"/>
    <s v="monthly"/>
    <n v="1"/>
    <n v="1"/>
    <n v="1.0606685926499999"/>
    <x v="3"/>
    <m/>
    <m/>
    <m/>
    <m/>
    <n v="0"/>
  </r>
  <r>
    <s v="SE-6-results"/>
    <x v="21"/>
    <s v="SE-6"/>
    <x v="97"/>
    <s v="results"/>
    <x v="21"/>
    <x v="0"/>
    <x v="3"/>
    <x v="3"/>
    <n v="37"/>
    <n v="4.3299999999999998E-2"/>
    <x v="1"/>
    <x v="6"/>
    <n v="50"/>
    <x v="67"/>
    <n v="2.73215022699"/>
    <n v="1.3660751135"/>
    <s v="monthly"/>
    <n v="1"/>
    <n v="1"/>
    <n v="1.3660751135"/>
    <x v="3"/>
    <m/>
    <m/>
    <m/>
    <m/>
    <n v="0"/>
  </r>
  <r>
    <s v="SE-6-budget"/>
    <x v="21"/>
    <s v="SE-6"/>
    <x v="98"/>
    <s v="budget"/>
    <x v="22"/>
    <x v="0"/>
    <x v="4"/>
    <x v="4"/>
    <n v="30"/>
    <n v="2.1700000000000001E-2"/>
    <x v="1"/>
    <x v="6"/>
    <n v="50"/>
    <x v="68"/>
    <n v="5.4022798612300003"/>
    <n v="2.7011399306100001"/>
    <s v="monthly"/>
    <n v="1"/>
    <n v="1"/>
    <n v="2.7011399306100001"/>
    <x v="3"/>
    <m/>
    <m/>
    <m/>
    <m/>
    <n v="0"/>
  </r>
  <r>
    <s v="SE-6-contracts"/>
    <x v="21"/>
    <s v="SE-6"/>
    <x v="99"/>
    <s v="contracts"/>
    <x v="23"/>
    <x v="0"/>
    <x v="4"/>
    <x v="4"/>
    <n v="31"/>
    <n v="2.1700000000000001E-2"/>
    <x v="1"/>
    <x v="6"/>
    <n v="50"/>
    <x v="69"/>
    <n v="4.3614736494299997"/>
    <n v="2.1807368247199999"/>
    <s v="monthly"/>
    <n v="1"/>
    <n v="1"/>
    <n v="2.1807368247199999"/>
    <x v="3"/>
    <m/>
    <m/>
    <m/>
    <m/>
    <n v="0"/>
  </r>
  <r>
    <s v="SE-6-evaluations"/>
    <x v="21"/>
    <s v="SE-6"/>
    <x v="100"/>
    <s v="evaluations"/>
    <x v="24"/>
    <x v="0"/>
    <x v="4"/>
    <x v="4"/>
    <n v="28"/>
    <n v="2.1700000000000001E-2"/>
    <x v="1"/>
    <x v="6"/>
    <n v="50"/>
    <x v="70"/>
    <n v="5.5954985933100003"/>
    <n v="2.7977492966600002"/>
    <s v="monthly"/>
    <n v="1"/>
    <n v="1"/>
    <n v="2.7977492966600002"/>
    <x v="3"/>
    <m/>
    <m/>
    <m/>
    <m/>
    <n v="0"/>
  </r>
  <r>
    <s v="SE-6-mou"/>
    <x v="21"/>
    <s v="SE-6"/>
    <x v="101"/>
    <s v="mou"/>
    <x v="25"/>
    <x v="0"/>
    <x v="4"/>
    <x v="4"/>
    <n v="27"/>
    <n v="2.1700000000000001E-2"/>
    <x v="1"/>
    <x v="6"/>
    <n v="50"/>
    <x v="71"/>
    <n v="9.6244325216700002"/>
    <n v="4.8122162608299996"/>
    <s v="monthly"/>
    <n v="1"/>
    <n v="1"/>
    <n v="4.8122162608299996"/>
    <x v="3"/>
    <m/>
    <m/>
    <m/>
    <m/>
    <n v="0"/>
  </r>
  <r>
    <s v="SE-6-objectives"/>
    <x v="21"/>
    <s v="SE-6"/>
    <x v="102"/>
    <s v="objectives"/>
    <x v="26"/>
    <x v="0"/>
    <x v="4"/>
    <x v="4"/>
    <n v="29"/>
    <n v="2.1700000000000001E-2"/>
    <x v="1"/>
    <x v="6"/>
    <n v="50"/>
    <x v="66"/>
    <n v="2.1213371853099998"/>
    <n v="1.0606685926499999"/>
    <s v="monthly"/>
    <n v="1"/>
    <n v="1"/>
    <n v="1.0606685926499999"/>
    <x v="3"/>
    <m/>
    <m/>
    <m/>
    <m/>
    <n v="0"/>
  </r>
  <r>
    <s v="SE-6-tenders"/>
    <x v="21"/>
    <s v="SE-6"/>
    <x v="103"/>
    <s v="tenders"/>
    <x v="27"/>
    <x v="0"/>
    <x v="4"/>
    <x v="4"/>
    <n v="32"/>
    <n v="2.1700000000000001E-2"/>
    <x v="1"/>
    <x v="6"/>
    <n v="50"/>
    <x v="72"/>
    <n v="1.4951263836099999"/>
    <n v="0.74756319180599995"/>
    <s v="monthly"/>
    <n v="1"/>
    <n v="1"/>
    <n v="0.74756319180599995"/>
    <x v="3"/>
    <m/>
    <m/>
    <m/>
    <m/>
    <n v="0"/>
  </r>
  <r>
    <s v="SE-6-audit"/>
    <x v="21"/>
    <s v="SE-6"/>
    <x v="42"/>
    <s v="audit"/>
    <x v="28"/>
    <x v="1"/>
    <x v="2"/>
    <x v="5"/>
    <n v="11"/>
    <n v="4.1700000000000001E-2"/>
    <x v="1"/>
    <x v="6"/>
    <n v="50"/>
    <x v="5"/>
    <n v="100"/>
    <n v="50"/>
    <s v="monthly"/>
    <n v="1"/>
    <n v="1"/>
    <n v="50"/>
    <x v="3"/>
    <m/>
    <m/>
    <m/>
    <m/>
    <n v="0"/>
  </r>
  <r>
    <s v="SE-6-total-budget"/>
    <x v="21"/>
    <s v="SE-6"/>
    <x v="42"/>
    <s v="total-budget"/>
    <x v="29"/>
    <x v="1"/>
    <x v="2"/>
    <x v="5"/>
    <n v="9"/>
    <n v="4.1700000000000001E-2"/>
    <x v="1"/>
    <x v="6"/>
    <n v="50"/>
    <x v="5"/>
    <n v="100"/>
    <n v="50"/>
    <s v="monthly"/>
    <n v="1"/>
    <n v="1"/>
    <n v="50"/>
    <x v="3"/>
    <m/>
    <m/>
    <m/>
    <m/>
    <n v="0"/>
  </r>
  <r>
    <s v="SE-6-disaggregated-budgets"/>
    <x v="21"/>
    <s v="SE-6"/>
    <x v="104"/>
    <s v="disaggregated-budgets"/>
    <x v="30"/>
    <x v="1"/>
    <x v="2"/>
    <x v="5"/>
    <n v="10"/>
    <n v="4.1700000000000001E-2"/>
    <x v="1"/>
    <x v="6"/>
    <n v="50"/>
    <x v="73"/>
    <n v="94.2128101845"/>
    <n v="47.106405092199999"/>
    <s v="monthly"/>
    <n v="1"/>
    <n v="1"/>
    <n v="47.106405092199999"/>
    <x v="3"/>
    <m/>
    <m/>
    <m/>
    <m/>
    <n v="0"/>
  </r>
  <r>
    <s v="SE-6-strategy"/>
    <x v="21"/>
    <s v="SE-6"/>
    <x v="43"/>
    <s v="strategy"/>
    <x v="31"/>
    <x v="1"/>
    <x v="5"/>
    <x v="6"/>
    <n v="4"/>
    <n v="2.5000000000000001E-2"/>
    <x v="1"/>
    <x v="6"/>
    <n v="50"/>
    <x v="5"/>
    <n v="100"/>
    <n v="50"/>
    <s v="monthly"/>
    <n v="1"/>
    <n v="1"/>
    <n v="50"/>
    <x v="3"/>
    <m/>
    <m/>
    <m/>
    <m/>
    <n v="0"/>
  </r>
  <r>
    <s v="SE-6-annual-report"/>
    <x v="21"/>
    <s v="SE-6"/>
    <x v="43"/>
    <s v="annual-report"/>
    <x v="32"/>
    <x v="1"/>
    <x v="5"/>
    <x v="6"/>
    <n v="5"/>
    <n v="2.5000000000000001E-2"/>
    <x v="1"/>
    <x v="6"/>
    <n v="50"/>
    <x v="5"/>
    <n v="100"/>
    <n v="50"/>
    <s v="monthly"/>
    <n v="1"/>
    <n v="1"/>
    <n v="50"/>
    <x v="3"/>
    <m/>
    <m/>
    <m/>
    <m/>
    <n v="0"/>
  </r>
  <r>
    <s v="SE-6-allocation"/>
    <x v="21"/>
    <s v="SE-6"/>
    <x v="43"/>
    <s v="allocation"/>
    <x v="33"/>
    <x v="1"/>
    <x v="5"/>
    <x v="6"/>
    <n v="6"/>
    <n v="2.5000000000000001E-2"/>
    <x v="1"/>
    <x v="6"/>
    <n v="50"/>
    <x v="5"/>
    <n v="100"/>
    <n v="50"/>
    <s v="monthly"/>
    <n v="1"/>
    <n v="1"/>
    <n v="50"/>
    <x v="3"/>
    <m/>
    <m/>
    <m/>
    <m/>
    <n v="0"/>
  </r>
  <r>
    <s v="SE-6-procurement-policy"/>
    <x v="21"/>
    <s v="SE-6"/>
    <x v="43"/>
    <s v="procurement-policy"/>
    <x v="34"/>
    <x v="1"/>
    <x v="5"/>
    <x v="6"/>
    <n v="7"/>
    <n v="2.5000000000000001E-2"/>
    <x v="1"/>
    <x v="6"/>
    <n v="50"/>
    <x v="5"/>
    <n v="100"/>
    <n v="50"/>
    <s v="monthly"/>
    <n v="1"/>
    <n v="1"/>
    <n v="50"/>
    <x v="3"/>
    <m/>
    <m/>
    <m/>
    <m/>
    <n v="0"/>
  </r>
  <r>
    <s v="SE-6-country-strategy"/>
    <x v="21"/>
    <s v="SE-6"/>
    <x v="105"/>
    <s v="country-strategy"/>
    <x v="35"/>
    <x v="1"/>
    <x v="5"/>
    <x v="6"/>
    <n v="8"/>
    <n v="2.5000000000000001E-2"/>
    <x v="1"/>
    <x v="6"/>
    <n v="50"/>
    <x v="74"/>
    <n v="94.444444444400006"/>
    <n v="47.222222222200003"/>
    <s v="monthly"/>
    <n v="1"/>
    <n v="1"/>
    <n v="47.222222222200003"/>
    <x v="3"/>
    <m/>
    <m/>
    <m/>
    <m/>
    <n v="0"/>
  </r>
  <r>
    <s v="SE-6-foia"/>
    <x v="21"/>
    <s v="SE-6"/>
    <x v="10"/>
    <s v="foia"/>
    <x v="36"/>
    <x v="2"/>
    <x v="6"/>
    <x v="7"/>
    <n v="1"/>
    <n v="3.3300000000000003E-2"/>
    <x v="0"/>
    <x v="5"/>
    <n v="100"/>
    <x v="5"/>
    <n v="0"/>
    <n v="0"/>
    <s v="monthly"/>
    <n v="1"/>
    <n v="1"/>
    <n v="0"/>
    <x v="3"/>
    <n v="0"/>
    <n v="100"/>
    <m/>
    <n v="0"/>
    <n v="100"/>
  </r>
  <r>
    <s v="SE-6-accessibility"/>
    <x v="21"/>
    <s v="SE-6"/>
    <x v="10"/>
    <s v="accessibility"/>
    <x v="37"/>
    <x v="2"/>
    <x v="6"/>
    <x v="7"/>
    <n v="3"/>
    <n v="3.3300000000000003E-2"/>
    <x v="0"/>
    <x v="5"/>
    <n v="100"/>
    <x v="5"/>
    <n v="0"/>
    <n v="0"/>
    <s v="monthly"/>
    <n v="1"/>
    <n v="1"/>
    <n v="0"/>
    <x v="3"/>
    <n v="0"/>
    <n v="100"/>
    <m/>
    <n v="0"/>
    <n v="100"/>
  </r>
  <r>
    <s v="SE-6-implementation-schedules"/>
    <x v="21"/>
    <s v="SE-6"/>
    <x v="106"/>
    <s v="implementation-schedules"/>
    <x v="38"/>
    <x v="2"/>
    <x v="6"/>
    <x v="7"/>
    <n v="2"/>
    <n v="3.3300000000000003E-2"/>
    <x v="0"/>
    <x v="5"/>
    <n v="95"/>
    <x v="12"/>
    <n v="0"/>
    <n v="0"/>
    <s v="monthly"/>
    <n v="1"/>
    <n v="1"/>
    <n v="0"/>
    <x v="3"/>
    <n v="0"/>
    <n v="95"/>
    <m/>
    <n v="0"/>
    <n v="95"/>
  </r>
  <r>
    <s v="ES-5-contact-details"/>
    <x v="22"/>
    <s v="ES-5"/>
    <x v="46"/>
    <s v="contact-details"/>
    <x v="1"/>
    <x v="0"/>
    <x v="0"/>
    <x v="0"/>
    <n v="19"/>
    <n v="1.6299999999999999E-2"/>
    <x v="1"/>
    <x v="6"/>
    <n v="50"/>
    <x v="5"/>
    <n v="100"/>
    <n v="50"/>
    <s v="monthly"/>
    <n v="1"/>
    <n v="1"/>
    <n v="50"/>
    <x v="3"/>
    <m/>
    <m/>
    <m/>
    <m/>
    <n v="0"/>
  </r>
  <r>
    <s v="ES-5-description"/>
    <x v="22"/>
    <s v="ES-5"/>
    <x v="107"/>
    <s v="description"/>
    <x v="3"/>
    <x v="0"/>
    <x v="0"/>
    <x v="0"/>
    <n v="15"/>
    <n v="1.6299999999999999E-2"/>
    <x v="1"/>
    <x v="6"/>
    <n v="50"/>
    <x v="75"/>
    <n v="96.919483985799999"/>
    <n v="48.4597419929"/>
    <s v="monthly"/>
    <n v="1"/>
    <n v="1"/>
    <n v="48.4597419929"/>
    <x v="3"/>
    <m/>
    <m/>
    <m/>
    <m/>
    <n v="0"/>
  </r>
  <r>
    <s v="ES-5-implementer"/>
    <x v="22"/>
    <s v="ES-5"/>
    <x v="46"/>
    <s v="implementer"/>
    <x v="4"/>
    <x v="0"/>
    <x v="0"/>
    <x v="0"/>
    <n v="12"/>
    <n v="1.6299999999999999E-2"/>
    <x v="1"/>
    <x v="6"/>
    <n v="50"/>
    <x v="5"/>
    <n v="100"/>
    <n v="50"/>
    <s v="monthly"/>
    <n v="1"/>
    <n v="1"/>
    <n v="50"/>
    <x v="3"/>
    <m/>
    <m/>
    <m/>
    <m/>
    <n v="0"/>
  </r>
  <r>
    <s v="ES-5-dates-planned"/>
    <x v="22"/>
    <s v="ES-5"/>
    <x v="46"/>
    <s v="dates-planned"/>
    <x v="5"/>
    <x v="0"/>
    <x v="0"/>
    <x v="0"/>
    <n v="16"/>
    <n v="1.6299999999999999E-2"/>
    <x v="1"/>
    <x v="6"/>
    <n v="50"/>
    <x v="5"/>
    <n v="100"/>
    <n v="50"/>
    <s v="monthly"/>
    <n v="1"/>
    <n v="1"/>
    <n v="50"/>
    <x v="3"/>
    <m/>
    <m/>
    <m/>
    <m/>
    <n v="0"/>
  </r>
  <r>
    <s v="ES-5-title"/>
    <x v="22"/>
    <s v="ES-5"/>
    <x v="108"/>
    <s v="title"/>
    <x v="6"/>
    <x v="0"/>
    <x v="0"/>
    <x v="0"/>
    <n v="14"/>
    <n v="1.6299999999999999E-2"/>
    <x v="1"/>
    <x v="6"/>
    <n v="50"/>
    <x v="76"/>
    <n v="99.877669039099999"/>
    <n v="49.9388345196"/>
    <s v="monthly"/>
    <n v="1"/>
    <n v="1"/>
    <n v="49.9388345196"/>
    <x v="3"/>
    <m/>
    <m/>
    <m/>
    <m/>
    <n v="0"/>
  </r>
  <r>
    <s v="ES-5-unique-id"/>
    <x v="22"/>
    <s v="ES-5"/>
    <x v="46"/>
    <s v="unique-id"/>
    <x v="7"/>
    <x v="0"/>
    <x v="0"/>
    <x v="0"/>
    <n v="13"/>
    <n v="1.6299999999999999E-2"/>
    <x v="1"/>
    <x v="6"/>
    <n v="50"/>
    <x v="5"/>
    <n v="100"/>
    <n v="50"/>
    <s v="monthly"/>
    <n v="1"/>
    <n v="1"/>
    <n v="50"/>
    <x v="3"/>
    <m/>
    <m/>
    <m/>
    <m/>
    <n v="0"/>
  </r>
  <r>
    <s v="ES-5-aid-type"/>
    <x v="22"/>
    <s v="ES-5"/>
    <x v="109"/>
    <s v="aid-type"/>
    <x v="8"/>
    <x v="0"/>
    <x v="1"/>
    <x v="1"/>
    <n v="22"/>
    <n v="1.8599999999999998E-2"/>
    <x v="1"/>
    <x v="6"/>
    <n v="50"/>
    <x v="77"/>
    <n v="92.938167259799997"/>
    <n v="46.469083629899998"/>
    <s v="monthly"/>
    <n v="1"/>
    <n v="1"/>
    <n v="46.469083629899998"/>
    <x v="3"/>
    <m/>
    <m/>
    <m/>
    <m/>
    <n v="0"/>
  </r>
  <r>
    <s v="ES-5-collaboration-type"/>
    <x v="22"/>
    <s v="ES-5"/>
    <x v="47"/>
    <s v="collaboration-type"/>
    <x v="9"/>
    <x v="0"/>
    <x v="1"/>
    <x v="1"/>
    <n v="20"/>
    <n v="1.8599999999999998E-2"/>
    <x v="1"/>
    <x v="6"/>
    <n v="50"/>
    <x v="5"/>
    <n v="100"/>
    <n v="50"/>
    <s v="monthly"/>
    <n v="1"/>
    <n v="1"/>
    <n v="50"/>
    <x v="3"/>
    <m/>
    <m/>
    <m/>
    <m/>
    <n v="0"/>
  </r>
  <r>
    <s v="ES-5-flow-type"/>
    <x v="22"/>
    <s v="ES-5"/>
    <x v="47"/>
    <s v="flow-type"/>
    <x v="11"/>
    <x v="0"/>
    <x v="1"/>
    <x v="1"/>
    <n v="21"/>
    <n v="1.8599999999999998E-2"/>
    <x v="1"/>
    <x v="6"/>
    <n v="50"/>
    <x v="5"/>
    <n v="100"/>
    <n v="50"/>
    <s v="monthly"/>
    <n v="1"/>
    <n v="1"/>
    <n v="50"/>
    <x v="3"/>
    <m/>
    <m/>
    <m/>
    <m/>
    <n v="0"/>
  </r>
  <r>
    <s v="ES-5-sector"/>
    <x v="22"/>
    <s v="ES-5"/>
    <x v="47"/>
    <s v="sector"/>
    <x v="12"/>
    <x v="0"/>
    <x v="1"/>
    <x v="1"/>
    <n v="24"/>
    <n v="1.8599999999999998E-2"/>
    <x v="1"/>
    <x v="6"/>
    <n v="50"/>
    <x v="5"/>
    <n v="100"/>
    <n v="50"/>
    <s v="monthly"/>
    <n v="1"/>
    <n v="1"/>
    <n v="50"/>
    <x v="3"/>
    <m/>
    <m/>
    <m/>
    <m/>
    <n v="0"/>
  </r>
  <r>
    <s v="ES-5-location"/>
    <x v="22"/>
    <s v="ES-5"/>
    <x v="110"/>
    <s v="location"/>
    <x v="13"/>
    <x v="0"/>
    <x v="1"/>
    <x v="1"/>
    <n v="25"/>
    <n v="1.8599999999999998E-2"/>
    <x v="1"/>
    <x v="6"/>
    <n v="50"/>
    <x v="78"/>
    <n v="5.5100422832999998"/>
    <n v="2.7550211416499999"/>
    <s v="monthly"/>
    <n v="1"/>
    <n v="1"/>
    <n v="2.7550211416499999"/>
    <x v="3"/>
    <m/>
    <m/>
    <m/>
    <m/>
    <n v="0"/>
  </r>
  <r>
    <s v="ES-5-tied-aid-status"/>
    <x v="22"/>
    <s v="ES-5"/>
    <x v="111"/>
    <s v="tied-aid-status"/>
    <x v="14"/>
    <x v="0"/>
    <x v="1"/>
    <x v="1"/>
    <n v="26"/>
    <n v="1.8599999999999998E-2"/>
    <x v="1"/>
    <x v="6"/>
    <n v="50"/>
    <x v="79"/>
    <n v="82.006227757999994"/>
    <n v="41.003113878999997"/>
    <s v="monthly"/>
    <n v="1"/>
    <n v="1"/>
    <n v="41.003113878999997"/>
    <x v="3"/>
    <m/>
    <m/>
    <m/>
    <m/>
    <n v="0"/>
  </r>
  <r>
    <s v="ES-5-expenditure-actual"/>
    <x v="22"/>
    <s v="ES-5"/>
    <x v="51"/>
    <s v="expenditure-actual"/>
    <x v="15"/>
    <x v="0"/>
    <x v="2"/>
    <x v="2"/>
    <n v="35"/>
    <n v="3.2500000000000001E-2"/>
    <x v="1"/>
    <x v="6"/>
    <n v="50"/>
    <x v="5"/>
    <n v="100"/>
    <n v="50"/>
    <s v="monthly"/>
    <n v="1"/>
    <n v="1"/>
    <n v="50"/>
    <x v="3"/>
    <m/>
    <m/>
    <m/>
    <m/>
    <n v="0"/>
  </r>
  <r>
    <s v="ES-5-cost-overall"/>
    <x v="22"/>
    <s v="ES-5"/>
    <x v="112"/>
    <s v="cost-overall"/>
    <x v="16"/>
    <x v="0"/>
    <x v="2"/>
    <x v="2"/>
    <n v="33"/>
    <n v="3.2500000000000001E-2"/>
    <x v="1"/>
    <x v="6"/>
    <n v="50"/>
    <x v="80"/>
    <n v="15.5193236715"/>
    <n v="7.7596618357500002"/>
    <s v="monthly"/>
    <n v="1"/>
    <n v="1"/>
    <n v="7.7596618357500002"/>
    <x v="3"/>
    <m/>
    <m/>
    <m/>
    <m/>
    <n v="0"/>
  </r>
  <r>
    <s v="ES-5-expenditure-planned"/>
    <x v="22"/>
    <s v="ES-5"/>
    <x v="51"/>
    <s v="expenditure-planned"/>
    <x v="17"/>
    <x v="0"/>
    <x v="2"/>
    <x v="2"/>
    <n v="34"/>
    <n v="3.2500000000000001E-2"/>
    <x v="1"/>
    <x v="6"/>
    <n v="50"/>
    <x v="5"/>
    <n v="100"/>
    <n v="50"/>
    <s v="monthly"/>
    <n v="1"/>
    <n v="1"/>
    <n v="50"/>
    <x v="3"/>
    <m/>
    <m/>
    <m/>
    <m/>
    <n v="0"/>
  </r>
  <r>
    <s v="ES-5-total-budget"/>
    <x v="22"/>
    <s v="ES-5"/>
    <x v="69"/>
    <s v="total-budget"/>
    <x v="29"/>
    <x v="1"/>
    <x v="2"/>
    <x v="5"/>
    <n v="9"/>
    <n v="4.1700000000000001E-2"/>
    <x v="1"/>
    <x v="6"/>
    <n v="50"/>
    <x v="41"/>
    <n v="33.333333333299997"/>
    <n v="16.666666666699999"/>
    <s v="monthly"/>
    <n v="1"/>
    <n v="1"/>
    <n v="16.666666666699999"/>
    <x v="3"/>
    <m/>
    <m/>
    <m/>
    <m/>
    <n v="0"/>
  </r>
  <r>
    <s v="ES-5-disaggregated-budgets"/>
    <x v="22"/>
    <s v="ES-5"/>
    <x v="69"/>
    <s v="disaggregated-budgets"/>
    <x v="30"/>
    <x v="1"/>
    <x v="2"/>
    <x v="5"/>
    <n v="10"/>
    <n v="4.1700000000000001E-2"/>
    <x v="1"/>
    <x v="6"/>
    <n v="50"/>
    <x v="41"/>
    <n v="33.333333333299997"/>
    <n v="16.666666666699999"/>
    <s v="monthly"/>
    <n v="1"/>
    <n v="1"/>
    <n v="16.666666666699999"/>
    <x v="3"/>
    <m/>
    <m/>
    <m/>
    <m/>
    <n v="0"/>
  </r>
  <r>
    <s v="ES-5-strategy"/>
    <x v="22"/>
    <s v="ES-5"/>
    <x v="43"/>
    <s v="strategy"/>
    <x v="31"/>
    <x v="1"/>
    <x v="5"/>
    <x v="6"/>
    <n v="4"/>
    <n v="2.5000000000000001E-2"/>
    <x v="1"/>
    <x v="6"/>
    <n v="50"/>
    <x v="5"/>
    <n v="100"/>
    <n v="50"/>
    <s v="monthly"/>
    <n v="1"/>
    <n v="1"/>
    <n v="50"/>
    <x v="3"/>
    <m/>
    <m/>
    <m/>
    <m/>
    <n v="0"/>
  </r>
  <r>
    <s v="ES-5-annual-report"/>
    <x v="22"/>
    <s v="ES-5"/>
    <x v="43"/>
    <s v="annual-report"/>
    <x v="32"/>
    <x v="1"/>
    <x v="5"/>
    <x v="6"/>
    <n v="5"/>
    <n v="2.5000000000000001E-2"/>
    <x v="1"/>
    <x v="6"/>
    <n v="50"/>
    <x v="5"/>
    <n v="100"/>
    <n v="50"/>
    <s v="monthly"/>
    <n v="1"/>
    <n v="1"/>
    <n v="50"/>
    <x v="3"/>
    <m/>
    <m/>
    <m/>
    <m/>
    <n v="0"/>
  </r>
  <r>
    <s v="ES-5-allocation"/>
    <x v="22"/>
    <s v="ES-5"/>
    <x v="43"/>
    <s v="allocation"/>
    <x v="33"/>
    <x v="1"/>
    <x v="5"/>
    <x v="6"/>
    <n v="6"/>
    <n v="2.5000000000000001E-2"/>
    <x v="1"/>
    <x v="6"/>
    <n v="50"/>
    <x v="5"/>
    <n v="100"/>
    <n v="50"/>
    <s v="monthly"/>
    <n v="1"/>
    <n v="1"/>
    <n v="50"/>
    <x v="3"/>
    <m/>
    <m/>
    <m/>
    <m/>
    <n v="0"/>
  </r>
  <r>
    <s v="ES-5-procurement-policy"/>
    <x v="22"/>
    <s v="ES-5"/>
    <x v="43"/>
    <s v="procurement-policy"/>
    <x v="34"/>
    <x v="1"/>
    <x v="5"/>
    <x v="6"/>
    <n v="7"/>
    <n v="2.5000000000000001E-2"/>
    <x v="1"/>
    <x v="6"/>
    <n v="50"/>
    <x v="5"/>
    <n v="100"/>
    <n v="50"/>
    <s v="monthly"/>
    <n v="1"/>
    <n v="1"/>
    <n v="50"/>
    <x v="3"/>
    <m/>
    <m/>
    <m/>
    <m/>
    <n v="0"/>
  </r>
  <r>
    <s v="ES-5-country-strategy"/>
    <x v="22"/>
    <s v="ES-5"/>
    <x v="113"/>
    <s v="country-strategy"/>
    <x v="35"/>
    <x v="1"/>
    <x v="5"/>
    <x v="6"/>
    <n v="8"/>
    <n v="2.5000000000000001E-2"/>
    <x v="1"/>
    <x v="6"/>
    <n v="50"/>
    <x v="81"/>
    <n v="24.489795918399999"/>
    <n v="12.244897959199999"/>
    <s v="monthly"/>
    <n v="1"/>
    <n v="1"/>
    <n v="12.244897959199999"/>
    <x v="3"/>
    <m/>
    <m/>
    <m/>
    <m/>
    <n v="0"/>
  </r>
  <r>
    <s v="ES-5-audit"/>
    <x v="22"/>
    <s v="ES-5"/>
    <x v="0"/>
    <s v="audit"/>
    <x v="28"/>
    <x v="1"/>
    <x v="2"/>
    <x v="5"/>
    <n v="11"/>
    <n v="4.1700000000000001E-2"/>
    <x v="0"/>
    <x v="2"/>
    <n v="0"/>
    <x v="0"/>
    <n v="0"/>
    <n v="0"/>
    <s v="monthly"/>
    <n v="1"/>
    <n v="1"/>
    <n v="0"/>
    <x v="0"/>
    <n v="0"/>
    <m/>
    <s v="document"/>
    <n v="50"/>
    <n v="0"/>
  </r>
  <r>
    <s v="ES-5-dates-actual"/>
    <x v="22"/>
    <s v="ES-5"/>
    <x v="0"/>
    <s v="dates-actual"/>
    <x v="0"/>
    <x v="0"/>
    <x v="0"/>
    <x v="0"/>
    <n v="17"/>
    <n v="1.6299999999999999E-2"/>
    <x v="0"/>
    <x v="0"/>
    <n v="0"/>
    <x v="0"/>
    <n v="0"/>
    <n v="0"/>
    <s v="monthly"/>
    <n v="1"/>
    <n v="1"/>
    <n v="0"/>
    <x v="0"/>
    <n v="0"/>
    <m/>
    <m/>
    <n v="0"/>
    <n v="0"/>
  </r>
  <r>
    <s v="ES-5-current-status"/>
    <x v="22"/>
    <s v="ES-5"/>
    <x v="0"/>
    <s v="current-status"/>
    <x v="2"/>
    <x v="0"/>
    <x v="0"/>
    <x v="0"/>
    <n v="18"/>
    <n v="1.6299999999999999E-2"/>
    <x v="0"/>
    <x v="0"/>
    <n v="0"/>
    <x v="0"/>
    <n v="0"/>
    <n v="0"/>
    <s v="monthly"/>
    <n v="1"/>
    <n v="1"/>
    <n v="0"/>
    <x v="0"/>
    <n v="0"/>
    <m/>
    <m/>
    <n v="0"/>
    <n v="0"/>
  </r>
  <r>
    <s v="ES-5-finance-type"/>
    <x v="22"/>
    <s v="ES-5"/>
    <x v="0"/>
    <s v="finance-type"/>
    <x v="10"/>
    <x v="0"/>
    <x v="1"/>
    <x v="1"/>
    <n v="23"/>
    <n v="1.8599999999999998E-2"/>
    <x v="0"/>
    <x v="0"/>
    <n v="0"/>
    <x v="0"/>
    <n v="0"/>
    <n v="0"/>
    <s v="monthly"/>
    <n v="1"/>
    <n v="1"/>
    <n v="0"/>
    <x v="0"/>
    <n v="0"/>
    <m/>
    <m/>
    <n v="0"/>
    <n v="0"/>
  </r>
  <r>
    <s v="ES-5-budget-identifier"/>
    <x v="22"/>
    <s v="ES-5"/>
    <x v="0"/>
    <s v="budget-identifier"/>
    <x v="18"/>
    <x v="0"/>
    <x v="2"/>
    <x v="2"/>
    <n v="36"/>
    <n v="3.2500000000000001E-2"/>
    <x v="0"/>
    <x v="0"/>
    <n v="0"/>
    <x v="0"/>
    <n v="0"/>
    <n v="0"/>
    <s v="monthly"/>
    <n v="1"/>
    <n v="1"/>
    <n v="0"/>
    <x v="0"/>
    <n v="0"/>
    <m/>
    <m/>
    <n v="0"/>
    <n v="0"/>
  </r>
  <r>
    <s v="ES-5-conditions"/>
    <x v="22"/>
    <s v="ES-5"/>
    <x v="0"/>
    <s v="conditions"/>
    <x v="19"/>
    <x v="0"/>
    <x v="3"/>
    <x v="3"/>
    <n v="39"/>
    <n v="4.3299999999999998E-2"/>
    <x v="0"/>
    <x v="2"/>
    <n v="0"/>
    <x v="0"/>
    <n v="0"/>
    <n v="0"/>
    <s v="monthly"/>
    <n v="1"/>
    <n v="1"/>
    <n v="0"/>
    <x v="0"/>
    <n v="0"/>
    <m/>
    <s v="document"/>
    <n v="50"/>
    <n v="0"/>
  </r>
  <r>
    <s v="ES-5-impact-appraisals"/>
    <x v="22"/>
    <s v="ES-5"/>
    <x v="0"/>
    <s v="impact-appraisals"/>
    <x v="20"/>
    <x v="0"/>
    <x v="3"/>
    <x v="3"/>
    <n v="38"/>
    <n v="4.3299999999999998E-2"/>
    <x v="0"/>
    <x v="2"/>
    <n v="0"/>
    <x v="0"/>
    <n v="0"/>
    <n v="0"/>
    <s v="monthly"/>
    <n v="1"/>
    <n v="1"/>
    <n v="0"/>
    <x v="0"/>
    <n v="0"/>
    <m/>
    <s v="document"/>
    <n v="50"/>
    <n v="0"/>
  </r>
  <r>
    <s v="ES-5-results"/>
    <x v="22"/>
    <s v="ES-5"/>
    <x v="0"/>
    <s v="results"/>
    <x v="21"/>
    <x v="0"/>
    <x v="3"/>
    <x v="3"/>
    <n v="37"/>
    <n v="4.3299999999999998E-2"/>
    <x v="0"/>
    <x v="3"/>
    <n v="0"/>
    <x v="0"/>
    <n v="0"/>
    <n v="0"/>
    <s v="monthly"/>
    <n v="1"/>
    <n v="1"/>
    <n v="0"/>
    <x v="0"/>
    <n v="0"/>
    <m/>
    <s v="pdf"/>
    <n v="16.664999999999999"/>
    <n v="0"/>
  </r>
  <r>
    <s v="ES-5-budget"/>
    <x v="22"/>
    <s v="ES-5"/>
    <x v="0"/>
    <s v="budget"/>
    <x v="22"/>
    <x v="0"/>
    <x v="4"/>
    <x v="4"/>
    <n v="30"/>
    <n v="2.1700000000000001E-2"/>
    <x v="0"/>
    <x v="2"/>
    <n v="0"/>
    <x v="0"/>
    <n v="0"/>
    <n v="0"/>
    <s v="monthly"/>
    <n v="1"/>
    <n v="1"/>
    <n v="0"/>
    <x v="0"/>
    <n v="0"/>
    <m/>
    <s v="document"/>
    <n v="50"/>
    <n v="0"/>
  </r>
  <r>
    <s v="ES-5-contracts"/>
    <x v="22"/>
    <s v="ES-5"/>
    <x v="0"/>
    <s v="contracts"/>
    <x v="23"/>
    <x v="0"/>
    <x v="4"/>
    <x v="4"/>
    <n v="31"/>
    <n v="2.1700000000000001E-2"/>
    <x v="0"/>
    <x v="2"/>
    <n v="0"/>
    <x v="0"/>
    <n v="0"/>
    <n v="0"/>
    <s v="monthly"/>
    <n v="1"/>
    <n v="1"/>
    <n v="0"/>
    <x v="0"/>
    <n v="0"/>
    <m/>
    <s v="document"/>
    <n v="50"/>
    <n v="0"/>
  </r>
  <r>
    <s v="ES-5-evaluations"/>
    <x v="22"/>
    <s v="ES-5"/>
    <x v="0"/>
    <s v="evaluations"/>
    <x v="24"/>
    <x v="0"/>
    <x v="4"/>
    <x v="4"/>
    <n v="28"/>
    <n v="2.1700000000000001E-2"/>
    <x v="0"/>
    <x v="2"/>
    <n v="0"/>
    <x v="0"/>
    <n v="0"/>
    <n v="0"/>
    <s v="monthly"/>
    <n v="1"/>
    <n v="1"/>
    <n v="0"/>
    <x v="2"/>
    <n v="0"/>
    <m/>
    <s v="document"/>
    <n v="50"/>
    <n v="0"/>
  </r>
  <r>
    <s v="ES-5-mou"/>
    <x v="22"/>
    <s v="ES-5"/>
    <x v="0"/>
    <s v="mou"/>
    <x v="25"/>
    <x v="0"/>
    <x v="4"/>
    <x v="4"/>
    <n v="27"/>
    <n v="2.1700000000000001E-2"/>
    <x v="0"/>
    <x v="2"/>
    <n v="0"/>
    <x v="0"/>
    <n v="0"/>
    <n v="0"/>
    <s v="monthly"/>
    <n v="1"/>
    <n v="1"/>
    <n v="0"/>
    <x v="2"/>
    <n v="0"/>
    <m/>
    <s v="document"/>
    <n v="50"/>
    <n v="0"/>
  </r>
  <r>
    <s v="ES-5-objectives"/>
    <x v="22"/>
    <s v="ES-5"/>
    <x v="0"/>
    <s v="objectives"/>
    <x v="26"/>
    <x v="0"/>
    <x v="4"/>
    <x v="4"/>
    <n v="29"/>
    <n v="2.1700000000000001E-2"/>
    <x v="0"/>
    <x v="2"/>
    <n v="0"/>
    <x v="0"/>
    <n v="0"/>
    <n v="0"/>
    <s v="monthly"/>
    <n v="1"/>
    <n v="1"/>
    <n v="0"/>
    <x v="0"/>
    <n v="0"/>
    <m/>
    <s v="document"/>
    <n v="50"/>
    <n v="0"/>
  </r>
  <r>
    <s v="ES-5-tenders"/>
    <x v="22"/>
    <s v="ES-5"/>
    <x v="3"/>
    <s v="tenders"/>
    <x v="27"/>
    <x v="0"/>
    <x v="4"/>
    <x v="4"/>
    <n v="32"/>
    <n v="2.1700000000000001E-2"/>
    <x v="0"/>
    <x v="2"/>
    <n v="50"/>
    <x v="2"/>
    <n v="0"/>
    <n v="0"/>
    <s v="monthly"/>
    <n v="1"/>
    <n v="1"/>
    <n v="0"/>
    <x v="1"/>
    <n v="1"/>
    <m/>
    <s v="document"/>
    <n v="50"/>
    <n v="50"/>
  </r>
  <r>
    <s v="ES-5-foia"/>
    <x v="22"/>
    <s v="ES-5"/>
    <x v="15"/>
    <s v="foia"/>
    <x v="36"/>
    <x v="2"/>
    <x v="6"/>
    <x v="7"/>
    <n v="1"/>
    <n v="3.3300000000000003E-2"/>
    <x v="0"/>
    <x v="5"/>
    <n v="66.66"/>
    <x v="6"/>
    <n v="0"/>
    <n v="0"/>
    <s v="monthly"/>
    <n v="1"/>
    <n v="1"/>
    <n v="0"/>
    <x v="3"/>
    <n v="0"/>
    <n v="66.66"/>
    <m/>
    <n v="0"/>
    <n v="66.66"/>
  </r>
  <r>
    <s v="ES-5-accessibility"/>
    <x v="22"/>
    <s v="ES-5"/>
    <x v="0"/>
    <s v="accessibility"/>
    <x v="37"/>
    <x v="2"/>
    <x v="6"/>
    <x v="7"/>
    <n v="3"/>
    <n v="3.3300000000000003E-2"/>
    <x v="0"/>
    <x v="5"/>
    <n v="0"/>
    <x v="0"/>
    <n v="0"/>
    <n v="0"/>
    <s v="monthly"/>
    <n v="1"/>
    <n v="1"/>
    <n v="0"/>
    <x v="3"/>
    <n v="0"/>
    <n v="0"/>
    <m/>
    <n v="0"/>
    <n v="0"/>
  </r>
  <r>
    <s v="ES-5-implementation-schedules"/>
    <x v="22"/>
    <s v="ES-5"/>
    <x v="114"/>
    <s v="implementation-schedules"/>
    <x v="38"/>
    <x v="2"/>
    <x v="6"/>
    <x v="7"/>
    <n v="2"/>
    <n v="3.3300000000000003E-2"/>
    <x v="0"/>
    <x v="5"/>
    <n v="60"/>
    <x v="82"/>
    <n v="0"/>
    <n v="0"/>
    <s v="monthly"/>
    <n v="1"/>
    <n v="1"/>
    <n v="0"/>
    <x v="3"/>
    <n v="0"/>
    <n v="60"/>
    <m/>
    <n v="0"/>
    <n v="60"/>
  </r>
  <r>
    <s v="BR-1-dates-actual"/>
    <x v="23"/>
    <s v="BR-1"/>
    <x v="0"/>
    <s v="dates-actual"/>
    <x v="0"/>
    <x v="0"/>
    <x v="0"/>
    <x v="0"/>
    <n v="17"/>
    <n v="1.6299999999999999E-2"/>
    <x v="0"/>
    <x v="1"/>
    <n v="0"/>
    <x v="0"/>
    <n v="0"/>
    <n v="0"/>
    <m/>
    <n v="1"/>
    <n v="1"/>
    <n v="0"/>
    <x v="0"/>
    <n v="0"/>
    <m/>
    <s v="website"/>
    <n v="33.33"/>
    <n v="0"/>
  </r>
  <r>
    <s v="BR-1-contact-details"/>
    <x v="23"/>
    <s v="BR-1"/>
    <x v="0"/>
    <s v="contact-details"/>
    <x v="1"/>
    <x v="0"/>
    <x v="0"/>
    <x v="0"/>
    <n v="19"/>
    <n v="1.6299999999999999E-2"/>
    <x v="0"/>
    <x v="0"/>
    <n v="0"/>
    <x v="0"/>
    <n v="0"/>
    <n v="0"/>
    <m/>
    <n v="1"/>
    <n v="1"/>
    <n v="0"/>
    <x v="0"/>
    <n v="0"/>
    <m/>
    <m/>
    <n v="0"/>
    <n v="0"/>
  </r>
  <r>
    <s v="BR-1-current-status"/>
    <x v="23"/>
    <s v="BR-1"/>
    <x v="1"/>
    <s v="current-status"/>
    <x v="2"/>
    <x v="0"/>
    <x v="0"/>
    <x v="0"/>
    <n v="18"/>
    <n v="1.6299999999999999E-2"/>
    <x v="0"/>
    <x v="1"/>
    <n v="33.33"/>
    <x v="1"/>
    <n v="0"/>
    <n v="0"/>
    <m/>
    <n v="1"/>
    <n v="1"/>
    <n v="0"/>
    <x v="1"/>
    <n v="1"/>
    <m/>
    <s v="website"/>
    <n v="33.33"/>
    <n v="33.33"/>
  </r>
  <r>
    <s v="BR-1-description"/>
    <x v="23"/>
    <s v="BR-1"/>
    <x v="0"/>
    <s v="description"/>
    <x v="3"/>
    <x v="0"/>
    <x v="0"/>
    <x v="0"/>
    <n v="15"/>
    <n v="1.6299999999999999E-2"/>
    <x v="0"/>
    <x v="1"/>
    <n v="0"/>
    <x v="0"/>
    <n v="0"/>
    <n v="0"/>
    <m/>
    <n v="1"/>
    <n v="1"/>
    <n v="0"/>
    <x v="2"/>
    <n v="0"/>
    <m/>
    <s v="website"/>
    <n v="33.33"/>
    <n v="0"/>
  </r>
  <r>
    <s v="BR-1-implementer"/>
    <x v="23"/>
    <s v="BR-1"/>
    <x v="1"/>
    <s v="implementer"/>
    <x v="4"/>
    <x v="0"/>
    <x v="0"/>
    <x v="0"/>
    <n v="12"/>
    <n v="1.6299999999999999E-2"/>
    <x v="0"/>
    <x v="1"/>
    <n v="33.33"/>
    <x v="1"/>
    <n v="0"/>
    <n v="0"/>
    <m/>
    <n v="1"/>
    <n v="1"/>
    <n v="0"/>
    <x v="1"/>
    <n v="1"/>
    <m/>
    <s v="website"/>
    <n v="33.33"/>
    <n v="33.33"/>
  </r>
  <r>
    <s v="BR-1-dates-planned"/>
    <x v="23"/>
    <s v="BR-1"/>
    <x v="1"/>
    <s v="dates-planned"/>
    <x v="5"/>
    <x v="0"/>
    <x v="0"/>
    <x v="0"/>
    <n v="16"/>
    <n v="1.6299999999999999E-2"/>
    <x v="0"/>
    <x v="1"/>
    <n v="33.33"/>
    <x v="1"/>
    <n v="0"/>
    <n v="0"/>
    <m/>
    <n v="1"/>
    <n v="1"/>
    <n v="0"/>
    <x v="1"/>
    <n v="1"/>
    <m/>
    <s v="website"/>
    <n v="33.33"/>
    <n v="33.33"/>
  </r>
  <r>
    <s v="BR-1-title"/>
    <x v="23"/>
    <s v="BR-1"/>
    <x v="1"/>
    <s v="title"/>
    <x v="6"/>
    <x v="0"/>
    <x v="0"/>
    <x v="0"/>
    <n v="14"/>
    <n v="1.6299999999999999E-2"/>
    <x v="0"/>
    <x v="1"/>
    <n v="33.33"/>
    <x v="1"/>
    <n v="0"/>
    <n v="0"/>
    <m/>
    <n v="1"/>
    <n v="1"/>
    <n v="0"/>
    <x v="1"/>
    <n v="1"/>
    <m/>
    <s v="website"/>
    <n v="33.33"/>
    <n v="33.33"/>
  </r>
  <r>
    <s v="BR-1-unique-id"/>
    <x v="23"/>
    <s v="BR-1"/>
    <x v="1"/>
    <s v="unique-id"/>
    <x v="7"/>
    <x v="0"/>
    <x v="0"/>
    <x v="0"/>
    <n v="13"/>
    <n v="1.6299999999999999E-2"/>
    <x v="0"/>
    <x v="1"/>
    <n v="33.33"/>
    <x v="1"/>
    <n v="0"/>
    <n v="0"/>
    <m/>
    <n v="1"/>
    <n v="1"/>
    <n v="0"/>
    <x v="1"/>
    <n v="1"/>
    <m/>
    <s v="website"/>
    <n v="33.33"/>
    <n v="33.33"/>
  </r>
  <r>
    <s v="BR-1-aid-type"/>
    <x v="23"/>
    <s v="BR-1"/>
    <x v="0"/>
    <s v="aid-type"/>
    <x v="8"/>
    <x v="0"/>
    <x v="1"/>
    <x v="1"/>
    <n v="22"/>
    <n v="1.8599999999999998E-2"/>
    <x v="0"/>
    <x v="0"/>
    <n v="0"/>
    <x v="0"/>
    <n v="0"/>
    <n v="0"/>
    <m/>
    <n v="1"/>
    <n v="1"/>
    <n v="0"/>
    <x v="0"/>
    <n v="0"/>
    <m/>
    <m/>
    <n v="0"/>
    <n v="0"/>
  </r>
  <r>
    <s v="BR-1-collaboration-type"/>
    <x v="23"/>
    <s v="BR-1"/>
    <x v="8"/>
    <s v="collaboration-type"/>
    <x v="9"/>
    <x v="0"/>
    <x v="1"/>
    <x v="1"/>
    <n v="20"/>
    <n v="1.8599999999999998E-2"/>
    <x v="0"/>
    <x v="1"/>
    <n v="33.33"/>
    <x v="1"/>
    <n v="0"/>
    <n v="0"/>
    <m/>
    <n v="1"/>
    <n v="1"/>
    <n v="0"/>
    <x v="1"/>
    <n v="1"/>
    <m/>
    <s v="website"/>
    <n v="33.33"/>
    <n v="33.33"/>
  </r>
  <r>
    <s v="BR-1-finance-type"/>
    <x v="23"/>
    <s v="BR-1"/>
    <x v="0"/>
    <s v="finance-type"/>
    <x v="10"/>
    <x v="0"/>
    <x v="1"/>
    <x v="1"/>
    <n v="23"/>
    <n v="1.8599999999999998E-2"/>
    <x v="0"/>
    <x v="0"/>
    <n v="0"/>
    <x v="0"/>
    <n v="0"/>
    <n v="0"/>
    <m/>
    <n v="1"/>
    <n v="1"/>
    <n v="0"/>
    <x v="0"/>
    <n v="0"/>
    <m/>
    <m/>
    <n v="0"/>
    <n v="0"/>
  </r>
  <r>
    <s v="BR-1-flow-type"/>
    <x v="23"/>
    <s v="BR-1"/>
    <x v="0"/>
    <s v="flow-type"/>
    <x v="11"/>
    <x v="0"/>
    <x v="1"/>
    <x v="1"/>
    <n v="21"/>
    <n v="1.8599999999999998E-2"/>
    <x v="0"/>
    <x v="0"/>
    <n v="0"/>
    <x v="0"/>
    <n v="0"/>
    <n v="0"/>
    <m/>
    <n v="1"/>
    <n v="1"/>
    <n v="0"/>
    <x v="0"/>
    <n v="0"/>
    <m/>
    <m/>
    <n v="0"/>
    <n v="0"/>
  </r>
  <r>
    <s v="BR-1-sector"/>
    <x v="23"/>
    <s v="BR-1"/>
    <x v="8"/>
    <s v="sector"/>
    <x v="12"/>
    <x v="0"/>
    <x v="1"/>
    <x v="1"/>
    <n v="24"/>
    <n v="1.8599999999999998E-2"/>
    <x v="0"/>
    <x v="1"/>
    <n v="33.33"/>
    <x v="1"/>
    <n v="0"/>
    <n v="0"/>
    <m/>
    <n v="1"/>
    <n v="1"/>
    <n v="0"/>
    <x v="1"/>
    <n v="1"/>
    <m/>
    <s v="website"/>
    <n v="33.33"/>
    <n v="33.33"/>
  </r>
  <r>
    <s v="BR-1-location"/>
    <x v="23"/>
    <s v="BR-1"/>
    <x v="0"/>
    <s v="location"/>
    <x v="13"/>
    <x v="0"/>
    <x v="1"/>
    <x v="1"/>
    <n v="25"/>
    <n v="1.8599999999999998E-2"/>
    <x v="0"/>
    <x v="1"/>
    <n v="0"/>
    <x v="0"/>
    <n v="0"/>
    <n v="0"/>
    <m/>
    <n v="1"/>
    <n v="1"/>
    <n v="0"/>
    <x v="2"/>
    <n v="0"/>
    <m/>
    <s v="website"/>
    <n v="33.33"/>
    <n v="0"/>
  </r>
  <r>
    <s v="BR-1-tied-aid-status"/>
    <x v="23"/>
    <s v="BR-1"/>
    <x v="0"/>
    <s v="tied-aid-status"/>
    <x v="14"/>
    <x v="0"/>
    <x v="1"/>
    <x v="1"/>
    <n v="26"/>
    <n v="1.8599999999999998E-2"/>
    <x v="0"/>
    <x v="0"/>
    <n v="0"/>
    <x v="0"/>
    <n v="0"/>
    <n v="0"/>
    <m/>
    <n v="1"/>
    <n v="1"/>
    <n v="0"/>
    <x v="0"/>
    <n v="0"/>
    <m/>
    <m/>
    <n v="0"/>
    <n v="0"/>
  </r>
  <r>
    <s v="BR-1-expenditure-actual"/>
    <x v="23"/>
    <s v="BR-1"/>
    <x v="0"/>
    <s v="expenditure-actual"/>
    <x v="15"/>
    <x v="0"/>
    <x v="2"/>
    <x v="2"/>
    <n v="35"/>
    <n v="3.2500000000000001E-2"/>
    <x v="0"/>
    <x v="0"/>
    <n v="0"/>
    <x v="0"/>
    <n v="0"/>
    <n v="0"/>
    <m/>
    <n v="1"/>
    <n v="1"/>
    <n v="0"/>
    <x v="0"/>
    <n v="0"/>
    <m/>
    <m/>
    <n v="0"/>
    <n v="0"/>
  </r>
  <r>
    <s v="BR-1-cost-overall"/>
    <x v="23"/>
    <s v="BR-1"/>
    <x v="0"/>
    <s v="cost-overall"/>
    <x v="16"/>
    <x v="0"/>
    <x v="2"/>
    <x v="2"/>
    <n v="33"/>
    <n v="3.2500000000000001E-2"/>
    <x v="0"/>
    <x v="0"/>
    <n v="0"/>
    <x v="0"/>
    <n v="0"/>
    <n v="0"/>
    <m/>
    <n v="1"/>
    <n v="1"/>
    <n v="0"/>
    <x v="0"/>
    <n v="0"/>
    <m/>
    <m/>
    <n v="0"/>
    <n v="0"/>
  </r>
  <r>
    <s v="BR-1-expenditure-planned"/>
    <x v="23"/>
    <s v="BR-1"/>
    <x v="0"/>
    <s v="expenditure-planned"/>
    <x v="17"/>
    <x v="0"/>
    <x v="2"/>
    <x v="2"/>
    <n v="34"/>
    <n v="3.2500000000000001E-2"/>
    <x v="0"/>
    <x v="0"/>
    <n v="0"/>
    <x v="0"/>
    <n v="0"/>
    <n v="0"/>
    <m/>
    <n v="1"/>
    <n v="1"/>
    <n v="0"/>
    <x v="0"/>
    <n v="0"/>
    <m/>
    <m/>
    <n v="0"/>
    <n v="0"/>
  </r>
  <r>
    <s v="BR-1-budget-identifier"/>
    <x v="23"/>
    <s v="BR-1"/>
    <x v="0"/>
    <s v="budget-identifier"/>
    <x v="18"/>
    <x v="0"/>
    <x v="2"/>
    <x v="2"/>
    <n v="36"/>
    <n v="3.2500000000000001E-2"/>
    <x v="0"/>
    <x v="0"/>
    <n v="0"/>
    <x v="0"/>
    <n v="0"/>
    <n v="0"/>
    <m/>
    <n v="1"/>
    <n v="1"/>
    <n v="0"/>
    <x v="0"/>
    <n v="0"/>
    <m/>
    <m/>
    <n v="0"/>
    <n v="0"/>
  </r>
  <r>
    <s v="BR-1-conditions"/>
    <x v="23"/>
    <s v="BR-1"/>
    <x v="0"/>
    <s v="conditions"/>
    <x v="19"/>
    <x v="0"/>
    <x v="3"/>
    <x v="3"/>
    <n v="39"/>
    <n v="4.3299999999999998E-2"/>
    <x v="0"/>
    <x v="2"/>
    <n v="0"/>
    <x v="0"/>
    <n v="0"/>
    <n v="0"/>
    <m/>
    <n v="1"/>
    <n v="1"/>
    <n v="0"/>
    <x v="0"/>
    <n v="0"/>
    <m/>
    <s v="document"/>
    <n v="50"/>
    <n v="0"/>
  </r>
  <r>
    <s v="BR-1-impact-appraisals"/>
    <x v="23"/>
    <s v="BR-1"/>
    <x v="0"/>
    <s v="impact-appraisals"/>
    <x v="20"/>
    <x v="0"/>
    <x v="3"/>
    <x v="3"/>
    <n v="38"/>
    <n v="4.3299999999999998E-2"/>
    <x v="0"/>
    <x v="2"/>
    <n v="0"/>
    <x v="0"/>
    <n v="0"/>
    <n v="0"/>
    <m/>
    <n v="1"/>
    <n v="1"/>
    <n v="0"/>
    <x v="0"/>
    <n v="0"/>
    <m/>
    <s v="document"/>
    <n v="50"/>
    <n v="0"/>
  </r>
  <r>
    <s v="BR-1-results"/>
    <x v="23"/>
    <s v="BR-1"/>
    <x v="0"/>
    <s v="results"/>
    <x v="21"/>
    <x v="0"/>
    <x v="3"/>
    <x v="3"/>
    <n v="37"/>
    <n v="4.3299999999999998E-2"/>
    <x v="0"/>
    <x v="0"/>
    <n v="0"/>
    <x v="0"/>
    <n v="0"/>
    <n v="0"/>
    <m/>
    <n v="1"/>
    <n v="1"/>
    <n v="0"/>
    <x v="0"/>
    <n v="0"/>
    <m/>
    <m/>
    <n v="0"/>
    <n v="0"/>
  </r>
  <r>
    <s v="BR-1-budget"/>
    <x v="23"/>
    <s v="BR-1"/>
    <x v="0"/>
    <s v="budget"/>
    <x v="22"/>
    <x v="0"/>
    <x v="4"/>
    <x v="4"/>
    <n v="30"/>
    <n v="2.1700000000000001E-2"/>
    <x v="0"/>
    <x v="2"/>
    <n v="0"/>
    <x v="0"/>
    <n v="0"/>
    <n v="0"/>
    <m/>
    <n v="1"/>
    <n v="1"/>
    <n v="0"/>
    <x v="0"/>
    <n v="0"/>
    <m/>
    <s v="document"/>
    <n v="50"/>
    <n v="0"/>
  </r>
  <r>
    <s v="BR-1-contracts"/>
    <x v="23"/>
    <s v="BR-1"/>
    <x v="0"/>
    <s v="contracts"/>
    <x v="23"/>
    <x v="0"/>
    <x v="4"/>
    <x v="4"/>
    <n v="31"/>
    <n v="2.1700000000000001E-2"/>
    <x v="0"/>
    <x v="2"/>
    <n v="0"/>
    <x v="0"/>
    <n v="0"/>
    <n v="0"/>
    <m/>
    <n v="1"/>
    <n v="1"/>
    <n v="0"/>
    <x v="0"/>
    <n v="0"/>
    <m/>
    <s v="document"/>
    <n v="50"/>
    <n v="0"/>
  </r>
  <r>
    <s v="BR-1-evaluations"/>
    <x v="23"/>
    <s v="BR-1"/>
    <x v="0"/>
    <s v="evaluations"/>
    <x v="24"/>
    <x v="0"/>
    <x v="4"/>
    <x v="4"/>
    <n v="28"/>
    <n v="2.1700000000000001E-2"/>
    <x v="0"/>
    <x v="2"/>
    <n v="0"/>
    <x v="0"/>
    <n v="0"/>
    <n v="0"/>
    <m/>
    <n v="1"/>
    <n v="1"/>
    <n v="0"/>
    <x v="0"/>
    <n v="0"/>
    <m/>
    <s v="document"/>
    <n v="50"/>
    <n v="0"/>
  </r>
  <r>
    <s v="BR-1-mou"/>
    <x v="23"/>
    <s v="BR-1"/>
    <x v="0"/>
    <s v="mou"/>
    <x v="25"/>
    <x v="0"/>
    <x v="4"/>
    <x v="4"/>
    <n v="27"/>
    <n v="2.1700000000000001E-2"/>
    <x v="0"/>
    <x v="2"/>
    <n v="0"/>
    <x v="0"/>
    <n v="0"/>
    <n v="0"/>
    <m/>
    <n v="1"/>
    <n v="1"/>
    <n v="0"/>
    <x v="0"/>
    <n v="0"/>
    <m/>
    <s v="document"/>
    <n v="50"/>
    <n v="0"/>
  </r>
  <r>
    <s v="BR-1-objectives"/>
    <x v="23"/>
    <s v="BR-1"/>
    <x v="0"/>
    <s v="objectives"/>
    <x v="26"/>
    <x v="0"/>
    <x v="4"/>
    <x v="4"/>
    <n v="29"/>
    <n v="2.1700000000000001E-2"/>
    <x v="0"/>
    <x v="2"/>
    <n v="0"/>
    <x v="0"/>
    <n v="0"/>
    <n v="0"/>
    <m/>
    <n v="1"/>
    <n v="1"/>
    <n v="0"/>
    <x v="0"/>
    <n v="0"/>
    <m/>
    <s v="document"/>
    <n v="50"/>
    <n v="0"/>
  </r>
  <r>
    <s v="BR-1-tenders"/>
    <x v="23"/>
    <s v="BR-1"/>
    <x v="0"/>
    <s v="tenders"/>
    <x v="27"/>
    <x v="0"/>
    <x v="4"/>
    <x v="4"/>
    <n v="32"/>
    <n v="2.1700000000000001E-2"/>
    <x v="0"/>
    <x v="2"/>
    <n v="0"/>
    <x v="0"/>
    <n v="0"/>
    <n v="0"/>
    <m/>
    <n v="1"/>
    <n v="1"/>
    <n v="0"/>
    <x v="0"/>
    <n v="0"/>
    <m/>
    <s v="document"/>
    <n v="50"/>
    <n v="0"/>
  </r>
  <r>
    <s v="BR-1-audit"/>
    <x v="23"/>
    <s v="BR-1"/>
    <x v="0"/>
    <s v="audit"/>
    <x v="28"/>
    <x v="1"/>
    <x v="2"/>
    <x v="5"/>
    <n v="11"/>
    <n v="4.1700000000000001E-2"/>
    <x v="0"/>
    <x v="2"/>
    <n v="0"/>
    <x v="0"/>
    <n v="0"/>
    <n v="0"/>
    <m/>
    <n v="1"/>
    <n v="1"/>
    <n v="0"/>
    <x v="0"/>
    <n v="0"/>
    <m/>
    <s v="document"/>
    <n v="50"/>
    <n v="0"/>
  </r>
  <r>
    <s v="BR-1-total-budget"/>
    <x v="23"/>
    <s v="BR-1"/>
    <x v="0"/>
    <s v="total-budget"/>
    <x v="29"/>
    <x v="1"/>
    <x v="2"/>
    <x v="5"/>
    <n v="9"/>
    <n v="4.1700000000000001E-2"/>
    <x v="0"/>
    <x v="0"/>
    <n v="0"/>
    <x v="0"/>
    <n v="0"/>
    <n v="0"/>
    <m/>
    <n v="1"/>
    <n v="1"/>
    <n v="0"/>
    <x v="3"/>
    <n v="0"/>
    <n v="0"/>
    <m/>
    <n v="0"/>
    <n v="0"/>
  </r>
  <r>
    <s v="BR-1-disaggregated-budgets"/>
    <x v="23"/>
    <s v="BR-1"/>
    <x v="0"/>
    <s v="disaggregated-budgets"/>
    <x v="30"/>
    <x v="1"/>
    <x v="2"/>
    <x v="5"/>
    <n v="10"/>
    <n v="4.1700000000000001E-2"/>
    <x v="0"/>
    <x v="0"/>
    <n v="0"/>
    <x v="0"/>
    <n v="0"/>
    <n v="0"/>
    <m/>
    <n v="1"/>
    <n v="1"/>
    <n v="0"/>
    <x v="3"/>
    <n v="0"/>
    <n v="0"/>
    <m/>
    <n v="0"/>
    <n v="0"/>
  </r>
  <r>
    <s v="BR-1-strategy"/>
    <x v="23"/>
    <s v="BR-1"/>
    <x v="0"/>
    <s v="strategy"/>
    <x v="31"/>
    <x v="1"/>
    <x v="5"/>
    <x v="6"/>
    <n v="4"/>
    <n v="2.5000000000000001E-2"/>
    <x v="0"/>
    <x v="2"/>
    <n v="0"/>
    <x v="0"/>
    <n v="0"/>
    <n v="0"/>
    <m/>
    <n v="1"/>
    <n v="1"/>
    <n v="0"/>
    <x v="0"/>
    <n v="0"/>
    <m/>
    <s v="document"/>
    <n v="50"/>
    <n v="0"/>
  </r>
  <r>
    <s v="BR-1-annual-report"/>
    <x v="23"/>
    <s v="BR-1"/>
    <x v="0"/>
    <s v="annual-report"/>
    <x v="32"/>
    <x v="1"/>
    <x v="5"/>
    <x v="6"/>
    <n v="5"/>
    <n v="2.5000000000000001E-2"/>
    <x v="0"/>
    <x v="2"/>
    <n v="0"/>
    <x v="0"/>
    <n v="0"/>
    <n v="0"/>
    <m/>
    <n v="1"/>
    <n v="1"/>
    <n v="0"/>
    <x v="2"/>
    <n v="0"/>
    <m/>
    <s v="document"/>
    <n v="50"/>
    <n v="0"/>
  </r>
  <r>
    <s v="BR-1-allocation"/>
    <x v="23"/>
    <s v="BR-1"/>
    <x v="0"/>
    <s v="allocation"/>
    <x v="33"/>
    <x v="1"/>
    <x v="5"/>
    <x v="6"/>
    <n v="6"/>
    <n v="2.5000000000000001E-2"/>
    <x v="0"/>
    <x v="2"/>
    <n v="0"/>
    <x v="0"/>
    <n v="0"/>
    <n v="0"/>
    <m/>
    <n v="1"/>
    <n v="1"/>
    <n v="0"/>
    <x v="0"/>
    <n v="0"/>
    <m/>
    <s v="document"/>
    <n v="50"/>
    <n v="0"/>
  </r>
  <r>
    <s v="BR-1-procurement-policy"/>
    <x v="23"/>
    <s v="BR-1"/>
    <x v="6"/>
    <s v="procurement-policy"/>
    <x v="34"/>
    <x v="1"/>
    <x v="5"/>
    <x v="6"/>
    <n v="7"/>
    <n v="2.5000000000000001E-2"/>
    <x v="0"/>
    <x v="2"/>
    <n v="50"/>
    <x v="2"/>
    <n v="0"/>
    <n v="0"/>
    <m/>
    <n v="1"/>
    <n v="1"/>
    <n v="0"/>
    <x v="1"/>
    <n v="1"/>
    <m/>
    <s v="document"/>
    <n v="50"/>
    <n v="50"/>
  </r>
  <r>
    <s v="BR-1-country-strategy"/>
    <x v="23"/>
    <s v="BR-1"/>
    <x v="0"/>
    <s v="country-strategy"/>
    <x v="35"/>
    <x v="1"/>
    <x v="5"/>
    <x v="6"/>
    <n v="8"/>
    <n v="2.5000000000000001E-2"/>
    <x v="0"/>
    <x v="2"/>
    <n v="0"/>
    <x v="0"/>
    <n v="0"/>
    <n v="0"/>
    <m/>
    <n v="1"/>
    <n v="1"/>
    <n v="0"/>
    <x v="0"/>
    <n v="0"/>
    <m/>
    <s v="document"/>
    <n v="50"/>
    <n v="0"/>
  </r>
  <r>
    <s v="BR-1-foia"/>
    <x v="23"/>
    <s v="BR-1"/>
    <x v="10"/>
    <s v="foia"/>
    <x v="36"/>
    <x v="2"/>
    <x v="6"/>
    <x v="7"/>
    <n v="1"/>
    <n v="3.3300000000000003E-2"/>
    <x v="0"/>
    <x v="5"/>
    <n v="100"/>
    <x v="5"/>
    <n v="0"/>
    <n v="0"/>
    <m/>
    <n v="1"/>
    <n v="1"/>
    <n v="0"/>
    <x v="3"/>
    <n v="0"/>
    <n v="100"/>
    <m/>
    <n v="0"/>
    <n v="100"/>
  </r>
  <r>
    <s v="BR-1-accessibility"/>
    <x v="23"/>
    <s v="BR-1"/>
    <x v="7"/>
    <s v="accessibility"/>
    <x v="37"/>
    <x v="2"/>
    <x v="6"/>
    <x v="7"/>
    <n v="3"/>
    <n v="3.3300000000000003E-2"/>
    <x v="0"/>
    <x v="5"/>
    <n v="33.33"/>
    <x v="1"/>
    <n v="0"/>
    <n v="0"/>
    <m/>
    <n v="1"/>
    <n v="1"/>
    <n v="0"/>
    <x v="3"/>
    <n v="0"/>
    <n v="33.33"/>
    <m/>
    <n v="0"/>
    <n v="33.33"/>
  </r>
  <r>
    <s v="BR-1-implementation-schedules"/>
    <x v="23"/>
    <s v="BR-1"/>
    <x v="0"/>
    <s v="implementation-schedules"/>
    <x v="38"/>
    <x v="2"/>
    <x v="6"/>
    <x v="7"/>
    <n v="2"/>
    <n v="3.3300000000000003E-2"/>
    <x v="0"/>
    <x v="5"/>
    <n v="0"/>
    <x v="0"/>
    <n v="0"/>
    <n v="0"/>
    <m/>
    <n v="1"/>
    <n v="1"/>
    <n v="0"/>
    <x v="3"/>
    <n v="0"/>
    <n v="0"/>
    <m/>
    <n v="0"/>
    <n v="0"/>
  </r>
  <r>
    <s v="CH-4-total-budget"/>
    <x v="24"/>
    <s v="CH-4"/>
    <x v="42"/>
    <s v="total-budget"/>
    <x v="29"/>
    <x v="1"/>
    <x v="2"/>
    <x v="5"/>
    <n v="9"/>
    <n v="4.1700000000000001E-2"/>
    <x v="1"/>
    <x v="6"/>
    <n v="50"/>
    <x v="5"/>
    <n v="100"/>
    <n v="50"/>
    <s v="quarterly"/>
    <n v="0.9"/>
    <n v="1"/>
    <n v="50"/>
    <x v="3"/>
    <m/>
    <m/>
    <m/>
    <m/>
    <n v="0"/>
  </r>
  <r>
    <s v="CH-4-strategy"/>
    <x v="24"/>
    <s v="CH-4"/>
    <x v="43"/>
    <s v="strategy"/>
    <x v="31"/>
    <x v="1"/>
    <x v="5"/>
    <x v="6"/>
    <n v="4"/>
    <n v="2.5000000000000001E-2"/>
    <x v="1"/>
    <x v="6"/>
    <n v="50"/>
    <x v="5"/>
    <n v="100"/>
    <n v="50"/>
    <s v="quarterly"/>
    <n v="0.9"/>
    <n v="1"/>
    <n v="50"/>
    <x v="3"/>
    <m/>
    <m/>
    <m/>
    <m/>
    <n v="0"/>
  </r>
  <r>
    <s v="CH-4-dates-actual"/>
    <x v="24"/>
    <s v="CH-4"/>
    <x v="26"/>
    <s v="dates-actual"/>
    <x v="0"/>
    <x v="0"/>
    <x v="0"/>
    <x v="0"/>
    <n v="17"/>
    <n v="1.6299999999999999E-2"/>
    <x v="1"/>
    <x v="6"/>
    <n v="50"/>
    <x v="12"/>
    <n v="100"/>
    <n v="50"/>
    <s v="quarterly"/>
    <n v="0.9"/>
    <n v="0.9"/>
    <n v="45"/>
    <x v="3"/>
    <m/>
    <m/>
    <m/>
    <m/>
    <n v="0"/>
  </r>
  <r>
    <s v="CH-4-contact-details"/>
    <x v="24"/>
    <s v="CH-4"/>
    <x v="26"/>
    <s v="contact-details"/>
    <x v="1"/>
    <x v="0"/>
    <x v="0"/>
    <x v="0"/>
    <n v="19"/>
    <n v="1.6299999999999999E-2"/>
    <x v="1"/>
    <x v="6"/>
    <n v="50"/>
    <x v="12"/>
    <n v="100"/>
    <n v="50"/>
    <s v="quarterly"/>
    <n v="0.9"/>
    <n v="0.9"/>
    <n v="45"/>
    <x v="3"/>
    <m/>
    <m/>
    <m/>
    <m/>
    <n v="0"/>
  </r>
  <r>
    <s v="CH-4-current-status"/>
    <x v="24"/>
    <s v="CH-4"/>
    <x v="26"/>
    <s v="current-status"/>
    <x v="2"/>
    <x v="0"/>
    <x v="0"/>
    <x v="0"/>
    <n v="18"/>
    <n v="1.6299999999999999E-2"/>
    <x v="1"/>
    <x v="6"/>
    <n v="50"/>
    <x v="12"/>
    <n v="100"/>
    <n v="50"/>
    <s v="quarterly"/>
    <n v="0.9"/>
    <n v="0.9"/>
    <n v="45"/>
    <x v="3"/>
    <m/>
    <m/>
    <m/>
    <m/>
    <n v="0"/>
  </r>
  <r>
    <s v="CH-4-description"/>
    <x v="24"/>
    <s v="CH-4"/>
    <x v="115"/>
    <s v="description"/>
    <x v="3"/>
    <x v="0"/>
    <x v="0"/>
    <x v="0"/>
    <n v="15"/>
    <n v="1.6299999999999999E-2"/>
    <x v="1"/>
    <x v="6"/>
    <n v="50"/>
    <x v="83"/>
    <n v="72.376201034700003"/>
    <n v="36.188100517400002"/>
    <s v="quarterly"/>
    <n v="0.9"/>
    <n v="0.9"/>
    <n v="32.569290465599998"/>
    <x v="3"/>
    <m/>
    <m/>
    <m/>
    <m/>
    <n v="0"/>
  </r>
  <r>
    <s v="CH-4-implementer"/>
    <x v="24"/>
    <s v="CH-4"/>
    <x v="26"/>
    <s v="implementer"/>
    <x v="4"/>
    <x v="0"/>
    <x v="0"/>
    <x v="0"/>
    <n v="12"/>
    <n v="1.6299999999999999E-2"/>
    <x v="1"/>
    <x v="6"/>
    <n v="50"/>
    <x v="12"/>
    <n v="100"/>
    <n v="50"/>
    <s v="quarterly"/>
    <n v="0.9"/>
    <n v="0.9"/>
    <n v="45"/>
    <x v="3"/>
    <m/>
    <m/>
    <m/>
    <m/>
    <n v="0"/>
  </r>
  <r>
    <s v="CH-4-dates-planned"/>
    <x v="24"/>
    <s v="CH-4"/>
    <x v="28"/>
    <s v="dates-planned"/>
    <x v="5"/>
    <x v="0"/>
    <x v="0"/>
    <x v="0"/>
    <n v="16"/>
    <n v="1.6299999999999999E-2"/>
    <x v="1"/>
    <x v="6"/>
    <n v="50"/>
    <x v="14"/>
    <n v="50"/>
    <n v="25"/>
    <s v="quarterly"/>
    <n v="0.9"/>
    <n v="0.9"/>
    <n v="22.5"/>
    <x v="3"/>
    <m/>
    <m/>
    <m/>
    <m/>
    <n v="0"/>
  </r>
  <r>
    <s v="CH-4-title"/>
    <x v="24"/>
    <s v="CH-4"/>
    <x v="116"/>
    <s v="title"/>
    <x v="6"/>
    <x v="0"/>
    <x v="0"/>
    <x v="0"/>
    <n v="14"/>
    <n v="1.6299999999999999E-2"/>
    <x v="1"/>
    <x v="6"/>
    <n v="50"/>
    <x v="84"/>
    <n v="99.981522542500002"/>
    <n v="49.9907612712"/>
    <s v="quarterly"/>
    <n v="0.9"/>
    <n v="0.9"/>
    <n v="44.991685144100003"/>
    <x v="3"/>
    <m/>
    <m/>
    <m/>
    <m/>
    <n v="0"/>
  </r>
  <r>
    <s v="CH-4-unique-id"/>
    <x v="24"/>
    <s v="CH-4"/>
    <x v="26"/>
    <s v="unique-id"/>
    <x v="7"/>
    <x v="0"/>
    <x v="0"/>
    <x v="0"/>
    <n v="13"/>
    <n v="1.6299999999999999E-2"/>
    <x v="1"/>
    <x v="6"/>
    <n v="50"/>
    <x v="12"/>
    <n v="100"/>
    <n v="50"/>
    <s v="quarterly"/>
    <n v="0.9"/>
    <n v="0.9"/>
    <n v="45"/>
    <x v="3"/>
    <m/>
    <m/>
    <m/>
    <m/>
    <n v="0"/>
  </r>
  <r>
    <s v="CH-4-aid-type"/>
    <x v="24"/>
    <s v="CH-4"/>
    <x v="29"/>
    <s v="aid-type"/>
    <x v="8"/>
    <x v="0"/>
    <x v="1"/>
    <x v="1"/>
    <n v="22"/>
    <n v="1.8599999999999998E-2"/>
    <x v="1"/>
    <x v="6"/>
    <n v="50"/>
    <x v="12"/>
    <n v="100"/>
    <n v="50"/>
    <s v="quarterly"/>
    <n v="0.9"/>
    <n v="0.9"/>
    <n v="45"/>
    <x v="3"/>
    <m/>
    <m/>
    <m/>
    <m/>
    <n v="0"/>
  </r>
  <r>
    <s v="CH-4-collaboration-type"/>
    <x v="24"/>
    <s v="CH-4"/>
    <x v="29"/>
    <s v="collaboration-type"/>
    <x v="9"/>
    <x v="0"/>
    <x v="1"/>
    <x v="1"/>
    <n v="20"/>
    <n v="1.8599999999999998E-2"/>
    <x v="1"/>
    <x v="6"/>
    <n v="50"/>
    <x v="12"/>
    <n v="100"/>
    <n v="50"/>
    <s v="quarterly"/>
    <n v="0.9"/>
    <n v="0.9"/>
    <n v="45"/>
    <x v="3"/>
    <m/>
    <m/>
    <m/>
    <m/>
    <n v="0"/>
  </r>
  <r>
    <s v="CH-4-finance-type"/>
    <x v="24"/>
    <s v="CH-4"/>
    <x v="29"/>
    <s v="finance-type"/>
    <x v="10"/>
    <x v="0"/>
    <x v="1"/>
    <x v="1"/>
    <n v="23"/>
    <n v="1.8599999999999998E-2"/>
    <x v="1"/>
    <x v="6"/>
    <n v="50"/>
    <x v="12"/>
    <n v="100"/>
    <n v="50"/>
    <s v="quarterly"/>
    <n v="0.9"/>
    <n v="0.9"/>
    <n v="45"/>
    <x v="3"/>
    <m/>
    <m/>
    <m/>
    <m/>
    <n v="0"/>
  </r>
  <r>
    <s v="CH-4-flow-type"/>
    <x v="24"/>
    <s v="CH-4"/>
    <x v="29"/>
    <s v="flow-type"/>
    <x v="11"/>
    <x v="0"/>
    <x v="1"/>
    <x v="1"/>
    <n v="21"/>
    <n v="1.8599999999999998E-2"/>
    <x v="1"/>
    <x v="6"/>
    <n v="50"/>
    <x v="12"/>
    <n v="100"/>
    <n v="50"/>
    <s v="quarterly"/>
    <n v="0.9"/>
    <n v="0.9"/>
    <n v="45"/>
    <x v="3"/>
    <m/>
    <m/>
    <m/>
    <m/>
    <n v="0"/>
  </r>
  <r>
    <s v="CH-4-sector"/>
    <x v="24"/>
    <s v="CH-4"/>
    <x v="29"/>
    <s v="sector"/>
    <x v="12"/>
    <x v="0"/>
    <x v="1"/>
    <x v="1"/>
    <n v="24"/>
    <n v="1.8599999999999998E-2"/>
    <x v="1"/>
    <x v="6"/>
    <n v="50"/>
    <x v="12"/>
    <n v="100"/>
    <n v="50"/>
    <s v="quarterly"/>
    <n v="0.9"/>
    <n v="0.9"/>
    <n v="45"/>
    <x v="3"/>
    <m/>
    <m/>
    <m/>
    <m/>
    <n v="0"/>
  </r>
  <r>
    <s v="CH-4-tied-aid-status"/>
    <x v="24"/>
    <s v="CH-4"/>
    <x v="29"/>
    <s v="tied-aid-status"/>
    <x v="14"/>
    <x v="0"/>
    <x v="1"/>
    <x v="1"/>
    <n v="26"/>
    <n v="1.8599999999999998E-2"/>
    <x v="1"/>
    <x v="6"/>
    <n v="50"/>
    <x v="12"/>
    <n v="100"/>
    <n v="50"/>
    <s v="quarterly"/>
    <n v="0.9"/>
    <n v="0.9"/>
    <n v="45"/>
    <x v="3"/>
    <m/>
    <m/>
    <m/>
    <m/>
    <n v="0"/>
  </r>
  <r>
    <s v="CH-4-expenditure-actual"/>
    <x v="24"/>
    <s v="CH-4"/>
    <x v="60"/>
    <s v="expenditure-actual"/>
    <x v="15"/>
    <x v="0"/>
    <x v="2"/>
    <x v="2"/>
    <n v="35"/>
    <n v="3.2500000000000001E-2"/>
    <x v="1"/>
    <x v="6"/>
    <n v="50"/>
    <x v="12"/>
    <n v="100"/>
    <n v="50"/>
    <s v="quarterly"/>
    <n v="0.9"/>
    <n v="0.9"/>
    <n v="45"/>
    <x v="3"/>
    <m/>
    <m/>
    <m/>
    <m/>
    <n v="0"/>
  </r>
  <r>
    <s v="CH-4-expenditure-planned"/>
    <x v="24"/>
    <s v="CH-4"/>
    <x v="117"/>
    <s v="expenditure-planned"/>
    <x v="17"/>
    <x v="0"/>
    <x v="2"/>
    <x v="2"/>
    <n v="34"/>
    <n v="3.2500000000000001E-2"/>
    <x v="1"/>
    <x v="6"/>
    <n v="50"/>
    <x v="85"/>
    <n v="64.855875831500001"/>
    <n v="32.427937915699999"/>
    <s v="quarterly"/>
    <n v="0.9"/>
    <n v="0.9"/>
    <n v="29.185144124200001"/>
    <x v="3"/>
    <m/>
    <m/>
    <m/>
    <m/>
    <n v="0"/>
  </r>
  <r>
    <s v="CH-4-conditions"/>
    <x v="24"/>
    <s v="CH-4"/>
    <x v="63"/>
    <s v="conditions"/>
    <x v="19"/>
    <x v="0"/>
    <x v="3"/>
    <x v="3"/>
    <n v="39"/>
    <n v="4.3299999999999998E-2"/>
    <x v="1"/>
    <x v="6"/>
    <n v="50"/>
    <x v="14"/>
    <n v="50"/>
    <n v="25"/>
    <s v="quarterly"/>
    <n v="0.9"/>
    <n v="0.9"/>
    <n v="22.5"/>
    <x v="3"/>
    <m/>
    <m/>
    <m/>
    <m/>
    <n v="0"/>
  </r>
  <r>
    <s v="CH-4-annual-report"/>
    <x v="24"/>
    <s v="CH-4"/>
    <x v="43"/>
    <s v="annual-report"/>
    <x v="32"/>
    <x v="1"/>
    <x v="5"/>
    <x v="6"/>
    <n v="5"/>
    <n v="2.5000000000000001E-2"/>
    <x v="1"/>
    <x v="6"/>
    <n v="50"/>
    <x v="5"/>
    <n v="100"/>
    <n v="50"/>
    <s v="quarterly"/>
    <n v="0.9"/>
    <n v="1"/>
    <n v="50"/>
    <x v="3"/>
    <m/>
    <m/>
    <m/>
    <m/>
    <n v="0"/>
  </r>
  <r>
    <s v="CH-4-audit"/>
    <x v="24"/>
    <s v="CH-4"/>
    <x v="0"/>
    <s v="audit"/>
    <x v="28"/>
    <x v="1"/>
    <x v="2"/>
    <x v="5"/>
    <n v="11"/>
    <n v="4.1700000000000001E-2"/>
    <x v="0"/>
    <x v="2"/>
    <n v="0"/>
    <x v="0"/>
    <n v="0"/>
    <n v="0"/>
    <s v="quarterly"/>
    <n v="0.9"/>
    <n v="1"/>
    <n v="0"/>
    <x v="0"/>
    <n v="0"/>
    <m/>
    <s v="document"/>
    <n v="50"/>
    <n v="0"/>
  </r>
  <r>
    <s v="CH-4-disaggregated-budgets"/>
    <x v="24"/>
    <s v="CH-4"/>
    <x v="118"/>
    <s v="disaggregated-budgets"/>
    <x v="30"/>
    <x v="1"/>
    <x v="2"/>
    <x v="5"/>
    <n v="10"/>
    <n v="4.1700000000000001E-2"/>
    <x v="0"/>
    <x v="1"/>
    <n v="33.33"/>
    <x v="1"/>
    <n v="0"/>
    <n v="0"/>
    <s v="quarterly"/>
    <n v="0.9"/>
    <n v="1"/>
    <n v="0"/>
    <x v="3"/>
    <n v="0"/>
    <n v="3"/>
    <s v="website"/>
    <n v="33.33"/>
    <n v="33.33"/>
  </r>
  <r>
    <s v="CH-4-allocation"/>
    <x v="24"/>
    <s v="CH-4"/>
    <x v="6"/>
    <s v="allocation"/>
    <x v="33"/>
    <x v="1"/>
    <x v="5"/>
    <x v="6"/>
    <n v="6"/>
    <n v="2.5000000000000001E-2"/>
    <x v="0"/>
    <x v="2"/>
    <n v="50"/>
    <x v="2"/>
    <n v="0"/>
    <n v="0"/>
    <s v="quarterly"/>
    <n v="0.9"/>
    <n v="1"/>
    <n v="0"/>
    <x v="1"/>
    <n v="1"/>
    <m/>
    <s v="document"/>
    <n v="50"/>
    <n v="50"/>
  </r>
  <r>
    <s v="CH-4-procurement-policy"/>
    <x v="24"/>
    <s v="CH-4"/>
    <x v="6"/>
    <s v="procurement-policy"/>
    <x v="34"/>
    <x v="1"/>
    <x v="5"/>
    <x v="6"/>
    <n v="7"/>
    <n v="2.5000000000000001E-2"/>
    <x v="0"/>
    <x v="2"/>
    <n v="50"/>
    <x v="2"/>
    <n v="0"/>
    <n v="0"/>
    <s v="quarterly"/>
    <n v="0.9"/>
    <n v="1"/>
    <n v="0"/>
    <x v="1"/>
    <n v="1"/>
    <m/>
    <s v="document"/>
    <n v="50"/>
    <n v="50"/>
  </r>
  <r>
    <s v="CH-4-country-strategy"/>
    <x v="24"/>
    <s v="CH-4"/>
    <x v="6"/>
    <s v="country-strategy"/>
    <x v="35"/>
    <x v="1"/>
    <x v="5"/>
    <x v="6"/>
    <n v="8"/>
    <n v="2.5000000000000001E-2"/>
    <x v="0"/>
    <x v="2"/>
    <n v="50"/>
    <x v="2"/>
    <n v="0"/>
    <n v="0"/>
    <s v="quarterly"/>
    <n v="0.9"/>
    <n v="1"/>
    <n v="0"/>
    <x v="1"/>
    <n v="1"/>
    <m/>
    <s v="document"/>
    <n v="50"/>
    <n v="50"/>
  </r>
  <r>
    <s v="CH-4-location"/>
    <x v="24"/>
    <s v="CH-4"/>
    <x v="0"/>
    <s v="location"/>
    <x v="13"/>
    <x v="0"/>
    <x v="1"/>
    <x v="1"/>
    <n v="25"/>
    <n v="1.8599999999999998E-2"/>
    <x v="0"/>
    <x v="1"/>
    <n v="0"/>
    <x v="0"/>
    <n v="0"/>
    <n v="0"/>
    <s v="quarterly"/>
    <n v="0.9"/>
    <n v="1"/>
    <n v="0"/>
    <x v="2"/>
    <n v="0"/>
    <m/>
    <s v="website"/>
    <n v="33.33"/>
    <n v="0"/>
  </r>
  <r>
    <s v="CH-4-cost-overall"/>
    <x v="24"/>
    <s v="CH-4"/>
    <x v="0"/>
    <s v="cost-overall"/>
    <x v="16"/>
    <x v="0"/>
    <x v="2"/>
    <x v="2"/>
    <n v="33"/>
    <n v="3.2500000000000001E-2"/>
    <x v="0"/>
    <x v="0"/>
    <n v="0"/>
    <x v="0"/>
    <n v="0"/>
    <n v="0"/>
    <s v="quarterly"/>
    <n v="0.9"/>
    <n v="1"/>
    <n v="0"/>
    <x v="0"/>
    <n v="0"/>
    <m/>
    <m/>
    <n v="0"/>
    <n v="0"/>
  </r>
  <r>
    <s v="CH-4-budget-identifier"/>
    <x v="24"/>
    <s v="CH-4"/>
    <x v="0"/>
    <s v="budget-identifier"/>
    <x v="18"/>
    <x v="0"/>
    <x v="2"/>
    <x v="2"/>
    <n v="36"/>
    <n v="3.2500000000000001E-2"/>
    <x v="0"/>
    <x v="0"/>
    <n v="0"/>
    <x v="0"/>
    <n v="0"/>
    <n v="0"/>
    <s v="quarterly"/>
    <n v="0.9"/>
    <n v="1"/>
    <n v="0"/>
    <x v="0"/>
    <n v="0"/>
    <m/>
    <m/>
    <n v="0"/>
    <n v="0"/>
  </r>
  <r>
    <s v="CH-4-impact-appraisals"/>
    <x v="24"/>
    <s v="CH-4"/>
    <x v="0"/>
    <s v="impact-appraisals"/>
    <x v="20"/>
    <x v="0"/>
    <x v="3"/>
    <x v="3"/>
    <n v="38"/>
    <n v="4.3299999999999998E-2"/>
    <x v="0"/>
    <x v="2"/>
    <n v="0"/>
    <x v="0"/>
    <n v="0"/>
    <n v="0"/>
    <s v="quarterly"/>
    <n v="0.9"/>
    <n v="1"/>
    <n v="0"/>
    <x v="0"/>
    <n v="0"/>
    <m/>
    <s v="document"/>
    <n v="50"/>
    <n v="0"/>
  </r>
  <r>
    <s v="CH-4-results"/>
    <x v="24"/>
    <s v="CH-4"/>
    <x v="0"/>
    <s v="results"/>
    <x v="21"/>
    <x v="0"/>
    <x v="3"/>
    <x v="3"/>
    <n v="37"/>
    <n v="4.3299999999999998E-2"/>
    <x v="0"/>
    <x v="1"/>
    <n v="0"/>
    <x v="0"/>
    <n v="0"/>
    <n v="0"/>
    <s v="quarterly"/>
    <n v="0.9"/>
    <n v="1"/>
    <n v="0"/>
    <x v="2"/>
    <n v="0"/>
    <m/>
    <s v="website"/>
    <n v="33.33"/>
    <n v="0"/>
  </r>
  <r>
    <s v="CH-4-budget"/>
    <x v="24"/>
    <s v="CH-4"/>
    <x v="0"/>
    <s v="budget"/>
    <x v="22"/>
    <x v="0"/>
    <x v="4"/>
    <x v="4"/>
    <n v="30"/>
    <n v="2.1700000000000001E-2"/>
    <x v="0"/>
    <x v="2"/>
    <n v="0"/>
    <x v="0"/>
    <n v="0"/>
    <n v="0"/>
    <s v="quarterly"/>
    <n v="0.9"/>
    <n v="1"/>
    <n v="0"/>
    <x v="0"/>
    <n v="0"/>
    <m/>
    <s v="document"/>
    <n v="50"/>
    <n v="0"/>
  </r>
  <r>
    <s v="CH-4-contracts"/>
    <x v="24"/>
    <s v="CH-4"/>
    <x v="3"/>
    <s v="contracts"/>
    <x v="23"/>
    <x v="0"/>
    <x v="4"/>
    <x v="4"/>
    <n v="31"/>
    <n v="2.1700000000000001E-2"/>
    <x v="0"/>
    <x v="2"/>
    <n v="50"/>
    <x v="2"/>
    <n v="0"/>
    <n v="0"/>
    <s v="quarterly"/>
    <n v="0.9"/>
    <n v="1"/>
    <n v="0"/>
    <x v="1"/>
    <n v="1"/>
    <m/>
    <s v="document"/>
    <n v="50"/>
    <n v="50"/>
  </r>
  <r>
    <s v="CH-4-evaluations"/>
    <x v="24"/>
    <s v="CH-4"/>
    <x v="0"/>
    <s v="evaluations"/>
    <x v="24"/>
    <x v="0"/>
    <x v="4"/>
    <x v="4"/>
    <n v="28"/>
    <n v="2.1700000000000001E-2"/>
    <x v="0"/>
    <x v="2"/>
    <n v="0"/>
    <x v="0"/>
    <n v="0"/>
    <n v="0"/>
    <s v="quarterly"/>
    <n v="0.9"/>
    <n v="1"/>
    <n v="0"/>
    <x v="2"/>
    <n v="0"/>
    <m/>
    <s v="document"/>
    <n v="50"/>
    <n v="0"/>
  </r>
  <r>
    <s v="CH-4-mou"/>
    <x v="24"/>
    <s v="CH-4"/>
    <x v="0"/>
    <s v="mou"/>
    <x v="25"/>
    <x v="0"/>
    <x v="4"/>
    <x v="4"/>
    <n v="27"/>
    <n v="2.1700000000000001E-2"/>
    <x v="0"/>
    <x v="2"/>
    <n v="0"/>
    <x v="0"/>
    <n v="0"/>
    <n v="0"/>
    <s v="quarterly"/>
    <n v="0.9"/>
    <n v="1"/>
    <n v="0"/>
    <x v="0"/>
    <n v="0"/>
    <m/>
    <s v="document"/>
    <n v="50"/>
    <n v="0"/>
  </r>
  <r>
    <s v="CH-4-objectives"/>
    <x v="24"/>
    <s v="CH-4"/>
    <x v="3"/>
    <s v="objectives"/>
    <x v="26"/>
    <x v="0"/>
    <x v="4"/>
    <x v="4"/>
    <n v="29"/>
    <n v="2.1700000000000001E-2"/>
    <x v="0"/>
    <x v="2"/>
    <n v="50"/>
    <x v="2"/>
    <n v="0"/>
    <n v="0"/>
    <s v="quarterly"/>
    <n v="0.9"/>
    <n v="1"/>
    <n v="0"/>
    <x v="1"/>
    <n v="1"/>
    <m/>
    <s v="document"/>
    <n v="50"/>
    <n v="50"/>
  </r>
  <r>
    <s v="CH-4-tenders"/>
    <x v="24"/>
    <s v="CH-4"/>
    <x v="3"/>
    <s v="tenders"/>
    <x v="27"/>
    <x v="0"/>
    <x v="4"/>
    <x v="4"/>
    <n v="32"/>
    <n v="2.1700000000000001E-2"/>
    <x v="0"/>
    <x v="2"/>
    <n v="50"/>
    <x v="2"/>
    <n v="0"/>
    <n v="0"/>
    <s v="quarterly"/>
    <n v="0.9"/>
    <n v="1"/>
    <n v="0"/>
    <x v="1"/>
    <n v="1"/>
    <m/>
    <s v="document"/>
    <n v="50"/>
    <n v="50"/>
  </r>
  <r>
    <s v="CH-4-foia"/>
    <x v="24"/>
    <s v="CH-4"/>
    <x v="15"/>
    <s v="foia"/>
    <x v="36"/>
    <x v="2"/>
    <x v="6"/>
    <x v="7"/>
    <n v="1"/>
    <n v="3.3300000000000003E-2"/>
    <x v="0"/>
    <x v="5"/>
    <n v="66.66"/>
    <x v="6"/>
    <n v="0"/>
    <n v="0"/>
    <s v="quarterly"/>
    <n v="0.9"/>
    <n v="1"/>
    <n v="0"/>
    <x v="3"/>
    <n v="0"/>
    <n v="66.66"/>
    <m/>
    <n v="0"/>
    <n v="66.66"/>
  </r>
  <r>
    <s v="CH-4-accessibility"/>
    <x v="24"/>
    <s v="CH-4"/>
    <x v="7"/>
    <s v="accessibility"/>
    <x v="37"/>
    <x v="2"/>
    <x v="6"/>
    <x v="7"/>
    <n v="3"/>
    <n v="3.3300000000000003E-2"/>
    <x v="0"/>
    <x v="5"/>
    <n v="33.33"/>
    <x v="1"/>
    <n v="0"/>
    <n v="0"/>
    <s v="quarterly"/>
    <n v="0.9"/>
    <n v="1"/>
    <n v="0"/>
    <x v="3"/>
    <n v="0"/>
    <n v="33.33"/>
    <m/>
    <n v="0"/>
    <n v="33.33"/>
  </r>
  <r>
    <s v="CH-4-implementation-schedules"/>
    <x v="24"/>
    <s v="CH-4"/>
    <x v="119"/>
    <s v="implementation-schedules"/>
    <x v="38"/>
    <x v="2"/>
    <x v="6"/>
    <x v="7"/>
    <n v="2"/>
    <n v="3.3300000000000003E-2"/>
    <x v="0"/>
    <x v="5"/>
    <n v="50"/>
    <x v="2"/>
    <n v="0"/>
    <n v="0"/>
    <s v="quarterly"/>
    <n v="0.9"/>
    <n v="1"/>
    <n v="0"/>
    <x v="3"/>
    <n v="0"/>
    <n v="50"/>
    <m/>
    <n v="0"/>
    <n v="50"/>
  </r>
  <r>
    <s v="US-18-dates-actual"/>
    <x v="25"/>
    <s v="US-18"/>
    <x v="46"/>
    <s v="dates-actual"/>
    <x v="0"/>
    <x v="0"/>
    <x v="0"/>
    <x v="0"/>
    <n v="17"/>
    <n v="1.6299999999999999E-2"/>
    <x v="1"/>
    <x v="6"/>
    <n v="50"/>
    <x v="5"/>
    <n v="100"/>
    <n v="50"/>
    <s v="monthly"/>
    <n v="1"/>
    <n v="1"/>
    <n v="50"/>
    <x v="3"/>
    <m/>
    <m/>
    <m/>
    <m/>
    <n v="0"/>
  </r>
  <r>
    <s v="US-18-contact-details"/>
    <x v="25"/>
    <s v="US-18"/>
    <x v="46"/>
    <s v="contact-details"/>
    <x v="1"/>
    <x v="0"/>
    <x v="0"/>
    <x v="0"/>
    <n v="19"/>
    <n v="1.6299999999999999E-2"/>
    <x v="1"/>
    <x v="6"/>
    <n v="50"/>
    <x v="5"/>
    <n v="100"/>
    <n v="50"/>
    <s v="monthly"/>
    <n v="1"/>
    <n v="1"/>
    <n v="50"/>
    <x v="3"/>
    <m/>
    <m/>
    <m/>
    <m/>
    <n v="0"/>
  </r>
  <r>
    <s v="US-18-current-status"/>
    <x v="25"/>
    <s v="US-18"/>
    <x v="46"/>
    <s v="current-status"/>
    <x v="2"/>
    <x v="0"/>
    <x v="0"/>
    <x v="0"/>
    <n v="18"/>
    <n v="1.6299999999999999E-2"/>
    <x v="1"/>
    <x v="6"/>
    <n v="50"/>
    <x v="5"/>
    <n v="100"/>
    <n v="50"/>
    <s v="monthly"/>
    <n v="1"/>
    <n v="1"/>
    <n v="50"/>
    <x v="3"/>
    <m/>
    <m/>
    <m/>
    <m/>
    <n v="0"/>
  </r>
  <r>
    <s v="US-18-description"/>
    <x v="25"/>
    <s v="US-18"/>
    <x v="120"/>
    <s v="description"/>
    <x v="3"/>
    <x v="0"/>
    <x v="0"/>
    <x v="0"/>
    <n v="15"/>
    <n v="1.6299999999999999E-2"/>
    <x v="1"/>
    <x v="6"/>
    <n v="50"/>
    <x v="86"/>
    <n v="99.661781285199993"/>
    <n v="49.830890642599996"/>
    <s v="monthly"/>
    <n v="1"/>
    <n v="1"/>
    <n v="49.830890642599996"/>
    <x v="3"/>
    <m/>
    <m/>
    <m/>
    <m/>
    <n v="0"/>
  </r>
  <r>
    <s v="US-18-implementer"/>
    <x v="25"/>
    <s v="US-18"/>
    <x v="46"/>
    <s v="implementer"/>
    <x v="4"/>
    <x v="0"/>
    <x v="0"/>
    <x v="0"/>
    <n v="12"/>
    <n v="1.6299999999999999E-2"/>
    <x v="1"/>
    <x v="6"/>
    <n v="50"/>
    <x v="5"/>
    <n v="100"/>
    <n v="50"/>
    <s v="monthly"/>
    <n v="1"/>
    <n v="1"/>
    <n v="50"/>
    <x v="3"/>
    <m/>
    <m/>
    <m/>
    <m/>
    <n v="0"/>
  </r>
  <r>
    <s v="US-18-dates-planned"/>
    <x v="25"/>
    <s v="US-18"/>
    <x v="46"/>
    <s v="dates-planned"/>
    <x v="5"/>
    <x v="0"/>
    <x v="0"/>
    <x v="0"/>
    <n v="16"/>
    <n v="1.6299999999999999E-2"/>
    <x v="1"/>
    <x v="6"/>
    <n v="50"/>
    <x v="5"/>
    <n v="100"/>
    <n v="50"/>
    <s v="monthly"/>
    <n v="1"/>
    <n v="1"/>
    <n v="50"/>
    <x v="3"/>
    <m/>
    <m/>
    <m/>
    <m/>
    <n v="0"/>
  </r>
  <r>
    <s v="US-18-title"/>
    <x v="25"/>
    <s v="US-18"/>
    <x v="46"/>
    <s v="title"/>
    <x v="6"/>
    <x v="0"/>
    <x v="0"/>
    <x v="0"/>
    <n v="14"/>
    <n v="1.6299999999999999E-2"/>
    <x v="1"/>
    <x v="6"/>
    <n v="50"/>
    <x v="5"/>
    <n v="100"/>
    <n v="50"/>
    <s v="monthly"/>
    <n v="1"/>
    <n v="1"/>
    <n v="50"/>
    <x v="3"/>
    <m/>
    <m/>
    <m/>
    <m/>
    <n v="0"/>
  </r>
  <r>
    <s v="US-18-unique-id"/>
    <x v="25"/>
    <s v="US-18"/>
    <x v="46"/>
    <s v="unique-id"/>
    <x v="7"/>
    <x v="0"/>
    <x v="0"/>
    <x v="0"/>
    <n v="13"/>
    <n v="1.6299999999999999E-2"/>
    <x v="1"/>
    <x v="6"/>
    <n v="50"/>
    <x v="5"/>
    <n v="100"/>
    <n v="50"/>
    <s v="monthly"/>
    <n v="1"/>
    <n v="1"/>
    <n v="50"/>
    <x v="3"/>
    <m/>
    <m/>
    <m/>
    <m/>
    <n v="0"/>
  </r>
  <r>
    <s v="US-18-collaboration-type"/>
    <x v="25"/>
    <s v="US-18"/>
    <x v="47"/>
    <s v="collaboration-type"/>
    <x v="9"/>
    <x v="0"/>
    <x v="1"/>
    <x v="1"/>
    <n v="20"/>
    <n v="1.8599999999999998E-2"/>
    <x v="1"/>
    <x v="6"/>
    <n v="50"/>
    <x v="5"/>
    <n v="100"/>
    <n v="50"/>
    <s v="monthly"/>
    <n v="1"/>
    <n v="1"/>
    <n v="50"/>
    <x v="3"/>
    <m/>
    <m/>
    <m/>
    <m/>
    <n v="0"/>
  </r>
  <r>
    <s v="US-18-sector"/>
    <x v="25"/>
    <s v="US-18"/>
    <x v="121"/>
    <s v="sector"/>
    <x v="12"/>
    <x v="0"/>
    <x v="1"/>
    <x v="1"/>
    <n v="24"/>
    <n v="1.8599999999999998E-2"/>
    <x v="1"/>
    <x v="6"/>
    <n v="50"/>
    <x v="87"/>
    <n v="99.956634865599995"/>
    <n v="49.978317432799997"/>
    <s v="monthly"/>
    <n v="1"/>
    <n v="1"/>
    <n v="49.978317432799997"/>
    <x v="3"/>
    <m/>
    <m/>
    <m/>
    <m/>
    <n v="0"/>
  </r>
  <r>
    <s v="US-18-location"/>
    <x v="25"/>
    <s v="US-18"/>
    <x v="122"/>
    <s v="location"/>
    <x v="13"/>
    <x v="0"/>
    <x v="1"/>
    <x v="1"/>
    <n v="25"/>
    <n v="1.8599999999999998E-2"/>
    <x v="1"/>
    <x v="6"/>
    <n v="50"/>
    <x v="88"/>
    <n v="2.8061224489800001"/>
    <n v="1.40306122449"/>
    <s v="monthly"/>
    <n v="1"/>
    <n v="1"/>
    <n v="1.40306122449"/>
    <x v="3"/>
    <m/>
    <m/>
    <m/>
    <m/>
    <n v="0"/>
  </r>
  <r>
    <s v="US-18-expenditure-actual"/>
    <x v="25"/>
    <s v="US-18"/>
    <x v="51"/>
    <s v="expenditure-actual"/>
    <x v="15"/>
    <x v="0"/>
    <x v="2"/>
    <x v="2"/>
    <n v="35"/>
    <n v="3.2500000000000001E-2"/>
    <x v="1"/>
    <x v="6"/>
    <n v="50"/>
    <x v="5"/>
    <n v="100"/>
    <n v="50"/>
    <s v="monthly"/>
    <n v="1"/>
    <n v="1"/>
    <n v="50"/>
    <x v="3"/>
    <m/>
    <m/>
    <m/>
    <m/>
    <n v="0"/>
  </r>
  <r>
    <s v="US-18-cost-overall"/>
    <x v="25"/>
    <s v="US-18"/>
    <x v="123"/>
    <s v="cost-overall"/>
    <x v="16"/>
    <x v="0"/>
    <x v="2"/>
    <x v="2"/>
    <n v="33"/>
    <n v="3.2500000000000001E-2"/>
    <x v="1"/>
    <x v="6"/>
    <n v="50"/>
    <x v="89"/>
    <n v="44.444444444399998"/>
    <n v="22.222222222199999"/>
    <s v="monthly"/>
    <n v="1"/>
    <n v="1"/>
    <n v="22.222222222199999"/>
    <x v="3"/>
    <m/>
    <m/>
    <m/>
    <m/>
    <n v="0"/>
  </r>
  <r>
    <s v="US-18-expenditure-planned"/>
    <x v="25"/>
    <s v="US-18"/>
    <x v="51"/>
    <s v="expenditure-planned"/>
    <x v="17"/>
    <x v="0"/>
    <x v="2"/>
    <x v="2"/>
    <n v="34"/>
    <n v="3.2500000000000001E-2"/>
    <x v="1"/>
    <x v="6"/>
    <n v="50"/>
    <x v="5"/>
    <n v="100"/>
    <n v="50"/>
    <s v="monthly"/>
    <n v="1"/>
    <n v="1"/>
    <n v="50"/>
    <x v="3"/>
    <m/>
    <m/>
    <m/>
    <m/>
    <n v="0"/>
  </r>
  <r>
    <s v="US-18-budget-identifier"/>
    <x v="25"/>
    <s v="US-18"/>
    <x v="51"/>
    <s v="budget-identifier"/>
    <x v="18"/>
    <x v="0"/>
    <x v="2"/>
    <x v="2"/>
    <n v="36"/>
    <n v="3.2500000000000001E-2"/>
    <x v="1"/>
    <x v="6"/>
    <n v="50"/>
    <x v="5"/>
    <n v="100"/>
    <n v="50"/>
    <s v="monthly"/>
    <n v="1"/>
    <n v="1"/>
    <n v="50"/>
    <x v="3"/>
    <m/>
    <m/>
    <m/>
    <m/>
    <n v="0"/>
  </r>
  <r>
    <s v="US-18-conditions"/>
    <x v="25"/>
    <s v="US-18"/>
    <x v="124"/>
    <s v="conditions"/>
    <x v="19"/>
    <x v="0"/>
    <x v="3"/>
    <x v="3"/>
    <n v="39"/>
    <n v="4.3299999999999998E-2"/>
    <x v="1"/>
    <x v="6"/>
    <n v="50"/>
    <x v="5"/>
    <n v="100"/>
    <n v="50"/>
    <s v="monthly"/>
    <n v="1"/>
    <n v="1"/>
    <n v="50"/>
    <x v="3"/>
    <m/>
    <m/>
    <m/>
    <m/>
    <n v="0"/>
  </r>
  <r>
    <s v="US-18-impact-appraisals"/>
    <x v="25"/>
    <s v="US-18"/>
    <x v="125"/>
    <s v="impact-appraisals"/>
    <x v="20"/>
    <x v="0"/>
    <x v="3"/>
    <x v="3"/>
    <n v="38"/>
    <n v="4.3299999999999998E-2"/>
    <x v="1"/>
    <x v="6"/>
    <n v="50"/>
    <x v="90"/>
    <n v="83.333333333300004"/>
    <n v="41.666666666700003"/>
    <s v="monthly"/>
    <n v="1"/>
    <n v="1"/>
    <n v="41.666666666700003"/>
    <x v="3"/>
    <m/>
    <m/>
    <m/>
    <m/>
    <n v="0"/>
  </r>
  <r>
    <s v="US-18-results"/>
    <x v="25"/>
    <s v="US-18"/>
    <x v="126"/>
    <s v="results"/>
    <x v="21"/>
    <x v="0"/>
    <x v="3"/>
    <x v="3"/>
    <n v="37"/>
    <n v="4.3299999999999998E-2"/>
    <x v="1"/>
    <x v="6"/>
    <n v="50"/>
    <x v="91"/>
    <n v="64.703065134100001"/>
    <n v="32.351532567"/>
    <s v="monthly"/>
    <n v="1"/>
    <n v="1"/>
    <n v="32.351532567"/>
    <x v="3"/>
    <m/>
    <m/>
    <m/>
    <m/>
    <n v="0"/>
  </r>
  <r>
    <s v="US-18-budget"/>
    <x v="25"/>
    <s v="US-18"/>
    <x v="53"/>
    <s v="budget"/>
    <x v="22"/>
    <x v="0"/>
    <x v="4"/>
    <x v="4"/>
    <n v="30"/>
    <n v="2.1700000000000001E-2"/>
    <x v="1"/>
    <x v="6"/>
    <n v="50"/>
    <x v="5"/>
    <n v="100"/>
    <n v="50"/>
    <s v="monthly"/>
    <n v="1"/>
    <n v="1"/>
    <n v="50"/>
    <x v="3"/>
    <m/>
    <m/>
    <m/>
    <m/>
    <n v="0"/>
  </r>
  <r>
    <s v="US-18-evaluations"/>
    <x v="25"/>
    <s v="US-18"/>
    <x v="127"/>
    <s v="evaluations"/>
    <x v="24"/>
    <x v="0"/>
    <x v="4"/>
    <x v="4"/>
    <n v="28"/>
    <n v="2.1700000000000001E-2"/>
    <x v="1"/>
    <x v="6"/>
    <n v="50"/>
    <x v="92"/>
    <n v="16.666666666699999"/>
    <n v="8.3333333333299997"/>
    <s v="monthly"/>
    <n v="1"/>
    <n v="1"/>
    <n v="8.3333333333299997"/>
    <x v="3"/>
    <m/>
    <m/>
    <m/>
    <m/>
    <n v="0"/>
  </r>
  <r>
    <s v="US-18-mou"/>
    <x v="25"/>
    <s v="US-18"/>
    <x v="53"/>
    <s v="mou"/>
    <x v="25"/>
    <x v="0"/>
    <x v="4"/>
    <x v="4"/>
    <n v="27"/>
    <n v="2.1700000000000001E-2"/>
    <x v="1"/>
    <x v="6"/>
    <n v="50"/>
    <x v="5"/>
    <n v="100"/>
    <n v="50"/>
    <s v="monthly"/>
    <n v="1"/>
    <n v="1"/>
    <n v="50"/>
    <x v="3"/>
    <m/>
    <m/>
    <m/>
    <m/>
    <n v="0"/>
  </r>
  <r>
    <s v="US-18-objectives"/>
    <x v="25"/>
    <s v="US-18"/>
    <x v="53"/>
    <s v="objectives"/>
    <x v="26"/>
    <x v="0"/>
    <x v="4"/>
    <x v="4"/>
    <n v="29"/>
    <n v="2.1700000000000001E-2"/>
    <x v="1"/>
    <x v="6"/>
    <n v="50"/>
    <x v="5"/>
    <n v="100"/>
    <n v="50"/>
    <s v="monthly"/>
    <n v="1"/>
    <n v="1"/>
    <n v="50"/>
    <x v="3"/>
    <m/>
    <m/>
    <m/>
    <m/>
    <n v="0"/>
  </r>
  <r>
    <s v="US-18-audit"/>
    <x v="25"/>
    <s v="US-18"/>
    <x v="42"/>
    <s v="audit"/>
    <x v="28"/>
    <x v="1"/>
    <x v="2"/>
    <x v="5"/>
    <n v="11"/>
    <n v="4.1700000000000001E-2"/>
    <x v="1"/>
    <x v="6"/>
    <n v="50"/>
    <x v="5"/>
    <n v="100"/>
    <n v="50"/>
    <s v="monthly"/>
    <n v="1"/>
    <n v="1"/>
    <n v="50"/>
    <x v="3"/>
    <m/>
    <m/>
    <m/>
    <m/>
    <n v="0"/>
  </r>
  <r>
    <s v="US-18-total-budget"/>
    <x v="25"/>
    <s v="US-18"/>
    <x v="69"/>
    <s v="total-budget"/>
    <x v="29"/>
    <x v="1"/>
    <x v="2"/>
    <x v="5"/>
    <n v="9"/>
    <n v="4.1700000000000001E-2"/>
    <x v="1"/>
    <x v="6"/>
    <n v="50"/>
    <x v="41"/>
    <n v="33.333333333299997"/>
    <n v="16.666666666699999"/>
    <s v="monthly"/>
    <n v="1"/>
    <n v="1"/>
    <n v="16.666666666699999"/>
    <x v="3"/>
    <m/>
    <m/>
    <m/>
    <m/>
    <n v="0"/>
  </r>
  <r>
    <s v="US-18-disaggregated-budgets"/>
    <x v="25"/>
    <s v="US-18"/>
    <x v="42"/>
    <s v="disaggregated-budgets"/>
    <x v="30"/>
    <x v="1"/>
    <x v="2"/>
    <x v="5"/>
    <n v="10"/>
    <n v="4.1700000000000001E-2"/>
    <x v="1"/>
    <x v="6"/>
    <n v="50"/>
    <x v="5"/>
    <n v="100"/>
    <n v="50"/>
    <s v="monthly"/>
    <n v="1"/>
    <n v="1"/>
    <n v="50"/>
    <x v="3"/>
    <m/>
    <m/>
    <m/>
    <m/>
    <n v="0"/>
  </r>
  <r>
    <s v="US-18-strategy"/>
    <x v="25"/>
    <s v="US-18"/>
    <x v="43"/>
    <s v="strategy"/>
    <x v="31"/>
    <x v="1"/>
    <x v="5"/>
    <x v="6"/>
    <n v="4"/>
    <n v="2.5000000000000001E-2"/>
    <x v="1"/>
    <x v="6"/>
    <n v="50"/>
    <x v="5"/>
    <n v="100"/>
    <n v="50"/>
    <s v="monthly"/>
    <n v="1"/>
    <n v="1"/>
    <n v="50"/>
    <x v="3"/>
    <m/>
    <m/>
    <m/>
    <m/>
    <n v="0"/>
  </r>
  <r>
    <s v="US-18-annual-report"/>
    <x v="25"/>
    <s v="US-18"/>
    <x v="43"/>
    <s v="annual-report"/>
    <x v="32"/>
    <x v="1"/>
    <x v="5"/>
    <x v="6"/>
    <n v="5"/>
    <n v="2.5000000000000001E-2"/>
    <x v="1"/>
    <x v="6"/>
    <n v="50"/>
    <x v="5"/>
    <n v="100"/>
    <n v="50"/>
    <s v="monthly"/>
    <n v="1"/>
    <n v="1"/>
    <n v="50"/>
    <x v="3"/>
    <m/>
    <m/>
    <m/>
    <m/>
    <n v="0"/>
  </r>
  <r>
    <s v="US-18-allocation"/>
    <x v="25"/>
    <s v="US-18"/>
    <x v="43"/>
    <s v="allocation"/>
    <x v="33"/>
    <x v="1"/>
    <x v="5"/>
    <x v="6"/>
    <n v="6"/>
    <n v="2.5000000000000001E-2"/>
    <x v="1"/>
    <x v="6"/>
    <n v="50"/>
    <x v="5"/>
    <n v="100"/>
    <n v="50"/>
    <s v="monthly"/>
    <n v="1"/>
    <n v="1"/>
    <n v="50"/>
    <x v="3"/>
    <m/>
    <m/>
    <m/>
    <m/>
    <n v="0"/>
  </r>
  <r>
    <s v="US-18-procurement-policy"/>
    <x v="25"/>
    <s v="US-18"/>
    <x v="43"/>
    <s v="procurement-policy"/>
    <x v="34"/>
    <x v="1"/>
    <x v="5"/>
    <x v="6"/>
    <n v="7"/>
    <n v="2.5000000000000001E-2"/>
    <x v="1"/>
    <x v="6"/>
    <n v="50"/>
    <x v="5"/>
    <n v="100"/>
    <n v="50"/>
    <s v="monthly"/>
    <n v="1"/>
    <n v="1"/>
    <n v="50"/>
    <x v="3"/>
    <m/>
    <m/>
    <m/>
    <m/>
    <n v="0"/>
  </r>
  <r>
    <s v="US-18-country-strategy"/>
    <x v="25"/>
    <s v="US-18"/>
    <x v="128"/>
    <s v="country-strategy"/>
    <x v="35"/>
    <x v="1"/>
    <x v="5"/>
    <x v="6"/>
    <n v="8"/>
    <n v="2.5000000000000001E-2"/>
    <x v="1"/>
    <x v="6"/>
    <n v="50"/>
    <x v="93"/>
    <n v="90.909090909100001"/>
    <n v="45.4545454545"/>
    <s v="monthly"/>
    <n v="1"/>
    <n v="1"/>
    <n v="45.4545454545"/>
    <x v="3"/>
    <m/>
    <m/>
    <m/>
    <m/>
    <n v="0"/>
  </r>
  <r>
    <s v="US-18-aid-type"/>
    <x v="25"/>
    <s v="US-18"/>
    <x v="12"/>
    <s v="aid-type"/>
    <x v="8"/>
    <x v="0"/>
    <x v="1"/>
    <x v="1"/>
    <n v="22"/>
    <n v="1.8599999999999998E-2"/>
    <x v="0"/>
    <x v="4"/>
    <n v="50"/>
    <x v="2"/>
    <n v="0"/>
    <n v="0"/>
    <s v="monthly"/>
    <n v="1"/>
    <n v="1"/>
    <n v="0"/>
    <x v="1"/>
    <n v="1"/>
    <m/>
    <s v="machine-readable"/>
    <n v="50"/>
    <n v="50"/>
  </r>
  <r>
    <s v="US-18-finance-type"/>
    <x v="25"/>
    <s v="US-18"/>
    <x v="12"/>
    <s v="finance-type"/>
    <x v="10"/>
    <x v="0"/>
    <x v="1"/>
    <x v="1"/>
    <n v="23"/>
    <n v="1.8599999999999998E-2"/>
    <x v="0"/>
    <x v="4"/>
    <n v="50"/>
    <x v="2"/>
    <n v="0"/>
    <n v="0"/>
    <s v="monthly"/>
    <n v="1"/>
    <n v="1"/>
    <n v="0"/>
    <x v="1"/>
    <n v="1"/>
    <m/>
    <s v="machine-readable"/>
    <n v="50"/>
    <n v="50"/>
  </r>
  <r>
    <s v="US-18-flow-type"/>
    <x v="25"/>
    <s v="US-18"/>
    <x v="12"/>
    <s v="flow-type"/>
    <x v="11"/>
    <x v="0"/>
    <x v="1"/>
    <x v="1"/>
    <n v="21"/>
    <n v="1.8599999999999998E-2"/>
    <x v="0"/>
    <x v="4"/>
    <n v="50"/>
    <x v="2"/>
    <n v="0"/>
    <n v="0"/>
    <s v="monthly"/>
    <n v="1"/>
    <n v="1"/>
    <n v="0"/>
    <x v="1"/>
    <n v="1"/>
    <m/>
    <s v="machine-readable"/>
    <n v="50"/>
    <n v="50"/>
  </r>
  <r>
    <s v="US-18-tied-aid-status"/>
    <x v="25"/>
    <s v="US-18"/>
    <x v="12"/>
    <s v="tied-aid-status"/>
    <x v="14"/>
    <x v="0"/>
    <x v="1"/>
    <x v="1"/>
    <n v="26"/>
    <n v="1.8599999999999998E-2"/>
    <x v="0"/>
    <x v="4"/>
    <n v="50"/>
    <x v="2"/>
    <n v="0"/>
    <n v="0"/>
    <s v="monthly"/>
    <n v="1"/>
    <n v="1"/>
    <n v="0"/>
    <x v="1"/>
    <n v="1"/>
    <m/>
    <s v="machine-readable"/>
    <n v="50"/>
    <n v="50"/>
  </r>
  <r>
    <s v="US-18-contracts"/>
    <x v="25"/>
    <s v="US-18"/>
    <x v="3"/>
    <s v="contracts"/>
    <x v="23"/>
    <x v="0"/>
    <x v="4"/>
    <x v="4"/>
    <n v="31"/>
    <n v="2.1700000000000001E-2"/>
    <x v="0"/>
    <x v="2"/>
    <n v="50"/>
    <x v="2"/>
    <n v="0"/>
    <n v="0"/>
    <s v="monthly"/>
    <n v="1"/>
    <n v="1"/>
    <n v="0"/>
    <x v="1"/>
    <n v="1"/>
    <m/>
    <s v="document"/>
    <n v="50"/>
    <n v="50"/>
  </r>
  <r>
    <s v="US-18-tenders"/>
    <x v="25"/>
    <s v="US-18"/>
    <x v="3"/>
    <s v="tenders"/>
    <x v="27"/>
    <x v="0"/>
    <x v="4"/>
    <x v="4"/>
    <n v="32"/>
    <n v="2.1700000000000001E-2"/>
    <x v="0"/>
    <x v="2"/>
    <n v="50"/>
    <x v="2"/>
    <n v="0"/>
    <n v="0"/>
    <s v="monthly"/>
    <n v="1"/>
    <n v="1"/>
    <n v="0"/>
    <x v="1"/>
    <n v="1"/>
    <m/>
    <s v="document"/>
    <n v="50"/>
    <n v="50"/>
  </r>
  <r>
    <s v="US-18-foia"/>
    <x v="25"/>
    <s v="US-18"/>
    <x v="15"/>
    <s v="foia"/>
    <x v="36"/>
    <x v="2"/>
    <x v="6"/>
    <x v="7"/>
    <n v="1"/>
    <n v="3.3300000000000003E-2"/>
    <x v="0"/>
    <x v="5"/>
    <n v="66.66"/>
    <x v="6"/>
    <n v="0"/>
    <n v="0"/>
    <s v="monthly"/>
    <n v="1"/>
    <n v="1"/>
    <n v="0"/>
    <x v="3"/>
    <n v="0"/>
    <n v="66.66"/>
    <m/>
    <n v="0"/>
    <n v="66.66"/>
  </r>
  <r>
    <s v="US-18-accessibility"/>
    <x v="25"/>
    <s v="US-18"/>
    <x v="10"/>
    <s v="accessibility"/>
    <x v="37"/>
    <x v="2"/>
    <x v="6"/>
    <x v="7"/>
    <n v="3"/>
    <n v="3.3300000000000003E-2"/>
    <x v="0"/>
    <x v="5"/>
    <n v="100"/>
    <x v="5"/>
    <n v="0"/>
    <n v="0"/>
    <s v="monthly"/>
    <n v="1"/>
    <n v="1"/>
    <n v="0"/>
    <x v="3"/>
    <n v="0"/>
    <n v="100"/>
    <m/>
    <n v="0"/>
    <n v="100"/>
  </r>
  <r>
    <s v="US-18-implementation-schedules"/>
    <x v="25"/>
    <s v="US-18"/>
    <x v="129"/>
    <s v="implementation-schedules"/>
    <x v="38"/>
    <x v="2"/>
    <x v="6"/>
    <x v="7"/>
    <n v="2"/>
    <n v="3.3300000000000003E-2"/>
    <x v="0"/>
    <x v="5"/>
    <n v="75"/>
    <x v="30"/>
    <n v="0"/>
    <n v="0"/>
    <s v="monthly"/>
    <n v="1"/>
    <n v="1"/>
    <n v="0"/>
    <x v="3"/>
    <n v="0"/>
    <n v="75"/>
    <m/>
    <n v="0"/>
    <n v="75"/>
  </r>
  <r>
    <s v="US-7-dates-actual"/>
    <x v="26"/>
    <s v="US-7"/>
    <x v="46"/>
    <s v="dates-actual"/>
    <x v="0"/>
    <x v="0"/>
    <x v="0"/>
    <x v="0"/>
    <n v="17"/>
    <n v="1.6299999999999999E-2"/>
    <x v="1"/>
    <x v="6"/>
    <n v="50"/>
    <x v="5"/>
    <n v="100"/>
    <n v="50"/>
    <s v="monthly"/>
    <n v="1"/>
    <n v="1"/>
    <n v="50"/>
    <x v="3"/>
    <m/>
    <m/>
    <m/>
    <m/>
    <n v="0"/>
  </r>
  <r>
    <s v="US-7-description"/>
    <x v="26"/>
    <s v="US-7"/>
    <x v="46"/>
    <s v="description"/>
    <x v="3"/>
    <x v="0"/>
    <x v="0"/>
    <x v="0"/>
    <n v="15"/>
    <n v="1.6299999999999999E-2"/>
    <x v="1"/>
    <x v="6"/>
    <n v="50"/>
    <x v="5"/>
    <n v="100"/>
    <n v="50"/>
    <s v="monthly"/>
    <n v="1"/>
    <n v="1"/>
    <n v="50"/>
    <x v="3"/>
    <m/>
    <m/>
    <m/>
    <m/>
    <n v="0"/>
  </r>
  <r>
    <s v="US-7-title"/>
    <x v="26"/>
    <s v="US-7"/>
    <x v="130"/>
    <s v="title"/>
    <x v="6"/>
    <x v="0"/>
    <x v="0"/>
    <x v="0"/>
    <n v="14"/>
    <n v="1.6299999999999999E-2"/>
    <x v="1"/>
    <x v="6"/>
    <n v="50"/>
    <x v="30"/>
    <n v="50"/>
    <n v="25"/>
    <s v="monthly"/>
    <n v="1"/>
    <n v="1"/>
    <n v="25"/>
    <x v="3"/>
    <m/>
    <m/>
    <m/>
    <m/>
    <n v="0"/>
  </r>
  <r>
    <s v="US-7-unique-id"/>
    <x v="26"/>
    <s v="US-7"/>
    <x v="46"/>
    <s v="unique-id"/>
    <x v="7"/>
    <x v="0"/>
    <x v="0"/>
    <x v="0"/>
    <n v="13"/>
    <n v="1.6299999999999999E-2"/>
    <x v="1"/>
    <x v="6"/>
    <n v="50"/>
    <x v="5"/>
    <n v="100"/>
    <n v="50"/>
    <s v="monthly"/>
    <n v="1"/>
    <n v="1"/>
    <n v="50"/>
    <x v="3"/>
    <m/>
    <m/>
    <m/>
    <m/>
    <n v="0"/>
  </r>
  <r>
    <s v="US-7-flow-type"/>
    <x v="26"/>
    <s v="US-7"/>
    <x v="131"/>
    <s v="flow-type"/>
    <x v="11"/>
    <x v="0"/>
    <x v="1"/>
    <x v="1"/>
    <n v="21"/>
    <n v="1.8599999999999998E-2"/>
    <x v="1"/>
    <x v="6"/>
    <n v="50"/>
    <x v="30"/>
    <n v="50"/>
    <n v="25"/>
    <s v="monthly"/>
    <n v="1"/>
    <n v="1"/>
    <n v="25"/>
    <x v="3"/>
    <m/>
    <m/>
    <m/>
    <m/>
    <n v="0"/>
  </r>
  <r>
    <s v="US-7-sector"/>
    <x v="26"/>
    <s v="US-7"/>
    <x v="132"/>
    <s v="sector"/>
    <x v="12"/>
    <x v="0"/>
    <x v="1"/>
    <x v="1"/>
    <n v="24"/>
    <n v="1.8599999999999998E-2"/>
    <x v="1"/>
    <x v="6"/>
    <n v="50"/>
    <x v="94"/>
    <n v="81.376518218599998"/>
    <n v="40.688259109299999"/>
    <s v="monthly"/>
    <n v="1"/>
    <n v="1"/>
    <n v="40.688259109299999"/>
    <x v="3"/>
    <m/>
    <m/>
    <m/>
    <m/>
    <n v="0"/>
  </r>
  <r>
    <s v="US-7-tied-aid-status"/>
    <x v="26"/>
    <s v="US-7"/>
    <x v="47"/>
    <s v="tied-aid-status"/>
    <x v="14"/>
    <x v="0"/>
    <x v="1"/>
    <x v="1"/>
    <n v="26"/>
    <n v="1.8599999999999998E-2"/>
    <x v="1"/>
    <x v="6"/>
    <n v="50"/>
    <x v="5"/>
    <n v="100"/>
    <n v="50"/>
    <s v="monthly"/>
    <n v="1"/>
    <n v="1"/>
    <n v="50"/>
    <x v="3"/>
    <m/>
    <m/>
    <m/>
    <m/>
    <n v="0"/>
  </r>
  <r>
    <s v="US-7-expenditure-actual"/>
    <x v="26"/>
    <s v="US-7"/>
    <x v="51"/>
    <s v="expenditure-actual"/>
    <x v="15"/>
    <x v="0"/>
    <x v="2"/>
    <x v="2"/>
    <n v="35"/>
    <n v="3.2500000000000001E-2"/>
    <x v="1"/>
    <x v="6"/>
    <n v="50"/>
    <x v="5"/>
    <n v="100"/>
    <n v="50"/>
    <s v="monthly"/>
    <n v="1"/>
    <n v="1"/>
    <n v="50"/>
    <x v="3"/>
    <m/>
    <m/>
    <m/>
    <m/>
    <n v="0"/>
  </r>
  <r>
    <s v="US-7-expenditure-planned"/>
    <x v="26"/>
    <s v="US-7"/>
    <x v="51"/>
    <s v="expenditure-planned"/>
    <x v="17"/>
    <x v="0"/>
    <x v="2"/>
    <x v="2"/>
    <n v="34"/>
    <n v="3.2500000000000001E-2"/>
    <x v="1"/>
    <x v="6"/>
    <n v="50"/>
    <x v="5"/>
    <n v="100"/>
    <n v="50"/>
    <s v="monthly"/>
    <n v="1"/>
    <n v="1"/>
    <n v="50"/>
    <x v="3"/>
    <m/>
    <m/>
    <m/>
    <m/>
    <n v="0"/>
  </r>
  <r>
    <s v="US-7-contact-details"/>
    <x v="26"/>
    <s v="US-7"/>
    <x v="0"/>
    <s v="contact-details"/>
    <x v="1"/>
    <x v="0"/>
    <x v="0"/>
    <x v="0"/>
    <n v="19"/>
    <n v="1.6299999999999999E-2"/>
    <x v="0"/>
    <x v="0"/>
    <n v="0"/>
    <x v="0"/>
    <n v="0"/>
    <n v="0"/>
    <s v="monthly"/>
    <n v="1"/>
    <n v="1"/>
    <n v="0"/>
    <x v="0"/>
    <n v="0"/>
    <m/>
    <m/>
    <n v="0"/>
    <n v="0"/>
  </r>
  <r>
    <s v="US-7-current-status"/>
    <x v="26"/>
    <s v="US-7"/>
    <x v="0"/>
    <s v="current-status"/>
    <x v="2"/>
    <x v="0"/>
    <x v="0"/>
    <x v="0"/>
    <n v="18"/>
    <n v="1.6299999999999999E-2"/>
    <x v="0"/>
    <x v="0"/>
    <n v="0"/>
    <x v="0"/>
    <n v="0"/>
    <n v="0"/>
    <s v="monthly"/>
    <n v="1"/>
    <n v="1"/>
    <n v="0"/>
    <x v="0"/>
    <n v="0"/>
    <m/>
    <m/>
    <n v="0"/>
    <n v="0"/>
  </r>
  <r>
    <s v="US-7-implementer"/>
    <x v="26"/>
    <s v="US-7"/>
    <x v="0"/>
    <s v="implementer"/>
    <x v="4"/>
    <x v="0"/>
    <x v="0"/>
    <x v="0"/>
    <n v="12"/>
    <n v="1.6299999999999999E-2"/>
    <x v="0"/>
    <x v="3"/>
    <n v="0"/>
    <x v="0"/>
    <n v="0"/>
    <n v="0"/>
    <s v="monthly"/>
    <n v="1"/>
    <n v="1"/>
    <n v="0"/>
    <x v="2"/>
    <n v="0"/>
    <m/>
    <s v="pdf"/>
    <n v="16.664999999999999"/>
    <n v="0"/>
  </r>
  <r>
    <s v="US-7-dates-planned"/>
    <x v="26"/>
    <s v="US-7"/>
    <x v="0"/>
    <s v="dates-planned"/>
    <x v="5"/>
    <x v="0"/>
    <x v="0"/>
    <x v="0"/>
    <n v="16"/>
    <n v="1.6299999999999999E-2"/>
    <x v="0"/>
    <x v="3"/>
    <n v="0"/>
    <x v="0"/>
    <n v="0"/>
    <n v="0"/>
    <s v="monthly"/>
    <n v="1"/>
    <n v="1"/>
    <n v="0"/>
    <x v="2"/>
    <n v="0"/>
    <m/>
    <s v="pdf"/>
    <n v="16.664999999999999"/>
    <n v="0"/>
  </r>
  <r>
    <s v="US-7-aid-type"/>
    <x v="26"/>
    <s v="US-7"/>
    <x v="0"/>
    <s v="aid-type"/>
    <x v="8"/>
    <x v="0"/>
    <x v="1"/>
    <x v="1"/>
    <n v="22"/>
    <n v="1.8599999999999998E-2"/>
    <x v="0"/>
    <x v="0"/>
    <n v="0"/>
    <x v="0"/>
    <n v="0"/>
    <n v="0"/>
    <s v="monthly"/>
    <n v="1"/>
    <n v="1"/>
    <n v="0"/>
    <x v="0"/>
    <n v="0"/>
    <m/>
    <m/>
    <n v="0"/>
    <n v="0"/>
  </r>
  <r>
    <s v="US-7-collaboration-type"/>
    <x v="26"/>
    <s v="US-7"/>
    <x v="0"/>
    <s v="collaboration-type"/>
    <x v="9"/>
    <x v="0"/>
    <x v="1"/>
    <x v="1"/>
    <n v="20"/>
    <n v="1.8599999999999998E-2"/>
    <x v="0"/>
    <x v="3"/>
    <n v="0"/>
    <x v="0"/>
    <n v="0"/>
    <n v="0"/>
    <s v="monthly"/>
    <n v="1"/>
    <n v="1"/>
    <n v="0"/>
    <x v="2"/>
    <n v="0"/>
    <m/>
    <s v="pdf"/>
    <n v="16.664999999999999"/>
    <n v="0"/>
  </r>
  <r>
    <s v="US-7-finance-type"/>
    <x v="26"/>
    <s v="US-7"/>
    <x v="0"/>
    <s v="finance-type"/>
    <x v="10"/>
    <x v="0"/>
    <x v="1"/>
    <x v="1"/>
    <n v="23"/>
    <n v="1.8599999999999998E-2"/>
    <x v="0"/>
    <x v="0"/>
    <n v="0"/>
    <x v="0"/>
    <n v="0"/>
    <n v="0"/>
    <s v="monthly"/>
    <n v="1"/>
    <n v="1"/>
    <n v="0"/>
    <x v="0"/>
    <n v="0"/>
    <m/>
    <m/>
    <n v="0"/>
    <n v="0"/>
  </r>
  <r>
    <s v="US-7-location"/>
    <x v="26"/>
    <s v="US-7"/>
    <x v="0"/>
    <s v="location"/>
    <x v="13"/>
    <x v="0"/>
    <x v="1"/>
    <x v="1"/>
    <n v="25"/>
    <n v="1.8599999999999998E-2"/>
    <x v="0"/>
    <x v="3"/>
    <n v="0"/>
    <x v="0"/>
    <n v="0"/>
    <n v="0"/>
    <s v="monthly"/>
    <n v="1"/>
    <n v="1"/>
    <n v="0"/>
    <x v="2"/>
    <n v="0"/>
    <m/>
    <s v="pdf"/>
    <n v="16.664999999999999"/>
    <n v="0"/>
  </r>
  <r>
    <s v="US-7-cost-overall"/>
    <x v="26"/>
    <s v="US-7"/>
    <x v="0"/>
    <s v="cost-overall"/>
    <x v="16"/>
    <x v="0"/>
    <x v="2"/>
    <x v="2"/>
    <n v="33"/>
    <n v="3.2500000000000001E-2"/>
    <x v="0"/>
    <x v="0"/>
    <n v="0"/>
    <x v="0"/>
    <n v="0"/>
    <n v="0"/>
    <s v="monthly"/>
    <n v="1"/>
    <n v="1"/>
    <n v="0"/>
    <x v="0"/>
    <n v="0"/>
    <m/>
    <m/>
    <n v="0"/>
    <n v="0"/>
  </r>
  <r>
    <s v="US-7-budget-identifier"/>
    <x v="26"/>
    <s v="US-7"/>
    <x v="0"/>
    <s v="budget-identifier"/>
    <x v="18"/>
    <x v="0"/>
    <x v="2"/>
    <x v="2"/>
    <n v="36"/>
    <n v="3.2500000000000001E-2"/>
    <x v="0"/>
    <x v="0"/>
    <n v="0"/>
    <x v="0"/>
    <n v="0"/>
    <n v="0"/>
    <s v="monthly"/>
    <n v="1"/>
    <n v="1"/>
    <n v="0"/>
    <x v="0"/>
    <n v="0"/>
    <m/>
    <m/>
    <n v="0"/>
    <n v="0"/>
  </r>
  <r>
    <s v="US-7-conditions"/>
    <x v="26"/>
    <s v="US-7"/>
    <x v="0"/>
    <s v="conditions"/>
    <x v="19"/>
    <x v="0"/>
    <x v="3"/>
    <x v="3"/>
    <n v="39"/>
    <n v="4.3299999999999998E-2"/>
    <x v="0"/>
    <x v="2"/>
    <n v="0"/>
    <x v="0"/>
    <n v="0"/>
    <n v="0"/>
    <s v="monthly"/>
    <n v="1"/>
    <n v="1"/>
    <n v="0"/>
    <x v="0"/>
    <n v="0"/>
    <m/>
    <s v="document"/>
    <n v="50"/>
    <n v="0"/>
  </r>
  <r>
    <s v="US-7-impact-appraisals"/>
    <x v="26"/>
    <s v="US-7"/>
    <x v="0"/>
    <s v="impact-appraisals"/>
    <x v="20"/>
    <x v="0"/>
    <x v="3"/>
    <x v="3"/>
    <n v="38"/>
    <n v="4.3299999999999998E-2"/>
    <x v="0"/>
    <x v="2"/>
    <n v="0"/>
    <x v="0"/>
    <n v="0"/>
    <n v="0"/>
    <s v="monthly"/>
    <n v="1"/>
    <n v="1"/>
    <n v="0"/>
    <x v="0"/>
    <n v="0"/>
    <m/>
    <s v="document"/>
    <n v="50"/>
    <n v="0"/>
  </r>
  <r>
    <s v="US-7-results"/>
    <x v="26"/>
    <s v="US-7"/>
    <x v="0"/>
    <s v="results"/>
    <x v="21"/>
    <x v="0"/>
    <x v="3"/>
    <x v="3"/>
    <n v="37"/>
    <n v="4.3299999999999998E-2"/>
    <x v="0"/>
    <x v="0"/>
    <n v="0"/>
    <x v="0"/>
    <n v="0"/>
    <n v="0"/>
    <s v="monthly"/>
    <n v="1"/>
    <n v="1"/>
    <n v="0"/>
    <x v="0"/>
    <n v="0"/>
    <m/>
    <m/>
    <n v="0"/>
    <n v="0"/>
  </r>
  <r>
    <s v="US-7-budget"/>
    <x v="26"/>
    <s v="US-7"/>
    <x v="0"/>
    <s v="budget"/>
    <x v="22"/>
    <x v="0"/>
    <x v="4"/>
    <x v="4"/>
    <n v="30"/>
    <n v="2.1700000000000001E-2"/>
    <x v="0"/>
    <x v="2"/>
    <n v="0"/>
    <x v="0"/>
    <n v="0"/>
    <n v="0"/>
    <s v="monthly"/>
    <n v="1"/>
    <n v="1"/>
    <n v="0"/>
    <x v="2"/>
    <n v="0"/>
    <m/>
    <s v="document"/>
    <n v="50"/>
    <n v="0"/>
  </r>
  <r>
    <s v="US-7-contracts"/>
    <x v="26"/>
    <s v="US-7"/>
    <x v="3"/>
    <s v="contracts"/>
    <x v="23"/>
    <x v="0"/>
    <x v="4"/>
    <x v="4"/>
    <n v="31"/>
    <n v="2.1700000000000001E-2"/>
    <x v="0"/>
    <x v="2"/>
    <n v="50"/>
    <x v="2"/>
    <n v="0"/>
    <n v="0"/>
    <s v="monthly"/>
    <n v="1"/>
    <n v="1"/>
    <n v="0"/>
    <x v="1"/>
    <n v="1"/>
    <m/>
    <s v="document"/>
    <n v="50"/>
    <n v="50"/>
  </r>
  <r>
    <s v="US-7-evaluations"/>
    <x v="26"/>
    <s v="US-7"/>
    <x v="0"/>
    <s v="evaluations"/>
    <x v="24"/>
    <x v="0"/>
    <x v="4"/>
    <x v="4"/>
    <n v="28"/>
    <n v="2.1700000000000001E-2"/>
    <x v="0"/>
    <x v="2"/>
    <n v="0"/>
    <x v="0"/>
    <n v="0"/>
    <n v="0"/>
    <s v="monthly"/>
    <n v="1"/>
    <n v="1"/>
    <n v="0"/>
    <x v="0"/>
    <n v="0"/>
    <m/>
    <s v="document"/>
    <n v="50"/>
    <n v="0"/>
  </r>
  <r>
    <s v="US-7-mou"/>
    <x v="26"/>
    <s v="US-7"/>
    <x v="0"/>
    <s v="mou"/>
    <x v="25"/>
    <x v="0"/>
    <x v="4"/>
    <x v="4"/>
    <n v="27"/>
    <n v="2.1700000000000001E-2"/>
    <x v="0"/>
    <x v="2"/>
    <n v="0"/>
    <x v="0"/>
    <n v="0"/>
    <n v="0"/>
    <s v="monthly"/>
    <n v="1"/>
    <n v="1"/>
    <n v="0"/>
    <x v="0"/>
    <n v="0"/>
    <m/>
    <s v="document"/>
    <n v="50"/>
    <n v="0"/>
  </r>
  <r>
    <s v="US-7-objectives"/>
    <x v="26"/>
    <s v="US-7"/>
    <x v="0"/>
    <s v="objectives"/>
    <x v="26"/>
    <x v="0"/>
    <x v="4"/>
    <x v="4"/>
    <n v="29"/>
    <n v="2.1700000000000001E-2"/>
    <x v="0"/>
    <x v="2"/>
    <n v="0"/>
    <x v="0"/>
    <n v="0"/>
    <n v="0"/>
    <s v="monthly"/>
    <n v="1"/>
    <n v="1"/>
    <n v="0"/>
    <x v="2"/>
    <n v="0"/>
    <m/>
    <s v="document"/>
    <n v="50"/>
    <n v="0"/>
  </r>
  <r>
    <s v="US-7-tenders"/>
    <x v="26"/>
    <s v="US-7"/>
    <x v="3"/>
    <s v="tenders"/>
    <x v="27"/>
    <x v="0"/>
    <x v="4"/>
    <x v="4"/>
    <n v="32"/>
    <n v="2.1700000000000001E-2"/>
    <x v="0"/>
    <x v="2"/>
    <n v="50"/>
    <x v="2"/>
    <n v="0"/>
    <n v="0"/>
    <s v="monthly"/>
    <n v="1"/>
    <n v="1"/>
    <n v="0"/>
    <x v="1"/>
    <n v="1"/>
    <m/>
    <s v="document"/>
    <n v="50"/>
    <n v="50"/>
  </r>
  <r>
    <s v="US-7-audit"/>
    <x v="26"/>
    <s v="US-7"/>
    <x v="4"/>
    <s v="audit"/>
    <x v="28"/>
    <x v="1"/>
    <x v="2"/>
    <x v="5"/>
    <n v="11"/>
    <n v="4.1700000000000001E-2"/>
    <x v="0"/>
    <x v="2"/>
    <n v="50"/>
    <x v="2"/>
    <n v="0"/>
    <n v="0"/>
    <s v="monthly"/>
    <n v="1"/>
    <n v="1"/>
    <n v="0"/>
    <x v="1"/>
    <n v="1"/>
    <m/>
    <s v="document"/>
    <n v="50"/>
    <n v="50"/>
  </r>
  <r>
    <s v="US-7-total-budget"/>
    <x v="26"/>
    <s v="US-7"/>
    <x v="9"/>
    <s v="total-budget"/>
    <x v="29"/>
    <x v="1"/>
    <x v="2"/>
    <x v="5"/>
    <n v="9"/>
    <n v="4.1700000000000001E-2"/>
    <x v="0"/>
    <x v="3"/>
    <n v="16.664999999999999"/>
    <x v="4"/>
    <n v="0"/>
    <n v="0"/>
    <s v="monthly"/>
    <n v="1"/>
    <n v="1"/>
    <n v="0"/>
    <x v="3"/>
    <n v="0"/>
    <n v="3"/>
    <s v="pdf"/>
    <n v="16.664999999999999"/>
    <n v="16.664999999999999"/>
  </r>
  <r>
    <s v="US-7-disaggregated-budgets"/>
    <x v="26"/>
    <s v="US-7"/>
    <x v="0"/>
    <s v="disaggregated-budgets"/>
    <x v="30"/>
    <x v="1"/>
    <x v="2"/>
    <x v="5"/>
    <n v="10"/>
    <n v="4.1700000000000001E-2"/>
    <x v="0"/>
    <x v="3"/>
    <n v="0"/>
    <x v="0"/>
    <n v="0"/>
    <n v="0"/>
    <s v="monthly"/>
    <n v="1"/>
    <n v="1"/>
    <n v="0"/>
    <x v="3"/>
    <n v="0"/>
    <n v="0"/>
    <s v="pdf"/>
    <n v="16.664999999999999"/>
    <n v="0"/>
  </r>
  <r>
    <s v="US-7-strategy"/>
    <x v="26"/>
    <s v="US-7"/>
    <x v="6"/>
    <s v="strategy"/>
    <x v="31"/>
    <x v="1"/>
    <x v="5"/>
    <x v="6"/>
    <n v="4"/>
    <n v="2.5000000000000001E-2"/>
    <x v="0"/>
    <x v="2"/>
    <n v="50"/>
    <x v="2"/>
    <n v="0"/>
    <n v="0"/>
    <s v="monthly"/>
    <n v="1"/>
    <n v="1"/>
    <n v="0"/>
    <x v="1"/>
    <n v="1"/>
    <m/>
    <s v="document"/>
    <n v="50"/>
    <n v="50"/>
  </r>
  <r>
    <s v="US-7-annual-report"/>
    <x v="26"/>
    <s v="US-7"/>
    <x v="6"/>
    <s v="annual-report"/>
    <x v="32"/>
    <x v="1"/>
    <x v="5"/>
    <x v="6"/>
    <n v="5"/>
    <n v="2.5000000000000001E-2"/>
    <x v="0"/>
    <x v="2"/>
    <n v="50"/>
    <x v="2"/>
    <n v="0"/>
    <n v="0"/>
    <s v="monthly"/>
    <n v="1"/>
    <n v="1"/>
    <n v="0"/>
    <x v="1"/>
    <n v="1"/>
    <m/>
    <s v="document"/>
    <n v="50"/>
    <n v="50"/>
  </r>
  <r>
    <s v="US-7-allocation"/>
    <x v="26"/>
    <s v="US-7"/>
    <x v="6"/>
    <s v="allocation"/>
    <x v="33"/>
    <x v="1"/>
    <x v="5"/>
    <x v="6"/>
    <n v="6"/>
    <n v="2.5000000000000001E-2"/>
    <x v="0"/>
    <x v="2"/>
    <n v="50"/>
    <x v="2"/>
    <n v="0"/>
    <n v="0"/>
    <s v="monthly"/>
    <n v="1"/>
    <n v="1"/>
    <n v="0"/>
    <x v="1"/>
    <n v="1"/>
    <m/>
    <s v="document"/>
    <n v="50"/>
    <n v="50"/>
  </r>
  <r>
    <s v="US-7-procurement-policy"/>
    <x v="26"/>
    <s v="US-7"/>
    <x v="6"/>
    <s v="procurement-policy"/>
    <x v="34"/>
    <x v="1"/>
    <x v="5"/>
    <x v="6"/>
    <n v="7"/>
    <n v="2.5000000000000001E-2"/>
    <x v="0"/>
    <x v="2"/>
    <n v="50"/>
    <x v="2"/>
    <n v="0"/>
    <n v="0"/>
    <s v="monthly"/>
    <n v="1"/>
    <n v="1"/>
    <n v="0"/>
    <x v="1"/>
    <n v="1"/>
    <m/>
    <s v="document"/>
    <n v="50"/>
    <n v="50"/>
  </r>
  <r>
    <s v="US-7-country-strategy"/>
    <x v="26"/>
    <s v="US-7"/>
    <x v="0"/>
    <s v="country-strategy"/>
    <x v="35"/>
    <x v="1"/>
    <x v="5"/>
    <x v="6"/>
    <n v="8"/>
    <n v="2.5000000000000001E-2"/>
    <x v="0"/>
    <x v="2"/>
    <n v="0"/>
    <x v="0"/>
    <n v="0"/>
    <n v="0"/>
    <s v="monthly"/>
    <n v="1"/>
    <n v="1"/>
    <n v="0"/>
    <x v="2"/>
    <n v="0"/>
    <m/>
    <s v="document"/>
    <n v="50"/>
    <n v="0"/>
  </r>
  <r>
    <s v="US-7-foia"/>
    <x v="26"/>
    <s v="US-7"/>
    <x v="15"/>
    <s v="foia"/>
    <x v="36"/>
    <x v="2"/>
    <x v="6"/>
    <x v="7"/>
    <n v="1"/>
    <n v="3.3300000000000003E-2"/>
    <x v="0"/>
    <x v="5"/>
    <n v="66.66"/>
    <x v="6"/>
    <n v="0"/>
    <n v="0"/>
    <s v="monthly"/>
    <n v="1"/>
    <n v="1"/>
    <n v="0"/>
    <x v="3"/>
    <n v="0"/>
    <n v="66.66"/>
    <m/>
    <n v="0"/>
    <n v="66.66"/>
  </r>
  <r>
    <s v="US-7-accessibility"/>
    <x v="26"/>
    <s v="US-7"/>
    <x v="0"/>
    <s v="accessibility"/>
    <x v="37"/>
    <x v="2"/>
    <x v="6"/>
    <x v="7"/>
    <n v="3"/>
    <n v="3.3300000000000003E-2"/>
    <x v="0"/>
    <x v="5"/>
    <n v="0"/>
    <x v="0"/>
    <n v="0"/>
    <n v="0"/>
    <s v="monthly"/>
    <n v="1"/>
    <n v="1"/>
    <n v="0"/>
    <x v="3"/>
    <n v="0"/>
    <n v="0"/>
    <m/>
    <n v="0"/>
    <n v="0"/>
  </r>
  <r>
    <s v="US-7-implementation-schedules"/>
    <x v="26"/>
    <s v="US-7"/>
    <x v="133"/>
    <s v="implementation-schedules"/>
    <x v="38"/>
    <x v="2"/>
    <x v="6"/>
    <x v="7"/>
    <n v="2"/>
    <n v="3.3300000000000003E-2"/>
    <x v="0"/>
    <x v="5"/>
    <n v="31"/>
    <x v="95"/>
    <n v="0"/>
    <n v="0"/>
    <s v="monthly"/>
    <n v="1"/>
    <n v="1"/>
    <n v="0"/>
    <x v="3"/>
    <n v="0"/>
    <n v="31"/>
    <m/>
    <n v="0"/>
    <n v="31"/>
  </r>
  <r>
    <s v="DE-2-audit"/>
    <x v="27"/>
    <s v="DE-2"/>
    <x v="42"/>
    <s v="audit"/>
    <x v="28"/>
    <x v="1"/>
    <x v="2"/>
    <x v="5"/>
    <n v="11"/>
    <n v="4.1700000000000001E-2"/>
    <x v="1"/>
    <x v="6"/>
    <n v="50"/>
    <x v="5"/>
    <n v="100"/>
    <n v="50"/>
    <s v="quarterly"/>
    <n v="0.9"/>
    <n v="1"/>
    <n v="50"/>
    <x v="3"/>
    <m/>
    <m/>
    <m/>
    <m/>
    <n v="0"/>
  </r>
  <r>
    <s v="DE-2-strategy"/>
    <x v="27"/>
    <s v="DE-2"/>
    <x v="43"/>
    <s v="strategy"/>
    <x v="31"/>
    <x v="1"/>
    <x v="5"/>
    <x v="6"/>
    <n v="4"/>
    <n v="2.5000000000000001E-2"/>
    <x v="1"/>
    <x v="6"/>
    <n v="50"/>
    <x v="5"/>
    <n v="100"/>
    <n v="50"/>
    <s v="quarterly"/>
    <n v="0.9"/>
    <n v="1"/>
    <n v="50"/>
    <x v="3"/>
    <m/>
    <m/>
    <m/>
    <m/>
    <n v="0"/>
  </r>
  <r>
    <s v="DE-2-dates-actual"/>
    <x v="27"/>
    <s v="DE-2"/>
    <x v="134"/>
    <s v="dates-actual"/>
    <x v="0"/>
    <x v="0"/>
    <x v="0"/>
    <x v="0"/>
    <n v="17"/>
    <n v="1.6299999999999999E-2"/>
    <x v="1"/>
    <x v="6"/>
    <n v="50"/>
    <x v="96"/>
    <n v="57.900677200899999"/>
    <n v="28.9503386005"/>
    <s v="quarterly"/>
    <n v="0.9"/>
    <n v="0.9"/>
    <n v="26.0553047404"/>
    <x v="3"/>
    <m/>
    <m/>
    <m/>
    <m/>
    <n v="0"/>
  </r>
  <r>
    <s v="DE-2-contact-details"/>
    <x v="27"/>
    <s v="DE-2"/>
    <x v="26"/>
    <s v="contact-details"/>
    <x v="1"/>
    <x v="0"/>
    <x v="0"/>
    <x v="0"/>
    <n v="19"/>
    <n v="1.6299999999999999E-2"/>
    <x v="1"/>
    <x v="6"/>
    <n v="50"/>
    <x v="12"/>
    <n v="100"/>
    <n v="50"/>
    <s v="quarterly"/>
    <n v="0.9"/>
    <n v="0.9"/>
    <n v="45"/>
    <x v="3"/>
    <m/>
    <m/>
    <m/>
    <m/>
    <n v="0"/>
  </r>
  <r>
    <s v="DE-2-procurement-policy"/>
    <x v="27"/>
    <s v="DE-2"/>
    <x v="43"/>
    <s v="procurement-policy"/>
    <x v="34"/>
    <x v="1"/>
    <x v="5"/>
    <x v="6"/>
    <n v="7"/>
    <n v="2.5000000000000001E-2"/>
    <x v="1"/>
    <x v="6"/>
    <n v="50"/>
    <x v="5"/>
    <n v="100"/>
    <n v="50"/>
    <s v="quarterly"/>
    <n v="0.9"/>
    <n v="1"/>
    <n v="50"/>
    <x v="3"/>
    <m/>
    <m/>
    <m/>
    <m/>
    <n v="0"/>
  </r>
  <r>
    <s v="DE-2-description"/>
    <x v="27"/>
    <s v="DE-2"/>
    <x v="135"/>
    <s v="description"/>
    <x v="3"/>
    <x v="0"/>
    <x v="0"/>
    <x v="0"/>
    <n v="15"/>
    <n v="1.6299999999999999E-2"/>
    <x v="1"/>
    <x v="6"/>
    <n v="50"/>
    <x v="97"/>
    <n v="85.665914221199998"/>
    <n v="42.832957110599999"/>
    <s v="quarterly"/>
    <n v="0.9"/>
    <n v="0.9"/>
    <n v="38.549661399500003"/>
    <x v="3"/>
    <m/>
    <m/>
    <m/>
    <m/>
    <n v="0"/>
  </r>
  <r>
    <s v="DE-2-implementer"/>
    <x v="27"/>
    <s v="DE-2"/>
    <x v="26"/>
    <s v="implementer"/>
    <x v="4"/>
    <x v="0"/>
    <x v="0"/>
    <x v="0"/>
    <n v="12"/>
    <n v="1.6299999999999999E-2"/>
    <x v="1"/>
    <x v="6"/>
    <n v="50"/>
    <x v="12"/>
    <n v="100"/>
    <n v="50"/>
    <s v="quarterly"/>
    <n v="0.9"/>
    <n v="0.9"/>
    <n v="45"/>
    <x v="3"/>
    <m/>
    <m/>
    <m/>
    <m/>
    <n v="0"/>
  </r>
  <r>
    <s v="DE-2-dates-planned"/>
    <x v="27"/>
    <s v="DE-2"/>
    <x v="136"/>
    <s v="dates-planned"/>
    <x v="5"/>
    <x v="0"/>
    <x v="0"/>
    <x v="0"/>
    <n v="16"/>
    <n v="1.6299999999999999E-2"/>
    <x v="1"/>
    <x v="6"/>
    <n v="50"/>
    <x v="98"/>
    <n v="90.519187358899998"/>
    <n v="45.2595936795"/>
    <s v="quarterly"/>
    <n v="0.9"/>
    <n v="0.9"/>
    <n v="40.733634311499998"/>
    <x v="3"/>
    <m/>
    <m/>
    <m/>
    <m/>
    <n v="0"/>
  </r>
  <r>
    <s v="DE-2-title"/>
    <x v="27"/>
    <s v="DE-2"/>
    <x v="26"/>
    <s v="title"/>
    <x v="6"/>
    <x v="0"/>
    <x v="0"/>
    <x v="0"/>
    <n v="14"/>
    <n v="1.6299999999999999E-2"/>
    <x v="1"/>
    <x v="6"/>
    <n v="50"/>
    <x v="12"/>
    <n v="100"/>
    <n v="50"/>
    <s v="quarterly"/>
    <n v="0.9"/>
    <n v="0.9"/>
    <n v="45"/>
    <x v="3"/>
    <m/>
    <m/>
    <m/>
    <m/>
    <n v="0"/>
  </r>
  <r>
    <s v="DE-2-unique-id"/>
    <x v="27"/>
    <s v="DE-2"/>
    <x v="26"/>
    <s v="unique-id"/>
    <x v="7"/>
    <x v="0"/>
    <x v="0"/>
    <x v="0"/>
    <n v="13"/>
    <n v="1.6299999999999999E-2"/>
    <x v="1"/>
    <x v="6"/>
    <n v="50"/>
    <x v="12"/>
    <n v="100"/>
    <n v="50"/>
    <s v="quarterly"/>
    <n v="0.9"/>
    <n v="0.9"/>
    <n v="45"/>
    <x v="3"/>
    <m/>
    <m/>
    <m/>
    <m/>
    <n v="0"/>
  </r>
  <r>
    <s v="DE-2-aid-type"/>
    <x v="27"/>
    <s v="DE-2"/>
    <x v="137"/>
    <s v="aid-type"/>
    <x v="8"/>
    <x v="0"/>
    <x v="1"/>
    <x v="1"/>
    <n v="22"/>
    <n v="1.8599999999999998E-2"/>
    <x v="1"/>
    <x v="6"/>
    <n v="50"/>
    <x v="98"/>
    <n v="90.519187358899998"/>
    <n v="45.2595936795"/>
    <s v="quarterly"/>
    <n v="0.9"/>
    <n v="0.9"/>
    <n v="40.733634311499998"/>
    <x v="3"/>
    <m/>
    <m/>
    <m/>
    <m/>
    <n v="0"/>
  </r>
  <r>
    <s v="DE-2-collaboration-type"/>
    <x v="27"/>
    <s v="DE-2"/>
    <x v="29"/>
    <s v="collaboration-type"/>
    <x v="9"/>
    <x v="0"/>
    <x v="1"/>
    <x v="1"/>
    <n v="20"/>
    <n v="1.8599999999999998E-2"/>
    <x v="1"/>
    <x v="6"/>
    <n v="50"/>
    <x v="12"/>
    <n v="100"/>
    <n v="50"/>
    <s v="quarterly"/>
    <n v="0.9"/>
    <n v="0.9"/>
    <n v="45"/>
    <x v="3"/>
    <m/>
    <m/>
    <m/>
    <m/>
    <n v="0"/>
  </r>
  <r>
    <s v="DE-2-finance-type"/>
    <x v="27"/>
    <s v="DE-2"/>
    <x v="137"/>
    <s v="finance-type"/>
    <x v="10"/>
    <x v="0"/>
    <x v="1"/>
    <x v="1"/>
    <n v="23"/>
    <n v="1.8599999999999998E-2"/>
    <x v="1"/>
    <x v="6"/>
    <n v="50"/>
    <x v="98"/>
    <n v="90.519187358899998"/>
    <n v="45.2595936795"/>
    <s v="quarterly"/>
    <n v="0.9"/>
    <n v="0.9"/>
    <n v="40.733634311499998"/>
    <x v="3"/>
    <m/>
    <m/>
    <m/>
    <m/>
    <n v="0"/>
  </r>
  <r>
    <s v="DE-2-flow-type"/>
    <x v="27"/>
    <s v="DE-2"/>
    <x v="29"/>
    <s v="flow-type"/>
    <x v="11"/>
    <x v="0"/>
    <x v="1"/>
    <x v="1"/>
    <n v="21"/>
    <n v="1.8599999999999998E-2"/>
    <x v="1"/>
    <x v="6"/>
    <n v="50"/>
    <x v="12"/>
    <n v="100"/>
    <n v="50"/>
    <s v="quarterly"/>
    <n v="0.9"/>
    <n v="0.9"/>
    <n v="45"/>
    <x v="3"/>
    <m/>
    <m/>
    <m/>
    <m/>
    <n v="0"/>
  </r>
  <r>
    <s v="DE-2-sector"/>
    <x v="27"/>
    <s v="DE-2"/>
    <x v="29"/>
    <s v="sector"/>
    <x v="12"/>
    <x v="0"/>
    <x v="1"/>
    <x v="1"/>
    <n v="24"/>
    <n v="1.8599999999999998E-2"/>
    <x v="1"/>
    <x v="6"/>
    <n v="50"/>
    <x v="12"/>
    <n v="100"/>
    <n v="50"/>
    <s v="quarterly"/>
    <n v="0.9"/>
    <n v="0.9"/>
    <n v="45"/>
    <x v="3"/>
    <m/>
    <m/>
    <m/>
    <m/>
    <n v="0"/>
  </r>
  <r>
    <s v="DE-2-expenditure-actual"/>
    <x v="27"/>
    <s v="DE-2"/>
    <x v="60"/>
    <s v="expenditure-actual"/>
    <x v="15"/>
    <x v="0"/>
    <x v="2"/>
    <x v="2"/>
    <n v="35"/>
    <n v="3.2500000000000001E-2"/>
    <x v="1"/>
    <x v="6"/>
    <n v="50"/>
    <x v="12"/>
    <n v="100"/>
    <n v="50"/>
    <s v="quarterly"/>
    <n v="0.9"/>
    <n v="0.9"/>
    <n v="45"/>
    <x v="3"/>
    <m/>
    <m/>
    <m/>
    <m/>
    <n v="0"/>
  </r>
  <r>
    <s v="DE-2-expenditure-planned"/>
    <x v="27"/>
    <s v="DE-2"/>
    <x v="60"/>
    <s v="expenditure-planned"/>
    <x v="17"/>
    <x v="0"/>
    <x v="2"/>
    <x v="2"/>
    <n v="34"/>
    <n v="3.2500000000000001E-2"/>
    <x v="1"/>
    <x v="6"/>
    <n v="50"/>
    <x v="12"/>
    <n v="100"/>
    <n v="50"/>
    <s v="quarterly"/>
    <n v="0.9"/>
    <n v="0.9"/>
    <n v="45"/>
    <x v="3"/>
    <m/>
    <m/>
    <m/>
    <m/>
    <n v="0"/>
  </r>
  <r>
    <s v="DE-2-conditions"/>
    <x v="27"/>
    <s v="DE-2"/>
    <x v="138"/>
    <s v="conditions"/>
    <x v="19"/>
    <x v="0"/>
    <x v="3"/>
    <x v="3"/>
    <n v="39"/>
    <n v="4.3299999999999998E-2"/>
    <x v="1"/>
    <x v="6"/>
    <n v="50"/>
    <x v="99"/>
    <n v="0.225733634312"/>
    <n v="0.112866817156"/>
    <s v="quarterly"/>
    <n v="0.9"/>
    <n v="0.9"/>
    <n v="0.10158013544"/>
    <x v="3"/>
    <m/>
    <m/>
    <m/>
    <m/>
    <n v="0"/>
  </r>
  <r>
    <s v="DE-2-annual-report"/>
    <x v="27"/>
    <s v="DE-2"/>
    <x v="43"/>
    <s v="annual-report"/>
    <x v="32"/>
    <x v="1"/>
    <x v="5"/>
    <x v="6"/>
    <n v="5"/>
    <n v="2.5000000000000001E-2"/>
    <x v="1"/>
    <x v="6"/>
    <n v="50"/>
    <x v="5"/>
    <n v="100"/>
    <n v="50"/>
    <s v="quarterly"/>
    <n v="0.9"/>
    <n v="1"/>
    <n v="50"/>
    <x v="3"/>
    <m/>
    <m/>
    <m/>
    <m/>
    <n v="0"/>
  </r>
  <r>
    <s v="DE-2-country-strategy"/>
    <x v="27"/>
    <s v="DE-2"/>
    <x v="139"/>
    <s v="country-strategy"/>
    <x v="35"/>
    <x v="1"/>
    <x v="5"/>
    <x v="6"/>
    <n v="8"/>
    <n v="2.5000000000000001E-2"/>
    <x v="1"/>
    <x v="6"/>
    <n v="50"/>
    <x v="100"/>
    <n v="4.0322580645199997"/>
    <n v="2.0161290322599998"/>
    <s v="quarterly"/>
    <n v="0.9"/>
    <n v="1"/>
    <n v="2.0161290322599998"/>
    <x v="3"/>
    <m/>
    <m/>
    <m/>
    <m/>
    <n v="0"/>
  </r>
  <r>
    <s v="DE-2-total-budget"/>
    <x v="27"/>
    <s v="DE-2"/>
    <x v="9"/>
    <s v="total-budget"/>
    <x v="29"/>
    <x v="1"/>
    <x v="2"/>
    <x v="5"/>
    <n v="9"/>
    <n v="4.1700000000000001E-2"/>
    <x v="0"/>
    <x v="3"/>
    <n v="16.664999999999999"/>
    <x v="4"/>
    <n v="0"/>
    <n v="0"/>
    <s v="quarterly"/>
    <n v="0.9"/>
    <n v="1"/>
    <n v="0"/>
    <x v="3"/>
    <n v="0"/>
    <n v="3"/>
    <s v="pdf"/>
    <n v="16.664999999999999"/>
    <n v="16.664999999999999"/>
  </r>
  <r>
    <s v="DE-2-disaggregated-budgets"/>
    <x v="27"/>
    <s v="DE-2"/>
    <x v="4"/>
    <s v="disaggregated-budgets"/>
    <x v="30"/>
    <x v="1"/>
    <x v="2"/>
    <x v="5"/>
    <n v="10"/>
    <n v="4.1700000000000001E-2"/>
    <x v="0"/>
    <x v="4"/>
    <n v="50"/>
    <x v="2"/>
    <n v="0"/>
    <n v="0"/>
    <s v="quarterly"/>
    <n v="0.9"/>
    <n v="1"/>
    <n v="0"/>
    <x v="3"/>
    <n v="0"/>
    <n v="3"/>
    <s v="machine-readable"/>
    <n v="50"/>
    <n v="50"/>
  </r>
  <r>
    <s v="DE-2-allocation"/>
    <x v="27"/>
    <s v="DE-2"/>
    <x v="6"/>
    <s v="allocation"/>
    <x v="33"/>
    <x v="1"/>
    <x v="5"/>
    <x v="6"/>
    <n v="6"/>
    <n v="2.5000000000000001E-2"/>
    <x v="0"/>
    <x v="2"/>
    <n v="50"/>
    <x v="2"/>
    <n v="0"/>
    <n v="0"/>
    <s v="quarterly"/>
    <n v="0.9"/>
    <n v="1"/>
    <n v="0"/>
    <x v="1"/>
    <n v="1"/>
    <m/>
    <s v="document"/>
    <n v="50"/>
    <n v="50"/>
  </r>
  <r>
    <s v="DE-2-current-status"/>
    <x v="27"/>
    <s v="DE-2"/>
    <x v="11"/>
    <s v="current-status"/>
    <x v="2"/>
    <x v="0"/>
    <x v="0"/>
    <x v="0"/>
    <n v="18"/>
    <n v="1.6299999999999999E-2"/>
    <x v="0"/>
    <x v="4"/>
    <n v="50"/>
    <x v="2"/>
    <n v="0"/>
    <n v="0"/>
    <s v="quarterly"/>
    <n v="0.9"/>
    <n v="1"/>
    <n v="0"/>
    <x v="1"/>
    <n v="1"/>
    <m/>
    <s v="machine-readable"/>
    <n v="50"/>
    <n v="50"/>
  </r>
  <r>
    <s v="DE-2-location"/>
    <x v="27"/>
    <s v="DE-2"/>
    <x v="0"/>
    <s v="location"/>
    <x v="13"/>
    <x v="0"/>
    <x v="1"/>
    <x v="1"/>
    <n v="25"/>
    <n v="1.8599999999999998E-2"/>
    <x v="0"/>
    <x v="1"/>
    <n v="0"/>
    <x v="0"/>
    <n v="0"/>
    <n v="0"/>
    <s v="quarterly"/>
    <n v="0.9"/>
    <n v="1"/>
    <n v="0"/>
    <x v="2"/>
    <n v="0"/>
    <m/>
    <s v="website"/>
    <n v="33.33"/>
    <n v="0"/>
  </r>
  <r>
    <s v="DE-2-tied-aid-status"/>
    <x v="27"/>
    <s v="DE-2"/>
    <x v="13"/>
    <s v="tied-aid-status"/>
    <x v="14"/>
    <x v="0"/>
    <x v="1"/>
    <x v="1"/>
    <n v="26"/>
    <n v="1.8599999999999998E-2"/>
    <x v="0"/>
    <x v="3"/>
    <n v="16.664999999999999"/>
    <x v="4"/>
    <n v="0"/>
    <n v="0"/>
    <s v="quarterly"/>
    <n v="0.9"/>
    <n v="1"/>
    <n v="0"/>
    <x v="1"/>
    <n v="1"/>
    <m/>
    <s v="pdf"/>
    <n v="16.664999999999999"/>
    <n v="16.664999999999999"/>
  </r>
  <r>
    <s v="DE-2-cost-overall"/>
    <x v="27"/>
    <s v="DE-2"/>
    <x v="0"/>
    <s v="cost-overall"/>
    <x v="16"/>
    <x v="0"/>
    <x v="2"/>
    <x v="2"/>
    <n v="33"/>
    <n v="3.2500000000000001E-2"/>
    <x v="0"/>
    <x v="0"/>
    <n v="0"/>
    <x v="0"/>
    <n v="0"/>
    <n v="0"/>
    <s v="quarterly"/>
    <n v="0.9"/>
    <n v="1"/>
    <n v="0"/>
    <x v="0"/>
    <n v="0"/>
    <m/>
    <m/>
    <n v="0"/>
    <n v="0"/>
  </r>
  <r>
    <s v="DE-2-budget-identifier"/>
    <x v="27"/>
    <s v="DE-2"/>
    <x v="0"/>
    <s v="budget-identifier"/>
    <x v="18"/>
    <x v="0"/>
    <x v="2"/>
    <x v="2"/>
    <n v="36"/>
    <n v="3.2500000000000001E-2"/>
    <x v="0"/>
    <x v="0"/>
    <n v="0"/>
    <x v="0"/>
    <n v="0"/>
    <n v="0"/>
    <s v="quarterly"/>
    <n v="0.9"/>
    <n v="1"/>
    <n v="0"/>
    <x v="0"/>
    <n v="0"/>
    <m/>
    <m/>
    <n v="0"/>
    <n v="0"/>
  </r>
  <r>
    <s v="DE-2-impact-appraisals"/>
    <x v="27"/>
    <s v="DE-2"/>
    <x v="0"/>
    <s v="impact-appraisals"/>
    <x v="20"/>
    <x v="0"/>
    <x v="3"/>
    <x v="3"/>
    <n v="38"/>
    <n v="4.3299999999999998E-2"/>
    <x v="0"/>
    <x v="2"/>
    <n v="0"/>
    <x v="0"/>
    <n v="0"/>
    <n v="0"/>
    <s v="quarterly"/>
    <n v="0.9"/>
    <n v="1"/>
    <n v="0"/>
    <x v="0"/>
    <n v="0"/>
    <m/>
    <s v="document"/>
    <n v="50"/>
    <n v="0"/>
  </r>
  <r>
    <s v="DE-2-results"/>
    <x v="27"/>
    <s v="DE-2"/>
    <x v="0"/>
    <s v="results"/>
    <x v="21"/>
    <x v="0"/>
    <x v="3"/>
    <x v="3"/>
    <n v="37"/>
    <n v="4.3299999999999998E-2"/>
    <x v="0"/>
    <x v="3"/>
    <n v="0"/>
    <x v="0"/>
    <n v="0"/>
    <n v="0"/>
    <s v="quarterly"/>
    <n v="0.9"/>
    <n v="1"/>
    <n v="0"/>
    <x v="2"/>
    <n v="0"/>
    <m/>
    <s v="pdf"/>
    <n v="16.664999999999999"/>
    <n v="0"/>
  </r>
  <r>
    <s v="DE-2-budget"/>
    <x v="27"/>
    <s v="DE-2"/>
    <x v="0"/>
    <s v="budget"/>
    <x v="22"/>
    <x v="0"/>
    <x v="4"/>
    <x v="4"/>
    <n v="30"/>
    <n v="2.1700000000000001E-2"/>
    <x v="0"/>
    <x v="2"/>
    <n v="0"/>
    <x v="0"/>
    <n v="0"/>
    <n v="0"/>
    <s v="quarterly"/>
    <n v="0.9"/>
    <n v="1"/>
    <n v="0"/>
    <x v="0"/>
    <n v="0"/>
    <m/>
    <s v="document"/>
    <n v="50"/>
    <n v="0"/>
  </r>
  <r>
    <s v="DE-2-contracts"/>
    <x v="27"/>
    <s v="DE-2"/>
    <x v="0"/>
    <s v="contracts"/>
    <x v="23"/>
    <x v="0"/>
    <x v="4"/>
    <x v="4"/>
    <n v="31"/>
    <n v="2.1700000000000001E-2"/>
    <x v="0"/>
    <x v="2"/>
    <n v="0"/>
    <x v="0"/>
    <n v="0"/>
    <n v="0"/>
    <s v="quarterly"/>
    <n v="0.9"/>
    <n v="1"/>
    <n v="0"/>
    <x v="0"/>
    <n v="0"/>
    <m/>
    <s v="document"/>
    <n v="50"/>
    <n v="0"/>
  </r>
  <r>
    <s v="DE-2-evaluations"/>
    <x v="27"/>
    <s v="DE-2"/>
    <x v="3"/>
    <s v="evaluations"/>
    <x v="24"/>
    <x v="0"/>
    <x v="4"/>
    <x v="4"/>
    <n v="28"/>
    <n v="2.1700000000000001E-2"/>
    <x v="0"/>
    <x v="2"/>
    <n v="50"/>
    <x v="2"/>
    <n v="0"/>
    <n v="0"/>
    <s v="quarterly"/>
    <n v="0.9"/>
    <n v="1"/>
    <n v="0"/>
    <x v="1"/>
    <n v="1"/>
    <m/>
    <s v="document"/>
    <n v="50"/>
    <n v="50"/>
  </r>
  <r>
    <s v="DE-2-mou"/>
    <x v="27"/>
    <s v="DE-2"/>
    <x v="0"/>
    <s v="mou"/>
    <x v="25"/>
    <x v="0"/>
    <x v="4"/>
    <x v="4"/>
    <n v="27"/>
    <n v="2.1700000000000001E-2"/>
    <x v="0"/>
    <x v="2"/>
    <n v="0"/>
    <x v="0"/>
    <n v="0"/>
    <n v="0"/>
    <s v="quarterly"/>
    <n v="0.9"/>
    <n v="1"/>
    <n v="0"/>
    <x v="0"/>
    <n v="0"/>
    <m/>
    <s v="document"/>
    <n v="50"/>
    <n v="0"/>
  </r>
  <r>
    <s v="DE-2-objectives"/>
    <x v="27"/>
    <s v="DE-2"/>
    <x v="0"/>
    <s v="objectives"/>
    <x v="26"/>
    <x v="0"/>
    <x v="4"/>
    <x v="4"/>
    <n v="29"/>
    <n v="2.1700000000000001E-2"/>
    <x v="0"/>
    <x v="2"/>
    <n v="0"/>
    <x v="0"/>
    <n v="0"/>
    <n v="0"/>
    <s v="quarterly"/>
    <n v="0.9"/>
    <n v="1"/>
    <n v="0"/>
    <x v="2"/>
    <n v="0"/>
    <m/>
    <s v="document"/>
    <n v="50"/>
    <n v="0"/>
  </r>
  <r>
    <s v="DE-2-tenders"/>
    <x v="27"/>
    <s v="DE-2"/>
    <x v="3"/>
    <s v="tenders"/>
    <x v="27"/>
    <x v="0"/>
    <x v="4"/>
    <x v="4"/>
    <n v="32"/>
    <n v="2.1700000000000001E-2"/>
    <x v="0"/>
    <x v="2"/>
    <n v="50"/>
    <x v="2"/>
    <n v="0"/>
    <n v="0"/>
    <s v="quarterly"/>
    <n v="0.9"/>
    <n v="1"/>
    <n v="0"/>
    <x v="1"/>
    <n v="1"/>
    <m/>
    <s v="document"/>
    <n v="50"/>
    <n v="50"/>
  </r>
  <r>
    <s v="DE-2-foia"/>
    <x v="27"/>
    <s v="DE-2"/>
    <x v="7"/>
    <s v="foia"/>
    <x v="36"/>
    <x v="2"/>
    <x v="6"/>
    <x v="7"/>
    <n v="1"/>
    <n v="3.3300000000000003E-2"/>
    <x v="0"/>
    <x v="5"/>
    <n v="33.33"/>
    <x v="1"/>
    <n v="0"/>
    <n v="0"/>
    <s v="quarterly"/>
    <n v="0.9"/>
    <n v="1"/>
    <n v="0"/>
    <x v="3"/>
    <n v="0"/>
    <n v="33.33"/>
    <m/>
    <n v="0"/>
    <n v="33.33"/>
  </r>
  <r>
    <s v="DE-2-accessibility"/>
    <x v="27"/>
    <s v="DE-2"/>
    <x v="7"/>
    <s v="accessibility"/>
    <x v="37"/>
    <x v="2"/>
    <x v="6"/>
    <x v="7"/>
    <n v="3"/>
    <n v="3.3300000000000003E-2"/>
    <x v="0"/>
    <x v="5"/>
    <n v="33.33"/>
    <x v="1"/>
    <n v="0"/>
    <n v="0"/>
    <s v="quarterly"/>
    <n v="0.9"/>
    <n v="1"/>
    <n v="0"/>
    <x v="3"/>
    <n v="0"/>
    <n v="33.33"/>
    <m/>
    <n v="0"/>
    <n v="33.33"/>
  </r>
  <r>
    <s v="DE-2-implementation-schedules"/>
    <x v="27"/>
    <s v="DE-2"/>
    <x v="140"/>
    <s v="implementation-schedules"/>
    <x v="38"/>
    <x v="2"/>
    <x v="6"/>
    <x v="7"/>
    <n v="2"/>
    <n v="3.3300000000000003E-2"/>
    <x v="0"/>
    <x v="5"/>
    <n v="28"/>
    <x v="101"/>
    <n v="0"/>
    <n v="0"/>
    <s v="quarterly"/>
    <n v="0.9"/>
    <n v="1"/>
    <n v="0"/>
    <x v="3"/>
    <n v="0"/>
    <n v="28"/>
    <m/>
    <n v="0"/>
    <n v="28"/>
  </r>
  <r>
    <s v="US-1-dates-actual"/>
    <x v="28"/>
    <s v="US-1"/>
    <x v="141"/>
    <s v="dates-actual"/>
    <x v="0"/>
    <x v="0"/>
    <x v="0"/>
    <x v="0"/>
    <n v="17"/>
    <n v="1.6299999999999999E-2"/>
    <x v="1"/>
    <x v="6"/>
    <n v="50"/>
    <x v="102"/>
    <n v="99.842868890999995"/>
    <n v="49.921434445499997"/>
    <s v="monthly"/>
    <n v="1"/>
    <n v="1"/>
    <n v="49.921434445499997"/>
    <x v="3"/>
    <m/>
    <m/>
    <m/>
    <m/>
    <n v="0"/>
  </r>
  <r>
    <s v="US-1-contact-details"/>
    <x v="28"/>
    <s v="US-1"/>
    <x v="46"/>
    <s v="contact-details"/>
    <x v="1"/>
    <x v="0"/>
    <x v="0"/>
    <x v="0"/>
    <n v="19"/>
    <n v="1.6299999999999999E-2"/>
    <x v="1"/>
    <x v="6"/>
    <n v="50"/>
    <x v="5"/>
    <n v="100"/>
    <n v="50"/>
    <s v="monthly"/>
    <n v="1"/>
    <n v="1"/>
    <n v="50"/>
    <x v="3"/>
    <m/>
    <m/>
    <m/>
    <m/>
    <n v="0"/>
  </r>
  <r>
    <s v="US-1-description"/>
    <x v="28"/>
    <s v="US-1"/>
    <x v="142"/>
    <s v="description"/>
    <x v="3"/>
    <x v="0"/>
    <x v="0"/>
    <x v="0"/>
    <n v="15"/>
    <n v="1.6299999999999999E-2"/>
    <x v="1"/>
    <x v="6"/>
    <n v="50"/>
    <x v="103"/>
    <n v="57.7155780075"/>
    <n v="28.857789003800001"/>
    <s v="monthly"/>
    <n v="1"/>
    <n v="1"/>
    <n v="28.857789003800001"/>
    <x v="3"/>
    <m/>
    <m/>
    <m/>
    <m/>
    <n v="0"/>
  </r>
  <r>
    <s v="US-1-implementer"/>
    <x v="28"/>
    <s v="US-1"/>
    <x v="143"/>
    <s v="implementer"/>
    <x v="4"/>
    <x v="0"/>
    <x v="0"/>
    <x v="0"/>
    <n v="12"/>
    <n v="1.6299999999999999E-2"/>
    <x v="1"/>
    <x v="6"/>
    <n v="50"/>
    <x v="104"/>
    <n v="99.582941729300003"/>
    <n v="49.791470864700003"/>
    <s v="monthly"/>
    <n v="1"/>
    <n v="1"/>
    <n v="49.791470864700003"/>
    <x v="3"/>
    <m/>
    <m/>
    <m/>
    <m/>
    <n v="0"/>
  </r>
  <r>
    <s v="US-1-title"/>
    <x v="28"/>
    <s v="US-1"/>
    <x v="144"/>
    <s v="title"/>
    <x v="6"/>
    <x v="0"/>
    <x v="0"/>
    <x v="0"/>
    <n v="14"/>
    <n v="1.6299999999999999E-2"/>
    <x v="1"/>
    <x v="6"/>
    <n v="50"/>
    <x v="105"/>
    <n v="97.123179041399993"/>
    <n v="48.561589520699997"/>
    <s v="monthly"/>
    <n v="1"/>
    <n v="1"/>
    <n v="48.561589520699997"/>
    <x v="3"/>
    <m/>
    <m/>
    <m/>
    <m/>
    <n v="0"/>
  </r>
  <r>
    <s v="US-1-unique-id"/>
    <x v="28"/>
    <s v="US-1"/>
    <x v="46"/>
    <s v="unique-id"/>
    <x v="7"/>
    <x v="0"/>
    <x v="0"/>
    <x v="0"/>
    <n v="13"/>
    <n v="1.6299999999999999E-2"/>
    <x v="1"/>
    <x v="6"/>
    <n v="50"/>
    <x v="5"/>
    <n v="100"/>
    <n v="50"/>
    <s v="monthly"/>
    <n v="1"/>
    <n v="1"/>
    <n v="50"/>
    <x v="3"/>
    <m/>
    <m/>
    <m/>
    <m/>
    <n v="0"/>
  </r>
  <r>
    <s v="US-1-flow-type"/>
    <x v="28"/>
    <s v="US-1"/>
    <x v="131"/>
    <s v="flow-type"/>
    <x v="11"/>
    <x v="0"/>
    <x v="1"/>
    <x v="1"/>
    <n v="21"/>
    <n v="1.8599999999999998E-2"/>
    <x v="1"/>
    <x v="6"/>
    <n v="50"/>
    <x v="30"/>
    <n v="50"/>
    <n v="25"/>
    <s v="monthly"/>
    <n v="1"/>
    <n v="1"/>
    <n v="25"/>
    <x v="3"/>
    <m/>
    <m/>
    <m/>
    <m/>
    <n v="0"/>
  </r>
  <r>
    <s v="US-1-sector"/>
    <x v="28"/>
    <s v="US-1"/>
    <x v="145"/>
    <s v="sector"/>
    <x v="12"/>
    <x v="0"/>
    <x v="1"/>
    <x v="1"/>
    <n v="24"/>
    <n v="1.8599999999999998E-2"/>
    <x v="1"/>
    <x v="6"/>
    <n v="50"/>
    <x v="106"/>
    <n v="94.799988251900004"/>
    <n v="47.399994125900001"/>
    <s v="monthly"/>
    <n v="1"/>
    <n v="1"/>
    <n v="47.399994125900001"/>
    <x v="3"/>
    <m/>
    <m/>
    <m/>
    <m/>
    <n v="0"/>
  </r>
  <r>
    <s v="US-1-tied-aid-status"/>
    <x v="28"/>
    <s v="US-1"/>
    <x v="47"/>
    <s v="tied-aid-status"/>
    <x v="14"/>
    <x v="0"/>
    <x v="1"/>
    <x v="1"/>
    <n v="26"/>
    <n v="1.8599999999999998E-2"/>
    <x v="1"/>
    <x v="6"/>
    <n v="50"/>
    <x v="5"/>
    <n v="100"/>
    <n v="50"/>
    <s v="monthly"/>
    <n v="1"/>
    <n v="1"/>
    <n v="50"/>
    <x v="3"/>
    <m/>
    <m/>
    <m/>
    <m/>
    <n v="0"/>
  </r>
  <r>
    <s v="US-1-expenditure-actual"/>
    <x v="28"/>
    <s v="US-1"/>
    <x v="51"/>
    <s v="expenditure-actual"/>
    <x v="15"/>
    <x v="0"/>
    <x v="2"/>
    <x v="2"/>
    <n v="35"/>
    <n v="3.2500000000000001E-2"/>
    <x v="1"/>
    <x v="6"/>
    <n v="50"/>
    <x v="5"/>
    <n v="100"/>
    <n v="50"/>
    <s v="monthly"/>
    <n v="1"/>
    <n v="1"/>
    <n v="50"/>
    <x v="3"/>
    <m/>
    <m/>
    <m/>
    <m/>
    <n v="0"/>
  </r>
  <r>
    <s v="US-1-expenditure-planned"/>
    <x v="28"/>
    <s v="US-1"/>
    <x v="51"/>
    <s v="expenditure-planned"/>
    <x v="17"/>
    <x v="0"/>
    <x v="2"/>
    <x v="2"/>
    <n v="34"/>
    <n v="3.2500000000000001E-2"/>
    <x v="1"/>
    <x v="6"/>
    <n v="50"/>
    <x v="5"/>
    <n v="100"/>
    <n v="50"/>
    <s v="monthly"/>
    <n v="1"/>
    <n v="1"/>
    <n v="50"/>
    <x v="3"/>
    <m/>
    <m/>
    <m/>
    <m/>
    <n v="0"/>
  </r>
  <r>
    <s v="US-1-current-status"/>
    <x v="28"/>
    <s v="US-1"/>
    <x v="0"/>
    <s v="current-status"/>
    <x v="2"/>
    <x v="0"/>
    <x v="0"/>
    <x v="0"/>
    <n v="18"/>
    <n v="1.6299999999999999E-2"/>
    <x v="0"/>
    <x v="1"/>
    <n v="0"/>
    <x v="0"/>
    <n v="0"/>
    <n v="0"/>
    <s v="monthly"/>
    <n v="1"/>
    <n v="1"/>
    <n v="0"/>
    <x v="2"/>
    <n v="0"/>
    <m/>
    <s v="website"/>
    <n v="33.33"/>
    <n v="0"/>
  </r>
  <r>
    <s v="US-1-dates-planned"/>
    <x v="28"/>
    <s v="US-1"/>
    <x v="11"/>
    <s v="dates-planned"/>
    <x v="5"/>
    <x v="0"/>
    <x v="0"/>
    <x v="0"/>
    <n v="16"/>
    <n v="1.6299999999999999E-2"/>
    <x v="0"/>
    <x v="4"/>
    <n v="50"/>
    <x v="2"/>
    <n v="0"/>
    <n v="0"/>
    <s v="monthly"/>
    <n v="1"/>
    <n v="1"/>
    <n v="0"/>
    <x v="1"/>
    <n v="1"/>
    <m/>
    <s v="machine-readable"/>
    <n v="50"/>
    <n v="50"/>
  </r>
  <r>
    <s v="US-1-aid-type"/>
    <x v="28"/>
    <s v="US-1"/>
    <x v="12"/>
    <s v="aid-type"/>
    <x v="8"/>
    <x v="0"/>
    <x v="1"/>
    <x v="1"/>
    <n v="22"/>
    <n v="1.8599999999999998E-2"/>
    <x v="0"/>
    <x v="4"/>
    <n v="50"/>
    <x v="2"/>
    <n v="0"/>
    <n v="0"/>
    <s v="monthly"/>
    <n v="1"/>
    <n v="1"/>
    <n v="0"/>
    <x v="1"/>
    <n v="1"/>
    <m/>
    <s v="machine-readable"/>
    <n v="50"/>
    <n v="50"/>
  </r>
  <r>
    <s v="US-1-collaboration-type"/>
    <x v="28"/>
    <s v="US-1"/>
    <x v="0"/>
    <s v="collaboration-type"/>
    <x v="9"/>
    <x v="0"/>
    <x v="1"/>
    <x v="1"/>
    <n v="20"/>
    <n v="1.8599999999999998E-2"/>
    <x v="0"/>
    <x v="0"/>
    <n v="0"/>
    <x v="0"/>
    <n v="0"/>
    <n v="0"/>
    <s v="monthly"/>
    <n v="1"/>
    <n v="1"/>
    <n v="0"/>
    <x v="0"/>
    <n v="0"/>
    <m/>
    <m/>
    <n v="0"/>
    <n v="0"/>
  </r>
  <r>
    <s v="US-1-finance-type"/>
    <x v="28"/>
    <s v="US-1"/>
    <x v="12"/>
    <s v="finance-type"/>
    <x v="10"/>
    <x v="0"/>
    <x v="1"/>
    <x v="1"/>
    <n v="23"/>
    <n v="1.8599999999999998E-2"/>
    <x v="0"/>
    <x v="4"/>
    <n v="50"/>
    <x v="2"/>
    <n v="0"/>
    <n v="0"/>
    <s v="monthly"/>
    <n v="1"/>
    <n v="1"/>
    <n v="0"/>
    <x v="1"/>
    <n v="1"/>
    <m/>
    <s v="machine-readable"/>
    <n v="50"/>
    <n v="50"/>
  </r>
  <r>
    <s v="US-1-location"/>
    <x v="28"/>
    <s v="US-1"/>
    <x v="8"/>
    <s v="location"/>
    <x v="13"/>
    <x v="0"/>
    <x v="1"/>
    <x v="1"/>
    <n v="25"/>
    <n v="1.8599999999999998E-2"/>
    <x v="0"/>
    <x v="1"/>
    <n v="33.33"/>
    <x v="1"/>
    <n v="0"/>
    <n v="0"/>
    <s v="monthly"/>
    <n v="1"/>
    <n v="1"/>
    <n v="0"/>
    <x v="1"/>
    <n v="1"/>
    <m/>
    <s v="website"/>
    <n v="33.33"/>
    <n v="33.33"/>
  </r>
  <r>
    <s v="US-1-cost-overall"/>
    <x v="28"/>
    <s v="US-1"/>
    <x v="0"/>
    <s v="cost-overall"/>
    <x v="16"/>
    <x v="0"/>
    <x v="2"/>
    <x v="2"/>
    <n v="33"/>
    <n v="3.2500000000000001E-2"/>
    <x v="0"/>
    <x v="3"/>
    <n v="0"/>
    <x v="0"/>
    <n v="0"/>
    <n v="0"/>
    <s v="monthly"/>
    <n v="1"/>
    <n v="1"/>
    <n v="0"/>
    <x v="0"/>
    <n v="0"/>
    <m/>
    <s v="pdf"/>
    <n v="16.664999999999999"/>
    <n v="0"/>
  </r>
  <r>
    <s v="US-1-budget-identifier"/>
    <x v="28"/>
    <s v="US-1"/>
    <x v="0"/>
    <s v="budget-identifier"/>
    <x v="18"/>
    <x v="0"/>
    <x v="2"/>
    <x v="2"/>
    <n v="36"/>
    <n v="3.2500000000000001E-2"/>
    <x v="0"/>
    <x v="0"/>
    <n v="0"/>
    <x v="0"/>
    <n v="0"/>
    <n v="0"/>
    <s v="monthly"/>
    <n v="1"/>
    <n v="1"/>
    <n v="0"/>
    <x v="0"/>
    <n v="0"/>
    <m/>
    <m/>
    <n v="0"/>
    <n v="0"/>
  </r>
  <r>
    <s v="US-1-conditions"/>
    <x v="28"/>
    <s v="US-1"/>
    <x v="0"/>
    <s v="conditions"/>
    <x v="19"/>
    <x v="0"/>
    <x v="3"/>
    <x v="3"/>
    <n v="39"/>
    <n v="4.3299999999999998E-2"/>
    <x v="0"/>
    <x v="2"/>
    <n v="0"/>
    <x v="0"/>
    <n v="0"/>
    <n v="0"/>
    <s v="monthly"/>
    <n v="1"/>
    <n v="1"/>
    <n v="0"/>
    <x v="0"/>
    <n v="0"/>
    <m/>
    <s v="document"/>
    <n v="50"/>
    <n v="0"/>
  </r>
  <r>
    <s v="US-1-impact-appraisals"/>
    <x v="28"/>
    <s v="US-1"/>
    <x v="0"/>
    <s v="impact-appraisals"/>
    <x v="20"/>
    <x v="0"/>
    <x v="3"/>
    <x v="3"/>
    <n v="38"/>
    <n v="4.3299999999999998E-2"/>
    <x v="0"/>
    <x v="2"/>
    <n v="0"/>
    <x v="0"/>
    <n v="0"/>
    <n v="0"/>
    <s v="monthly"/>
    <n v="1"/>
    <n v="1"/>
    <n v="0"/>
    <x v="2"/>
    <n v="0"/>
    <m/>
    <s v="document"/>
    <n v="50"/>
    <n v="0"/>
  </r>
  <r>
    <s v="US-1-results"/>
    <x v="28"/>
    <s v="US-1"/>
    <x v="0"/>
    <s v="results"/>
    <x v="21"/>
    <x v="0"/>
    <x v="3"/>
    <x v="3"/>
    <n v="37"/>
    <n v="4.3299999999999998E-2"/>
    <x v="0"/>
    <x v="3"/>
    <n v="0"/>
    <x v="0"/>
    <n v="0"/>
    <n v="0"/>
    <s v="monthly"/>
    <n v="1"/>
    <n v="1"/>
    <n v="0"/>
    <x v="2"/>
    <n v="0"/>
    <m/>
    <s v="pdf"/>
    <n v="16.664999999999999"/>
    <n v="0"/>
  </r>
  <r>
    <s v="US-1-budget"/>
    <x v="28"/>
    <s v="US-1"/>
    <x v="0"/>
    <s v="budget"/>
    <x v="22"/>
    <x v="0"/>
    <x v="4"/>
    <x v="4"/>
    <n v="30"/>
    <n v="2.1700000000000001E-2"/>
    <x v="0"/>
    <x v="2"/>
    <n v="0"/>
    <x v="0"/>
    <n v="0"/>
    <n v="0"/>
    <s v="monthly"/>
    <n v="1"/>
    <n v="1"/>
    <n v="0"/>
    <x v="0"/>
    <n v="0"/>
    <m/>
    <s v="document"/>
    <n v="50"/>
    <n v="0"/>
  </r>
  <r>
    <s v="US-1-contracts"/>
    <x v="28"/>
    <s v="US-1"/>
    <x v="3"/>
    <s v="contracts"/>
    <x v="23"/>
    <x v="0"/>
    <x v="4"/>
    <x v="4"/>
    <n v="31"/>
    <n v="2.1700000000000001E-2"/>
    <x v="0"/>
    <x v="2"/>
    <n v="50"/>
    <x v="2"/>
    <n v="0"/>
    <n v="0"/>
    <s v="monthly"/>
    <n v="1"/>
    <n v="1"/>
    <n v="0"/>
    <x v="1"/>
    <n v="1"/>
    <m/>
    <s v="document"/>
    <n v="50"/>
    <n v="50"/>
  </r>
  <r>
    <s v="US-1-evaluations"/>
    <x v="28"/>
    <s v="US-1"/>
    <x v="3"/>
    <s v="evaluations"/>
    <x v="24"/>
    <x v="0"/>
    <x v="4"/>
    <x v="4"/>
    <n v="28"/>
    <n v="2.1700000000000001E-2"/>
    <x v="0"/>
    <x v="2"/>
    <n v="50"/>
    <x v="2"/>
    <n v="0"/>
    <n v="0"/>
    <s v="monthly"/>
    <n v="1"/>
    <n v="1"/>
    <n v="0"/>
    <x v="1"/>
    <n v="1"/>
    <m/>
    <s v="document"/>
    <n v="50"/>
    <n v="50"/>
  </r>
  <r>
    <s v="US-1-mou"/>
    <x v="28"/>
    <s v="US-1"/>
    <x v="0"/>
    <s v="mou"/>
    <x v="25"/>
    <x v="0"/>
    <x v="4"/>
    <x v="4"/>
    <n v="27"/>
    <n v="2.1700000000000001E-2"/>
    <x v="0"/>
    <x v="2"/>
    <n v="0"/>
    <x v="0"/>
    <n v="0"/>
    <n v="0"/>
    <s v="monthly"/>
    <n v="1"/>
    <n v="1"/>
    <n v="0"/>
    <x v="2"/>
    <n v="0"/>
    <m/>
    <s v="document"/>
    <n v="50"/>
    <n v="0"/>
  </r>
  <r>
    <s v="US-1-objectives"/>
    <x v="28"/>
    <s v="US-1"/>
    <x v="0"/>
    <s v="objectives"/>
    <x v="26"/>
    <x v="0"/>
    <x v="4"/>
    <x v="4"/>
    <n v="29"/>
    <n v="2.1700000000000001E-2"/>
    <x v="0"/>
    <x v="2"/>
    <n v="0"/>
    <x v="0"/>
    <n v="0"/>
    <n v="0"/>
    <s v="monthly"/>
    <n v="1"/>
    <n v="1"/>
    <n v="0"/>
    <x v="2"/>
    <n v="0"/>
    <m/>
    <s v="document"/>
    <n v="50"/>
    <n v="0"/>
  </r>
  <r>
    <s v="US-1-tenders"/>
    <x v="28"/>
    <s v="US-1"/>
    <x v="3"/>
    <s v="tenders"/>
    <x v="27"/>
    <x v="0"/>
    <x v="4"/>
    <x v="4"/>
    <n v="32"/>
    <n v="2.1700000000000001E-2"/>
    <x v="0"/>
    <x v="2"/>
    <n v="50"/>
    <x v="2"/>
    <n v="0"/>
    <n v="0"/>
    <s v="monthly"/>
    <n v="1"/>
    <n v="1"/>
    <n v="0"/>
    <x v="1"/>
    <n v="1"/>
    <m/>
    <s v="document"/>
    <n v="50"/>
    <n v="50"/>
  </r>
  <r>
    <s v="US-1-audit"/>
    <x v="28"/>
    <s v="US-1"/>
    <x v="4"/>
    <s v="audit"/>
    <x v="28"/>
    <x v="1"/>
    <x v="2"/>
    <x v="5"/>
    <n v="11"/>
    <n v="4.1700000000000001E-2"/>
    <x v="0"/>
    <x v="2"/>
    <n v="50"/>
    <x v="2"/>
    <n v="0"/>
    <n v="0"/>
    <s v="monthly"/>
    <n v="1"/>
    <n v="1"/>
    <n v="0"/>
    <x v="1"/>
    <n v="1"/>
    <m/>
    <s v="document"/>
    <n v="50"/>
    <n v="50"/>
  </r>
  <r>
    <s v="US-1-total-budget"/>
    <x v="28"/>
    <s v="US-1"/>
    <x v="24"/>
    <s v="total-budget"/>
    <x v="29"/>
    <x v="1"/>
    <x v="2"/>
    <x v="5"/>
    <n v="9"/>
    <n v="4.1700000000000001E-2"/>
    <x v="0"/>
    <x v="3"/>
    <n v="5.5549999999999997"/>
    <x v="10"/>
    <n v="0"/>
    <n v="0"/>
    <s v="monthly"/>
    <n v="1"/>
    <n v="1"/>
    <n v="0"/>
    <x v="3"/>
    <n v="0"/>
    <n v="1"/>
    <s v="pdf"/>
    <n v="16.664999999999999"/>
    <n v="5.5549999999999997"/>
  </r>
  <r>
    <s v="US-1-disaggregated-budgets"/>
    <x v="28"/>
    <s v="US-1"/>
    <x v="0"/>
    <s v="disaggregated-budgets"/>
    <x v="30"/>
    <x v="1"/>
    <x v="2"/>
    <x v="5"/>
    <n v="10"/>
    <n v="4.1700000000000001E-2"/>
    <x v="0"/>
    <x v="0"/>
    <n v="0"/>
    <x v="0"/>
    <n v="0"/>
    <n v="0"/>
    <s v="monthly"/>
    <n v="1"/>
    <n v="1"/>
    <n v="0"/>
    <x v="3"/>
    <n v="0"/>
    <n v="0"/>
    <m/>
    <n v="0"/>
    <n v="0"/>
  </r>
  <r>
    <s v="US-1-strategy"/>
    <x v="28"/>
    <s v="US-1"/>
    <x v="6"/>
    <s v="strategy"/>
    <x v="31"/>
    <x v="1"/>
    <x v="5"/>
    <x v="6"/>
    <n v="4"/>
    <n v="2.5000000000000001E-2"/>
    <x v="0"/>
    <x v="2"/>
    <n v="50"/>
    <x v="2"/>
    <n v="0"/>
    <n v="0"/>
    <s v="monthly"/>
    <n v="1"/>
    <n v="1"/>
    <n v="0"/>
    <x v="1"/>
    <n v="1"/>
    <m/>
    <s v="document"/>
    <n v="50"/>
    <n v="50"/>
  </r>
  <r>
    <s v="US-1-annual-report"/>
    <x v="28"/>
    <s v="US-1"/>
    <x v="6"/>
    <s v="annual-report"/>
    <x v="32"/>
    <x v="1"/>
    <x v="5"/>
    <x v="6"/>
    <n v="5"/>
    <n v="2.5000000000000001E-2"/>
    <x v="0"/>
    <x v="2"/>
    <n v="50"/>
    <x v="2"/>
    <n v="0"/>
    <n v="0"/>
    <s v="monthly"/>
    <n v="1"/>
    <n v="1"/>
    <n v="0"/>
    <x v="1"/>
    <n v="1"/>
    <m/>
    <s v="document"/>
    <n v="50"/>
    <n v="50"/>
  </r>
  <r>
    <s v="US-1-allocation"/>
    <x v="28"/>
    <s v="US-1"/>
    <x v="6"/>
    <s v="allocation"/>
    <x v="33"/>
    <x v="1"/>
    <x v="5"/>
    <x v="6"/>
    <n v="6"/>
    <n v="2.5000000000000001E-2"/>
    <x v="0"/>
    <x v="2"/>
    <n v="50"/>
    <x v="2"/>
    <n v="0"/>
    <n v="0"/>
    <s v="monthly"/>
    <n v="1"/>
    <n v="1"/>
    <n v="0"/>
    <x v="1"/>
    <n v="1"/>
    <m/>
    <s v="document"/>
    <n v="50"/>
    <n v="50"/>
  </r>
  <r>
    <s v="US-1-procurement-policy"/>
    <x v="28"/>
    <s v="US-1"/>
    <x v="6"/>
    <s v="procurement-policy"/>
    <x v="34"/>
    <x v="1"/>
    <x v="5"/>
    <x v="6"/>
    <n v="7"/>
    <n v="2.5000000000000001E-2"/>
    <x v="0"/>
    <x v="2"/>
    <n v="50"/>
    <x v="2"/>
    <n v="0"/>
    <n v="0"/>
    <s v="monthly"/>
    <n v="1"/>
    <n v="1"/>
    <n v="0"/>
    <x v="1"/>
    <n v="1"/>
    <m/>
    <s v="document"/>
    <n v="50"/>
    <n v="50"/>
  </r>
  <r>
    <s v="US-1-country-strategy"/>
    <x v="28"/>
    <s v="US-1"/>
    <x v="0"/>
    <s v="country-strategy"/>
    <x v="35"/>
    <x v="1"/>
    <x v="5"/>
    <x v="6"/>
    <n v="8"/>
    <n v="2.5000000000000001E-2"/>
    <x v="0"/>
    <x v="2"/>
    <n v="0"/>
    <x v="0"/>
    <n v="0"/>
    <n v="0"/>
    <s v="monthly"/>
    <n v="1"/>
    <n v="1"/>
    <n v="0"/>
    <x v="2"/>
    <n v="0"/>
    <m/>
    <s v="document"/>
    <n v="50"/>
    <n v="0"/>
  </r>
  <r>
    <s v="US-1-foia"/>
    <x v="28"/>
    <s v="US-1"/>
    <x v="15"/>
    <s v="foia"/>
    <x v="36"/>
    <x v="2"/>
    <x v="6"/>
    <x v="7"/>
    <n v="1"/>
    <n v="3.3300000000000003E-2"/>
    <x v="0"/>
    <x v="5"/>
    <n v="66.66"/>
    <x v="6"/>
    <n v="0"/>
    <n v="0"/>
    <s v="monthly"/>
    <n v="1"/>
    <n v="1"/>
    <n v="0"/>
    <x v="3"/>
    <n v="0"/>
    <n v="66.66"/>
    <m/>
    <n v="0"/>
    <n v="66.66"/>
  </r>
  <r>
    <s v="US-1-accessibility"/>
    <x v="28"/>
    <s v="US-1"/>
    <x v="15"/>
    <s v="accessibility"/>
    <x v="37"/>
    <x v="2"/>
    <x v="6"/>
    <x v="7"/>
    <n v="3"/>
    <n v="3.3300000000000003E-2"/>
    <x v="0"/>
    <x v="5"/>
    <n v="66.66"/>
    <x v="6"/>
    <n v="0"/>
    <n v="0"/>
    <s v="monthly"/>
    <n v="1"/>
    <n v="1"/>
    <n v="0"/>
    <x v="3"/>
    <n v="0"/>
    <n v="66.66"/>
    <m/>
    <n v="0"/>
    <n v="66.66"/>
  </r>
  <r>
    <s v="US-1-implementation-schedules"/>
    <x v="28"/>
    <s v="US-1"/>
    <x v="133"/>
    <s v="implementation-schedules"/>
    <x v="38"/>
    <x v="2"/>
    <x v="6"/>
    <x v="7"/>
    <n v="2"/>
    <n v="3.3300000000000003E-2"/>
    <x v="0"/>
    <x v="5"/>
    <n v="31"/>
    <x v="95"/>
    <n v="0"/>
    <n v="0"/>
    <s v="monthly"/>
    <n v="1"/>
    <n v="1"/>
    <n v="0"/>
    <x v="3"/>
    <n v="0"/>
    <n v="31"/>
    <m/>
    <n v="0"/>
    <n v="31"/>
  </r>
  <r>
    <s v="JP-8-audit"/>
    <x v="29"/>
    <s v="JP-8"/>
    <x v="42"/>
    <s v="audit"/>
    <x v="28"/>
    <x v="1"/>
    <x v="2"/>
    <x v="5"/>
    <n v="11"/>
    <n v="4.1700000000000001E-2"/>
    <x v="1"/>
    <x v="6"/>
    <n v="50"/>
    <x v="5"/>
    <n v="100"/>
    <n v="50"/>
    <s v="less than quarterly"/>
    <n v="0.5"/>
    <n v="1"/>
    <n v="50"/>
    <x v="3"/>
    <m/>
    <m/>
    <m/>
    <m/>
    <n v="0"/>
  </r>
  <r>
    <s v="JP-8-total-budget"/>
    <x v="29"/>
    <s v="JP-8"/>
    <x v="69"/>
    <s v="total-budget"/>
    <x v="29"/>
    <x v="1"/>
    <x v="2"/>
    <x v="5"/>
    <n v="9"/>
    <n v="4.1700000000000001E-2"/>
    <x v="1"/>
    <x v="6"/>
    <n v="50"/>
    <x v="41"/>
    <n v="33.333333333299997"/>
    <n v="16.666666666699999"/>
    <s v="less than quarterly"/>
    <n v="0.5"/>
    <n v="1"/>
    <n v="16.666666666699999"/>
    <x v="3"/>
    <m/>
    <m/>
    <m/>
    <m/>
    <n v="0"/>
  </r>
  <r>
    <s v="JP-8-strategy"/>
    <x v="29"/>
    <s v="JP-8"/>
    <x v="43"/>
    <s v="strategy"/>
    <x v="31"/>
    <x v="1"/>
    <x v="5"/>
    <x v="6"/>
    <n v="4"/>
    <n v="2.5000000000000001E-2"/>
    <x v="1"/>
    <x v="6"/>
    <n v="50"/>
    <x v="5"/>
    <n v="100"/>
    <n v="50"/>
    <s v="less than quarterly"/>
    <n v="0.5"/>
    <n v="1"/>
    <n v="50"/>
    <x v="3"/>
    <m/>
    <m/>
    <m/>
    <m/>
    <n v="0"/>
  </r>
  <r>
    <s v="JP-8-annual-report"/>
    <x v="29"/>
    <s v="JP-8"/>
    <x v="43"/>
    <s v="annual-report"/>
    <x v="32"/>
    <x v="1"/>
    <x v="5"/>
    <x v="6"/>
    <n v="5"/>
    <n v="2.5000000000000001E-2"/>
    <x v="1"/>
    <x v="6"/>
    <n v="50"/>
    <x v="5"/>
    <n v="100"/>
    <n v="50"/>
    <s v="less than quarterly"/>
    <n v="0.5"/>
    <n v="1"/>
    <n v="50"/>
    <x v="3"/>
    <m/>
    <m/>
    <m/>
    <m/>
    <n v="0"/>
  </r>
  <r>
    <s v="JP-8-allocation"/>
    <x v="29"/>
    <s v="JP-8"/>
    <x v="43"/>
    <s v="allocation"/>
    <x v="33"/>
    <x v="1"/>
    <x v="5"/>
    <x v="6"/>
    <n v="6"/>
    <n v="2.5000000000000001E-2"/>
    <x v="1"/>
    <x v="6"/>
    <n v="50"/>
    <x v="5"/>
    <n v="100"/>
    <n v="50"/>
    <s v="less than quarterly"/>
    <n v="0.5"/>
    <n v="1"/>
    <n v="50"/>
    <x v="3"/>
    <m/>
    <m/>
    <m/>
    <m/>
    <n v="0"/>
  </r>
  <r>
    <s v="JP-8-current-status"/>
    <x v="29"/>
    <s v="JP-8"/>
    <x v="146"/>
    <s v="current-status"/>
    <x v="2"/>
    <x v="0"/>
    <x v="0"/>
    <x v="0"/>
    <n v="18"/>
    <n v="1.6299999999999999E-2"/>
    <x v="1"/>
    <x v="6"/>
    <n v="50"/>
    <x v="107"/>
    <n v="50"/>
    <n v="25"/>
    <s v="less than quarterly"/>
    <n v="0.5"/>
    <n v="0.5"/>
    <n v="12.5"/>
    <x v="3"/>
    <m/>
    <m/>
    <m/>
    <m/>
    <n v="0"/>
  </r>
  <r>
    <s v="JP-8-description"/>
    <x v="29"/>
    <s v="JP-8"/>
    <x v="147"/>
    <s v="description"/>
    <x v="3"/>
    <x v="0"/>
    <x v="0"/>
    <x v="0"/>
    <n v="15"/>
    <n v="1.6299999999999999E-2"/>
    <x v="1"/>
    <x v="6"/>
    <n v="50"/>
    <x v="108"/>
    <n v="64.285714285699996"/>
    <n v="32.142857142899999"/>
    <s v="less than quarterly"/>
    <n v="0.5"/>
    <n v="0.5"/>
    <n v="16.071428571399998"/>
    <x v="3"/>
    <m/>
    <m/>
    <m/>
    <m/>
    <n v="0"/>
  </r>
  <r>
    <s v="JP-8-dates-planned"/>
    <x v="29"/>
    <s v="JP-8"/>
    <x v="130"/>
    <s v="dates-planned"/>
    <x v="5"/>
    <x v="0"/>
    <x v="0"/>
    <x v="0"/>
    <n v="16"/>
    <n v="1.6299999999999999E-2"/>
    <x v="1"/>
    <x v="6"/>
    <n v="50"/>
    <x v="30"/>
    <n v="100"/>
    <n v="50"/>
    <s v="less than quarterly"/>
    <n v="0.5"/>
    <n v="0.5"/>
    <n v="25"/>
    <x v="3"/>
    <m/>
    <m/>
    <m/>
    <m/>
    <n v="0"/>
  </r>
  <r>
    <s v="JP-8-title"/>
    <x v="29"/>
    <s v="JP-8"/>
    <x v="130"/>
    <s v="title"/>
    <x v="6"/>
    <x v="0"/>
    <x v="0"/>
    <x v="0"/>
    <n v="14"/>
    <n v="1.6299999999999999E-2"/>
    <x v="1"/>
    <x v="6"/>
    <n v="50"/>
    <x v="30"/>
    <n v="100"/>
    <n v="50"/>
    <s v="less than quarterly"/>
    <n v="0.5"/>
    <n v="0.5"/>
    <n v="25"/>
    <x v="3"/>
    <m/>
    <m/>
    <m/>
    <m/>
    <n v="0"/>
  </r>
  <r>
    <s v="JP-8-unique-id"/>
    <x v="29"/>
    <s v="JP-8"/>
    <x v="130"/>
    <s v="unique-id"/>
    <x v="7"/>
    <x v="0"/>
    <x v="0"/>
    <x v="0"/>
    <n v="13"/>
    <n v="1.6299999999999999E-2"/>
    <x v="1"/>
    <x v="6"/>
    <n v="50"/>
    <x v="30"/>
    <n v="100"/>
    <n v="50"/>
    <s v="less than quarterly"/>
    <n v="0.5"/>
    <n v="0.5"/>
    <n v="25"/>
    <x v="3"/>
    <m/>
    <m/>
    <m/>
    <m/>
    <n v="0"/>
  </r>
  <r>
    <s v="JP-8-sector"/>
    <x v="29"/>
    <s v="JP-8"/>
    <x v="131"/>
    <s v="sector"/>
    <x v="12"/>
    <x v="0"/>
    <x v="1"/>
    <x v="1"/>
    <n v="24"/>
    <n v="1.8599999999999998E-2"/>
    <x v="1"/>
    <x v="6"/>
    <n v="50"/>
    <x v="30"/>
    <n v="100"/>
    <n v="50"/>
    <s v="less than quarterly"/>
    <n v="0.5"/>
    <n v="0.5"/>
    <n v="25"/>
    <x v="3"/>
    <m/>
    <m/>
    <m/>
    <m/>
    <n v="0"/>
  </r>
  <r>
    <s v="JP-8-procurement-policy"/>
    <x v="29"/>
    <s v="JP-8"/>
    <x v="43"/>
    <s v="procurement-policy"/>
    <x v="34"/>
    <x v="1"/>
    <x v="5"/>
    <x v="6"/>
    <n v="7"/>
    <n v="2.5000000000000001E-2"/>
    <x v="1"/>
    <x v="6"/>
    <n v="50"/>
    <x v="5"/>
    <n v="100"/>
    <n v="50"/>
    <s v="less than quarterly"/>
    <n v="0.5"/>
    <n v="1"/>
    <n v="50"/>
    <x v="3"/>
    <m/>
    <m/>
    <m/>
    <m/>
    <n v="0"/>
  </r>
  <r>
    <s v="JP-8-dates-actual"/>
    <x v="29"/>
    <s v="JP-8"/>
    <x v="0"/>
    <s v="dates-actual"/>
    <x v="0"/>
    <x v="0"/>
    <x v="0"/>
    <x v="0"/>
    <n v="17"/>
    <n v="1.6299999999999999E-2"/>
    <x v="0"/>
    <x v="1"/>
    <n v="0"/>
    <x v="0"/>
    <n v="0"/>
    <n v="0"/>
    <s v="less than quarterly"/>
    <n v="0.5"/>
    <n v="1"/>
    <n v="0"/>
    <x v="0"/>
    <n v="0"/>
    <m/>
    <s v="website"/>
    <n v="33.33"/>
    <n v="0"/>
  </r>
  <r>
    <s v="JP-8-contact-details"/>
    <x v="29"/>
    <s v="JP-8"/>
    <x v="1"/>
    <s v="contact-details"/>
    <x v="1"/>
    <x v="0"/>
    <x v="0"/>
    <x v="0"/>
    <n v="19"/>
    <n v="1.6299999999999999E-2"/>
    <x v="0"/>
    <x v="1"/>
    <n v="33.33"/>
    <x v="1"/>
    <n v="0"/>
    <n v="0"/>
    <s v="less than quarterly"/>
    <n v="0.5"/>
    <n v="1"/>
    <n v="0"/>
    <x v="1"/>
    <n v="1"/>
    <m/>
    <s v="website"/>
    <n v="33.33"/>
    <n v="33.33"/>
  </r>
  <r>
    <s v="JP-8-implementer"/>
    <x v="29"/>
    <s v="JP-8"/>
    <x v="1"/>
    <s v="implementer"/>
    <x v="4"/>
    <x v="0"/>
    <x v="0"/>
    <x v="0"/>
    <n v="12"/>
    <n v="1.6299999999999999E-2"/>
    <x v="0"/>
    <x v="1"/>
    <n v="33.33"/>
    <x v="1"/>
    <n v="0"/>
    <n v="0"/>
    <s v="less than quarterly"/>
    <n v="0.5"/>
    <n v="1"/>
    <n v="0"/>
    <x v="1"/>
    <n v="1"/>
    <m/>
    <s v="website"/>
    <n v="33.33"/>
    <n v="33.33"/>
  </r>
  <r>
    <s v="JP-8-aid-type"/>
    <x v="29"/>
    <s v="JP-8"/>
    <x v="8"/>
    <s v="aid-type"/>
    <x v="8"/>
    <x v="0"/>
    <x v="1"/>
    <x v="1"/>
    <n v="22"/>
    <n v="1.8599999999999998E-2"/>
    <x v="0"/>
    <x v="1"/>
    <n v="33.33"/>
    <x v="1"/>
    <n v="0"/>
    <n v="0"/>
    <s v="less than quarterly"/>
    <n v="0.5"/>
    <n v="1"/>
    <n v="0"/>
    <x v="1"/>
    <n v="1"/>
    <m/>
    <s v="website"/>
    <n v="33.33"/>
    <n v="33.33"/>
  </r>
  <r>
    <s v="JP-8-collaboration-type"/>
    <x v="29"/>
    <s v="JP-8"/>
    <x v="8"/>
    <s v="collaboration-type"/>
    <x v="9"/>
    <x v="0"/>
    <x v="1"/>
    <x v="1"/>
    <n v="20"/>
    <n v="1.8599999999999998E-2"/>
    <x v="0"/>
    <x v="1"/>
    <n v="33.33"/>
    <x v="1"/>
    <n v="0"/>
    <n v="0"/>
    <s v="less than quarterly"/>
    <n v="0.5"/>
    <n v="1"/>
    <n v="0"/>
    <x v="1"/>
    <n v="1"/>
    <m/>
    <s v="website"/>
    <n v="33.33"/>
    <n v="33.33"/>
  </r>
  <r>
    <s v="JP-8-finance-type"/>
    <x v="29"/>
    <s v="JP-8"/>
    <x v="8"/>
    <s v="finance-type"/>
    <x v="10"/>
    <x v="0"/>
    <x v="1"/>
    <x v="1"/>
    <n v="23"/>
    <n v="1.8599999999999998E-2"/>
    <x v="0"/>
    <x v="1"/>
    <n v="33.33"/>
    <x v="1"/>
    <n v="0"/>
    <n v="0"/>
    <s v="less than quarterly"/>
    <n v="0.5"/>
    <n v="1"/>
    <n v="0"/>
    <x v="1"/>
    <n v="1"/>
    <m/>
    <s v="website"/>
    <n v="33.33"/>
    <n v="33.33"/>
  </r>
  <r>
    <s v="JP-8-flow-type"/>
    <x v="29"/>
    <s v="JP-8"/>
    <x v="8"/>
    <s v="flow-type"/>
    <x v="11"/>
    <x v="0"/>
    <x v="1"/>
    <x v="1"/>
    <n v="21"/>
    <n v="1.8599999999999998E-2"/>
    <x v="0"/>
    <x v="1"/>
    <n v="33.33"/>
    <x v="1"/>
    <n v="0"/>
    <n v="0"/>
    <s v="less than quarterly"/>
    <n v="0.5"/>
    <n v="1"/>
    <n v="0"/>
    <x v="1"/>
    <n v="1"/>
    <m/>
    <s v="website"/>
    <n v="33.33"/>
    <n v="33.33"/>
  </r>
  <r>
    <s v="JP-8-location"/>
    <x v="29"/>
    <s v="JP-8"/>
    <x v="8"/>
    <s v="location"/>
    <x v="13"/>
    <x v="0"/>
    <x v="1"/>
    <x v="1"/>
    <n v="25"/>
    <n v="1.8599999999999998E-2"/>
    <x v="0"/>
    <x v="1"/>
    <n v="33.33"/>
    <x v="1"/>
    <n v="0"/>
    <n v="0"/>
    <s v="less than quarterly"/>
    <n v="0.5"/>
    <n v="1"/>
    <n v="0"/>
    <x v="1"/>
    <n v="1"/>
    <m/>
    <s v="website"/>
    <n v="33.33"/>
    <n v="33.33"/>
  </r>
  <r>
    <s v="JP-8-tied-aid-status"/>
    <x v="29"/>
    <s v="JP-8"/>
    <x v="0"/>
    <s v="tied-aid-status"/>
    <x v="14"/>
    <x v="0"/>
    <x v="1"/>
    <x v="1"/>
    <n v="26"/>
    <n v="1.8599999999999998E-2"/>
    <x v="0"/>
    <x v="0"/>
    <n v="0"/>
    <x v="0"/>
    <n v="0"/>
    <n v="0"/>
    <s v="less than quarterly"/>
    <n v="0.5"/>
    <n v="1"/>
    <n v="0"/>
    <x v="0"/>
    <n v="0"/>
    <m/>
    <m/>
    <n v="0"/>
    <n v="0"/>
  </r>
  <r>
    <s v="JP-8-expenditure-actual"/>
    <x v="29"/>
    <s v="JP-8"/>
    <x v="0"/>
    <s v="expenditure-actual"/>
    <x v="15"/>
    <x v="0"/>
    <x v="2"/>
    <x v="2"/>
    <n v="35"/>
    <n v="3.2500000000000001E-2"/>
    <x v="0"/>
    <x v="0"/>
    <n v="0"/>
    <x v="0"/>
    <n v="0"/>
    <n v="0"/>
    <s v="less than quarterly"/>
    <n v="0.5"/>
    <n v="1"/>
    <n v="0"/>
    <x v="0"/>
    <n v="0"/>
    <m/>
    <m/>
    <n v="0"/>
    <n v="0"/>
  </r>
  <r>
    <s v="JP-8-cost-overall"/>
    <x v="29"/>
    <s v="JP-8"/>
    <x v="0"/>
    <s v="cost-overall"/>
    <x v="16"/>
    <x v="0"/>
    <x v="2"/>
    <x v="2"/>
    <n v="33"/>
    <n v="3.2500000000000001E-2"/>
    <x v="0"/>
    <x v="0"/>
    <n v="0"/>
    <x v="0"/>
    <n v="0"/>
    <n v="0"/>
    <s v="less than quarterly"/>
    <n v="0.5"/>
    <n v="1"/>
    <n v="0"/>
    <x v="0"/>
    <n v="0"/>
    <m/>
    <m/>
    <n v="0"/>
    <n v="0"/>
  </r>
  <r>
    <s v="JP-8-expenditure-planned"/>
    <x v="29"/>
    <s v="JP-8"/>
    <x v="0"/>
    <s v="expenditure-planned"/>
    <x v="17"/>
    <x v="0"/>
    <x v="2"/>
    <x v="2"/>
    <n v="34"/>
    <n v="3.2500000000000001E-2"/>
    <x v="0"/>
    <x v="1"/>
    <n v="0"/>
    <x v="0"/>
    <n v="0"/>
    <n v="0"/>
    <s v="less than quarterly"/>
    <n v="0.5"/>
    <n v="1"/>
    <n v="0"/>
    <x v="2"/>
    <n v="0"/>
    <m/>
    <s v="website"/>
    <n v="33.33"/>
    <n v="0"/>
  </r>
  <r>
    <s v="JP-8-budget-identifier"/>
    <x v="29"/>
    <s v="JP-8"/>
    <x v="0"/>
    <s v="budget-identifier"/>
    <x v="18"/>
    <x v="0"/>
    <x v="2"/>
    <x v="2"/>
    <n v="36"/>
    <n v="3.2500000000000001E-2"/>
    <x v="0"/>
    <x v="0"/>
    <n v="0"/>
    <x v="0"/>
    <n v="0"/>
    <n v="0"/>
    <s v="less than quarterly"/>
    <n v="0.5"/>
    <n v="1"/>
    <n v="0"/>
    <x v="0"/>
    <n v="0"/>
    <m/>
    <m/>
    <n v="0"/>
    <n v="0"/>
  </r>
  <r>
    <s v="JP-8-conditions"/>
    <x v="29"/>
    <s v="JP-8"/>
    <x v="0"/>
    <s v="conditions"/>
    <x v="19"/>
    <x v="0"/>
    <x v="3"/>
    <x v="3"/>
    <n v="39"/>
    <n v="4.3299999999999998E-2"/>
    <x v="0"/>
    <x v="2"/>
    <n v="0"/>
    <x v="0"/>
    <n v="0"/>
    <n v="0"/>
    <s v="less than quarterly"/>
    <n v="0.5"/>
    <n v="1"/>
    <n v="0"/>
    <x v="2"/>
    <n v="0"/>
    <m/>
    <s v="document"/>
    <n v="50"/>
    <n v="0"/>
  </r>
  <r>
    <s v="JP-8-impact-appraisals"/>
    <x v="29"/>
    <s v="JP-8"/>
    <x v="0"/>
    <s v="impact-appraisals"/>
    <x v="20"/>
    <x v="0"/>
    <x v="3"/>
    <x v="3"/>
    <n v="38"/>
    <n v="4.3299999999999998E-2"/>
    <x v="0"/>
    <x v="2"/>
    <n v="0"/>
    <x v="0"/>
    <n v="0"/>
    <n v="0"/>
    <s v="less than quarterly"/>
    <n v="0.5"/>
    <n v="1"/>
    <n v="0"/>
    <x v="2"/>
    <n v="0"/>
    <m/>
    <s v="document"/>
    <n v="50"/>
    <n v="0"/>
  </r>
  <r>
    <s v="JP-8-results"/>
    <x v="29"/>
    <s v="JP-8"/>
    <x v="0"/>
    <s v="results"/>
    <x v="21"/>
    <x v="0"/>
    <x v="3"/>
    <x v="3"/>
    <n v="37"/>
    <n v="4.3299999999999998E-2"/>
    <x v="0"/>
    <x v="3"/>
    <n v="0"/>
    <x v="0"/>
    <n v="0"/>
    <n v="0"/>
    <s v="less than quarterly"/>
    <n v="0.5"/>
    <n v="1"/>
    <n v="0"/>
    <x v="2"/>
    <n v="0"/>
    <m/>
    <s v="pdf"/>
    <n v="16.664999999999999"/>
    <n v="0"/>
  </r>
  <r>
    <s v="JP-8-budget"/>
    <x v="29"/>
    <s v="JP-8"/>
    <x v="0"/>
    <s v="budget"/>
    <x v="22"/>
    <x v="0"/>
    <x v="4"/>
    <x v="4"/>
    <n v="30"/>
    <n v="2.1700000000000001E-2"/>
    <x v="0"/>
    <x v="2"/>
    <n v="0"/>
    <x v="0"/>
    <n v="0"/>
    <n v="0"/>
    <s v="less than quarterly"/>
    <n v="0.5"/>
    <n v="1"/>
    <n v="0"/>
    <x v="0"/>
    <n v="0"/>
    <m/>
    <s v="document"/>
    <n v="50"/>
    <n v="0"/>
  </r>
  <r>
    <s v="JP-8-contracts"/>
    <x v="29"/>
    <s v="JP-8"/>
    <x v="3"/>
    <s v="contracts"/>
    <x v="23"/>
    <x v="0"/>
    <x v="4"/>
    <x v="4"/>
    <n v="31"/>
    <n v="2.1700000000000001E-2"/>
    <x v="0"/>
    <x v="2"/>
    <n v="50"/>
    <x v="2"/>
    <n v="0"/>
    <n v="0"/>
    <s v="less than quarterly"/>
    <n v="0.5"/>
    <n v="1"/>
    <n v="0"/>
    <x v="1"/>
    <n v="1"/>
    <m/>
    <s v="document"/>
    <n v="50"/>
    <n v="50"/>
  </r>
  <r>
    <s v="JP-8-evaluations"/>
    <x v="29"/>
    <s v="JP-8"/>
    <x v="3"/>
    <s v="evaluations"/>
    <x v="24"/>
    <x v="0"/>
    <x v="4"/>
    <x v="4"/>
    <n v="28"/>
    <n v="2.1700000000000001E-2"/>
    <x v="0"/>
    <x v="2"/>
    <n v="50"/>
    <x v="2"/>
    <n v="0"/>
    <n v="0"/>
    <s v="less than quarterly"/>
    <n v="0.5"/>
    <n v="1"/>
    <n v="0"/>
    <x v="1"/>
    <n v="1"/>
    <m/>
    <s v="document"/>
    <n v="50"/>
    <n v="50"/>
  </r>
  <r>
    <s v="JP-8-mou"/>
    <x v="29"/>
    <s v="JP-8"/>
    <x v="0"/>
    <s v="mou"/>
    <x v="25"/>
    <x v="0"/>
    <x v="4"/>
    <x v="4"/>
    <n v="27"/>
    <n v="2.1700000000000001E-2"/>
    <x v="0"/>
    <x v="2"/>
    <n v="0"/>
    <x v="0"/>
    <n v="0"/>
    <n v="0"/>
    <s v="less than quarterly"/>
    <n v="0.5"/>
    <n v="1"/>
    <n v="0"/>
    <x v="2"/>
    <n v="0"/>
    <m/>
    <s v="document"/>
    <n v="50"/>
    <n v="0"/>
  </r>
  <r>
    <s v="JP-8-objectives"/>
    <x v="29"/>
    <s v="JP-8"/>
    <x v="3"/>
    <s v="objectives"/>
    <x v="26"/>
    <x v="0"/>
    <x v="4"/>
    <x v="4"/>
    <n v="29"/>
    <n v="2.1700000000000001E-2"/>
    <x v="0"/>
    <x v="2"/>
    <n v="50"/>
    <x v="2"/>
    <n v="0"/>
    <n v="0"/>
    <s v="less than quarterly"/>
    <n v="0.5"/>
    <n v="1"/>
    <n v="0"/>
    <x v="1"/>
    <n v="1"/>
    <m/>
    <s v="document"/>
    <n v="50"/>
    <n v="50"/>
  </r>
  <r>
    <s v="JP-8-tenders"/>
    <x v="29"/>
    <s v="JP-8"/>
    <x v="3"/>
    <s v="tenders"/>
    <x v="27"/>
    <x v="0"/>
    <x v="4"/>
    <x v="4"/>
    <n v="32"/>
    <n v="2.1700000000000001E-2"/>
    <x v="0"/>
    <x v="2"/>
    <n v="50"/>
    <x v="2"/>
    <n v="0"/>
    <n v="0"/>
    <s v="less than quarterly"/>
    <n v="0.5"/>
    <n v="1"/>
    <n v="0"/>
    <x v="1"/>
    <n v="1"/>
    <m/>
    <s v="document"/>
    <n v="50"/>
    <n v="50"/>
  </r>
  <r>
    <s v="JP-8-disaggregated-budgets"/>
    <x v="29"/>
    <s v="JP-8"/>
    <x v="0"/>
    <s v="disaggregated-budgets"/>
    <x v="30"/>
    <x v="1"/>
    <x v="2"/>
    <x v="5"/>
    <n v="10"/>
    <n v="4.1700000000000001E-2"/>
    <x v="0"/>
    <x v="0"/>
    <n v="0"/>
    <x v="0"/>
    <n v="0"/>
    <n v="0"/>
    <s v="less than quarterly"/>
    <n v="0.5"/>
    <n v="1"/>
    <n v="0"/>
    <x v="3"/>
    <n v="0"/>
    <n v="0"/>
    <m/>
    <n v="0"/>
    <n v="0"/>
  </r>
  <r>
    <s v="JP-8-country-strategy"/>
    <x v="29"/>
    <s v="JP-8"/>
    <x v="6"/>
    <s v="country-strategy"/>
    <x v="35"/>
    <x v="1"/>
    <x v="5"/>
    <x v="6"/>
    <n v="8"/>
    <n v="2.5000000000000001E-2"/>
    <x v="0"/>
    <x v="2"/>
    <n v="50"/>
    <x v="2"/>
    <n v="0"/>
    <n v="0"/>
    <s v="less than quarterly"/>
    <n v="0.5"/>
    <n v="1"/>
    <n v="0"/>
    <x v="1"/>
    <n v="1"/>
    <m/>
    <s v="document"/>
    <n v="50"/>
    <n v="50"/>
  </r>
  <r>
    <s v="JP-8-foia"/>
    <x v="29"/>
    <s v="JP-8"/>
    <x v="15"/>
    <s v="foia"/>
    <x v="36"/>
    <x v="2"/>
    <x v="6"/>
    <x v="7"/>
    <n v="1"/>
    <n v="3.3300000000000003E-2"/>
    <x v="0"/>
    <x v="5"/>
    <n v="66.66"/>
    <x v="6"/>
    <n v="0"/>
    <n v="0"/>
    <s v="less than quarterly"/>
    <n v="0.5"/>
    <n v="1"/>
    <n v="0"/>
    <x v="3"/>
    <n v="0"/>
    <n v="66.66"/>
    <m/>
    <n v="0"/>
    <n v="66.66"/>
  </r>
  <r>
    <s v="JP-8-accessibility"/>
    <x v="29"/>
    <s v="JP-8"/>
    <x v="7"/>
    <s v="accessibility"/>
    <x v="37"/>
    <x v="2"/>
    <x v="6"/>
    <x v="7"/>
    <n v="3"/>
    <n v="3.3300000000000003E-2"/>
    <x v="0"/>
    <x v="5"/>
    <n v="33.33"/>
    <x v="1"/>
    <n v="0"/>
    <n v="0"/>
    <s v="less than quarterly"/>
    <n v="0.5"/>
    <n v="1"/>
    <n v="0"/>
    <x v="3"/>
    <n v="0"/>
    <n v="33.33"/>
    <m/>
    <n v="0"/>
    <n v="33.33"/>
  </r>
  <r>
    <s v="JP-8-implementation-schedules"/>
    <x v="29"/>
    <s v="JP-8"/>
    <x v="0"/>
    <s v="implementation-schedules"/>
    <x v="38"/>
    <x v="2"/>
    <x v="6"/>
    <x v="7"/>
    <n v="2"/>
    <n v="3.3300000000000003E-2"/>
    <x v="0"/>
    <x v="5"/>
    <n v="0"/>
    <x v="0"/>
    <n v="0"/>
    <n v="0"/>
    <s v="less than quarterly"/>
    <n v="0.5"/>
    <n v="1"/>
    <n v="0"/>
    <x v="3"/>
    <n v="0"/>
    <n v="0"/>
    <m/>
    <n v="0"/>
    <n v="0"/>
  </r>
  <r>
    <s v="GB-3-dates-actual"/>
    <x v="30"/>
    <s v="GB-3"/>
    <x v="26"/>
    <s v="dates-actual"/>
    <x v="0"/>
    <x v="0"/>
    <x v="0"/>
    <x v="0"/>
    <n v="17"/>
    <n v="1.6299999999999999E-2"/>
    <x v="1"/>
    <x v="6"/>
    <n v="50"/>
    <x v="12"/>
    <n v="100"/>
    <n v="50"/>
    <s v="quarterly"/>
    <n v="0.9"/>
    <n v="0.9"/>
    <n v="45"/>
    <x v="3"/>
    <m/>
    <m/>
    <m/>
    <m/>
    <n v="0"/>
  </r>
  <r>
    <s v="GB-3-current-status"/>
    <x v="30"/>
    <s v="GB-3"/>
    <x v="26"/>
    <s v="current-status"/>
    <x v="2"/>
    <x v="0"/>
    <x v="0"/>
    <x v="0"/>
    <n v="18"/>
    <n v="1.6299999999999999E-2"/>
    <x v="1"/>
    <x v="6"/>
    <n v="50"/>
    <x v="12"/>
    <n v="100"/>
    <n v="50"/>
    <s v="quarterly"/>
    <n v="0.9"/>
    <n v="0.9"/>
    <n v="45"/>
    <x v="3"/>
    <m/>
    <m/>
    <m/>
    <m/>
    <n v="0"/>
  </r>
  <r>
    <s v="GB-3-description"/>
    <x v="30"/>
    <s v="GB-3"/>
    <x v="148"/>
    <s v="description"/>
    <x v="3"/>
    <x v="0"/>
    <x v="0"/>
    <x v="0"/>
    <n v="15"/>
    <n v="1.6299999999999999E-2"/>
    <x v="1"/>
    <x v="6"/>
    <n v="50"/>
    <x v="109"/>
    <n v="94.0130963517"/>
    <n v="47.006548175900001"/>
    <s v="quarterly"/>
    <n v="0.9"/>
    <n v="0.9"/>
    <n v="42.305893358299997"/>
    <x v="3"/>
    <m/>
    <m/>
    <m/>
    <m/>
    <n v="0"/>
  </r>
  <r>
    <s v="GB-3-dates-planned"/>
    <x v="30"/>
    <s v="GB-3"/>
    <x v="28"/>
    <s v="dates-planned"/>
    <x v="5"/>
    <x v="0"/>
    <x v="0"/>
    <x v="0"/>
    <n v="16"/>
    <n v="1.6299999999999999E-2"/>
    <x v="1"/>
    <x v="6"/>
    <n v="50"/>
    <x v="14"/>
    <n v="50"/>
    <n v="25"/>
    <s v="quarterly"/>
    <n v="0.9"/>
    <n v="0.9"/>
    <n v="22.5"/>
    <x v="3"/>
    <m/>
    <m/>
    <m/>
    <m/>
    <n v="0"/>
  </r>
  <r>
    <s v="GB-3-title"/>
    <x v="30"/>
    <s v="GB-3"/>
    <x v="149"/>
    <s v="title"/>
    <x v="6"/>
    <x v="0"/>
    <x v="0"/>
    <x v="0"/>
    <n v="14"/>
    <n v="1.6299999999999999E-2"/>
    <x v="1"/>
    <x v="6"/>
    <n v="50"/>
    <x v="110"/>
    <n v="99.4948550047"/>
    <n v="49.747427502299999"/>
    <s v="quarterly"/>
    <n v="0.9"/>
    <n v="0.9"/>
    <n v="44.772684752099998"/>
    <x v="3"/>
    <m/>
    <m/>
    <m/>
    <m/>
    <n v="0"/>
  </r>
  <r>
    <s v="GB-3-unique-id"/>
    <x v="30"/>
    <s v="GB-3"/>
    <x v="26"/>
    <s v="unique-id"/>
    <x v="7"/>
    <x v="0"/>
    <x v="0"/>
    <x v="0"/>
    <n v="13"/>
    <n v="1.6299999999999999E-2"/>
    <x v="1"/>
    <x v="6"/>
    <n v="50"/>
    <x v="12"/>
    <n v="100"/>
    <n v="50"/>
    <s v="quarterly"/>
    <n v="0.9"/>
    <n v="0.9"/>
    <n v="45"/>
    <x v="3"/>
    <m/>
    <m/>
    <m/>
    <m/>
    <n v="0"/>
  </r>
  <r>
    <s v="GB-3-aid-type"/>
    <x v="30"/>
    <s v="GB-3"/>
    <x v="150"/>
    <s v="aid-type"/>
    <x v="8"/>
    <x v="0"/>
    <x v="1"/>
    <x v="1"/>
    <n v="22"/>
    <n v="1.8599999999999998E-2"/>
    <x v="1"/>
    <x v="6"/>
    <n v="50"/>
    <x v="111"/>
    <n v="87.848456501399994"/>
    <n v="43.924228250699997"/>
    <s v="quarterly"/>
    <n v="0.9"/>
    <n v="0.9"/>
    <n v="39.531805425599998"/>
    <x v="3"/>
    <m/>
    <m/>
    <m/>
    <m/>
    <n v="0"/>
  </r>
  <r>
    <s v="GB-3-finance-type"/>
    <x v="30"/>
    <s v="GB-3"/>
    <x v="151"/>
    <s v="finance-type"/>
    <x v="10"/>
    <x v="0"/>
    <x v="1"/>
    <x v="1"/>
    <n v="23"/>
    <n v="1.8599999999999998E-2"/>
    <x v="1"/>
    <x v="6"/>
    <n v="50"/>
    <x v="112"/>
    <n v="68.241347053300004"/>
    <n v="34.120673526700003"/>
    <s v="quarterly"/>
    <n v="0.9"/>
    <n v="0.9"/>
    <n v="30.708606174"/>
    <x v="3"/>
    <m/>
    <m/>
    <m/>
    <m/>
    <n v="0"/>
  </r>
  <r>
    <s v="GB-3-flow-type"/>
    <x v="30"/>
    <s v="GB-3"/>
    <x v="152"/>
    <s v="flow-type"/>
    <x v="11"/>
    <x v="0"/>
    <x v="1"/>
    <x v="1"/>
    <n v="21"/>
    <n v="1.8599999999999998E-2"/>
    <x v="1"/>
    <x v="6"/>
    <n v="50"/>
    <x v="113"/>
    <n v="99.981290926100002"/>
    <n v="49.990645463"/>
    <s v="quarterly"/>
    <n v="0.9"/>
    <n v="0.9"/>
    <n v="44.991580916700002"/>
    <x v="3"/>
    <m/>
    <m/>
    <m/>
    <m/>
    <n v="0"/>
  </r>
  <r>
    <s v="GB-3-sector"/>
    <x v="30"/>
    <s v="GB-3"/>
    <x v="153"/>
    <s v="sector"/>
    <x v="12"/>
    <x v="0"/>
    <x v="1"/>
    <x v="1"/>
    <n v="24"/>
    <n v="1.8599999999999998E-2"/>
    <x v="1"/>
    <x v="6"/>
    <n v="50"/>
    <x v="114"/>
    <n v="78.269410664199995"/>
    <n v="39.134705332099998"/>
    <s v="quarterly"/>
    <n v="0.9"/>
    <n v="0.9"/>
    <n v="35.221234798899999"/>
    <x v="3"/>
    <m/>
    <m/>
    <m/>
    <m/>
    <n v="0"/>
  </r>
  <r>
    <s v="GB-3-expenditure-actual"/>
    <x v="30"/>
    <s v="GB-3"/>
    <x v="60"/>
    <s v="expenditure-actual"/>
    <x v="15"/>
    <x v="0"/>
    <x v="2"/>
    <x v="2"/>
    <n v="35"/>
    <n v="3.2500000000000001E-2"/>
    <x v="1"/>
    <x v="6"/>
    <n v="50"/>
    <x v="12"/>
    <n v="100"/>
    <n v="50"/>
    <s v="quarterly"/>
    <n v="0.9"/>
    <n v="0.9"/>
    <n v="45"/>
    <x v="3"/>
    <m/>
    <m/>
    <m/>
    <m/>
    <n v="0"/>
  </r>
  <r>
    <s v="GB-3-contact-details"/>
    <x v="30"/>
    <s v="GB-3"/>
    <x v="0"/>
    <s v="contact-details"/>
    <x v="1"/>
    <x v="0"/>
    <x v="0"/>
    <x v="0"/>
    <n v="19"/>
    <n v="1.6299999999999999E-2"/>
    <x v="0"/>
    <x v="0"/>
    <n v="0"/>
    <x v="0"/>
    <n v="0"/>
    <n v="0"/>
    <s v="quarterly"/>
    <n v="0.9"/>
    <n v="1"/>
    <n v="0"/>
    <x v="0"/>
    <n v="0"/>
    <m/>
    <m/>
    <n v="0"/>
    <n v="0"/>
  </r>
  <r>
    <s v="GB-3-implementer"/>
    <x v="30"/>
    <s v="GB-3"/>
    <x v="0"/>
    <s v="implementer"/>
    <x v="4"/>
    <x v="0"/>
    <x v="0"/>
    <x v="0"/>
    <n v="12"/>
    <n v="1.6299999999999999E-2"/>
    <x v="0"/>
    <x v="0"/>
    <n v="0"/>
    <x v="0"/>
    <n v="0"/>
    <n v="0"/>
    <s v="quarterly"/>
    <n v="0.9"/>
    <n v="1"/>
    <n v="0"/>
    <x v="0"/>
    <n v="0"/>
    <m/>
    <m/>
    <n v="0"/>
    <n v="0"/>
  </r>
  <r>
    <s v="GB-3-collaboration-type"/>
    <x v="30"/>
    <s v="GB-3"/>
    <x v="12"/>
    <s v="collaboration-type"/>
    <x v="9"/>
    <x v="0"/>
    <x v="1"/>
    <x v="1"/>
    <n v="20"/>
    <n v="1.8599999999999998E-2"/>
    <x v="0"/>
    <x v="4"/>
    <n v="50"/>
    <x v="2"/>
    <n v="0"/>
    <n v="0"/>
    <s v="quarterly"/>
    <n v="0.9"/>
    <n v="1"/>
    <n v="0"/>
    <x v="1"/>
    <n v="1"/>
    <m/>
    <s v="machine-readable"/>
    <n v="50"/>
    <n v="50"/>
  </r>
  <r>
    <s v="GB-3-location"/>
    <x v="30"/>
    <s v="GB-3"/>
    <x v="0"/>
    <s v="location"/>
    <x v="13"/>
    <x v="0"/>
    <x v="1"/>
    <x v="1"/>
    <n v="25"/>
    <n v="1.8599999999999998E-2"/>
    <x v="0"/>
    <x v="0"/>
    <n v="0"/>
    <x v="0"/>
    <n v="0"/>
    <n v="0"/>
    <s v="quarterly"/>
    <n v="0.9"/>
    <n v="1"/>
    <n v="0"/>
    <x v="0"/>
    <n v="0"/>
    <m/>
    <m/>
    <n v="0"/>
    <n v="0"/>
  </r>
  <r>
    <s v="GB-3-tied-aid-status"/>
    <x v="30"/>
    <s v="GB-3"/>
    <x v="12"/>
    <s v="tied-aid-status"/>
    <x v="14"/>
    <x v="0"/>
    <x v="1"/>
    <x v="1"/>
    <n v="26"/>
    <n v="1.8599999999999998E-2"/>
    <x v="0"/>
    <x v="4"/>
    <n v="50"/>
    <x v="2"/>
    <n v="0"/>
    <n v="0"/>
    <s v="quarterly"/>
    <n v="0.9"/>
    <n v="1"/>
    <n v="0"/>
    <x v="1"/>
    <n v="1"/>
    <m/>
    <s v="machine-readable"/>
    <n v="50"/>
    <n v="50"/>
  </r>
  <r>
    <s v="GB-3-cost-overall"/>
    <x v="30"/>
    <s v="GB-3"/>
    <x v="0"/>
    <s v="cost-overall"/>
    <x v="16"/>
    <x v="0"/>
    <x v="2"/>
    <x v="2"/>
    <n v="33"/>
    <n v="3.2500000000000001E-2"/>
    <x v="0"/>
    <x v="0"/>
    <n v="0"/>
    <x v="0"/>
    <n v="0"/>
    <n v="0"/>
    <s v="quarterly"/>
    <n v="0.9"/>
    <n v="1"/>
    <n v="0"/>
    <x v="0"/>
    <n v="0"/>
    <m/>
    <m/>
    <n v="0"/>
    <n v="0"/>
  </r>
  <r>
    <s v="GB-3-expenditure-planned"/>
    <x v="30"/>
    <s v="GB-3"/>
    <x v="14"/>
    <s v="expenditure-planned"/>
    <x v="17"/>
    <x v="0"/>
    <x v="2"/>
    <x v="2"/>
    <n v="34"/>
    <n v="3.2500000000000001E-2"/>
    <x v="0"/>
    <x v="4"/>
    <n v="50"/>
    <x v="2"/>
    <n v="0"/>
    <n v="0"/>
    <s v="quarterly"/>
    <n v="0.9"/>
    <n v="1"/>
    <n v="0"/>
    <x v="1"/>
    <n v="1"/>
    <m/>
    <s v="machine-readable"/>
    <n v="50"/>
    <n v="50"/>
  </r>
  <r>
    <s v="GB-3-budget-identifier"/>
    <x v="30"/>
    <s v="GB-3"/>
    <x v="0"/>
    <s v="budget-identifier"/>
    <x v="18"/>
    <x v="0"/>
    <x v="2"/>
    <x v="2"/>
    <n v="36"/>
    <n v="3.2500000000000001E-2"/>
    <x v="0"/>
    <x v="0"/>
    <n v="0"/>
    <x v="0"/>
    <n v="0"/>
    <n v="0"/>
    <s v="quarterly"/>
    <n v="0.9"/>
    <n v="1"/>
    <n v="0"/>
    <x v="0"/>
    <n v="0"/>
    <m/>
    <m/>
    <n v="0"/>
    <n v="0"/>
  </r>
  <r>
    <s v="GB-3-conditions"/>
    <x v="30"/>
    <s v="GB-3"/>
    <x v="0"/>
    <s v="conditions"/>
    <x v="19"/>
    <x v="0"/>
    <x v="3"/>
    <x v="3"/>
    <n v="39"/>
    <n v="4.3299999999999998E-2"/>
    <x v="0"/>
    <x v="2"/>
    <n v="0"/>
    <x v="0"/>
    <n v="0"/>
    <n v="0"/>
    <s v="quarterly"/>
    <n v="0.9"/>
    <n v="1"/>
    <n v="0"/>
    <x v="0"/>
    <n v="0"/>
    <m/>
    <s v="document"/>
    <n v="50"/>
    <n v="0"/>
  </r>
  <r>
    <s v="GB-3-impact-appraisals"/>
    <x v="30"/>
    <s v="GB-3"/>
    <x v="0"/>
    <s v="impact-appraisals"/>
    <x v="20"/>
    <x v="0"/>
    <x v="3"/>
    <x v="3"/>
    <n v="38"/>
    <n v="4.3299999999999998E-2"/>
    <x v="0"/>
    <x v="2"/>
    <n v="0"/>
    <x v="0"/>
    <n v="0"/>
    <n v="0"/>
    <s v="quarterly"/>
    <n v="0.9"/>
    <n v="1"/>
    <n v="0"/>
    <x v="0"/>
    <n v="0"/>
    <m/>
    <s v="document"/>
    <n v="50"/>
    <n v="0"/>
  </r>
  <r>
    <s v="GB-3-results"/>
    <x v="30"/>
    <s v="GB-3"/>
    <x v="0"/>
    <s v="results"/>
    <x v="21"/>
    <x v="0"/>
    <x v="3"/>
    <x v="3"/>
    <n v="37"/>
    <n v="4.3299999999999998E-2"/>
    <x v="0"/>
    <x v="3"/>
    <n v="0"/>
    <x v="0"/>
    <n v="0"/>
    <n v="0"/>
    <s v="quarterly"/>
    <n v="0.9"/>
    <n v="1"/>
    <n v="0"/>
    <x v="2"/>
    <n v="0"/>
    <m/>
    <s v="pdf"/>
    <n v="16.664999999999999"/>
    <n v="0"/>
  </r>
  <r>
    <s v="GB-3-budget"/>
    <x v="30"/>
    <s v="GB-3"/>
    <x v="0"/>
    <s v="budget"/>
    <x v="22"/>
    <x v="0"/>
    <x v="4"/>
    <x v="4"/>
    <n v="30"/>
    <n v="2.1700000000000001E-2"/>
    <x v="0"/>
    <x v="2"/>
    <n v="0"/>
    <x v="0"/>
    <n v="0"/>
    <n v="0"/>
    <s v="quarterly"/>
    <n v="0.9"/>
    <n v="1"/>
    <n v="0"/>
    <x v="0"/>
    <n v="0"/>
    <m/>
    <s v="document"/>
    <n v="50"/>
    <n v="0"/>
  </r>
  <r>
    <s v="GB-3-contracts"/>
    <x v="30"/>
    <s v="GB-3"/>
    <x v="0"/>
    <s v="contracts"/>
    <x v="23"/>
    <x v="0"/>
    <x v="4"/>
    <x v="4"/>
    <n v="31"/>
    <n v="2.1700000000000001E-2"/>
    <x v="0"/>
    <x v="2"/>
    <n v="0"/>
    <x v="0"/>
    <n v="0"/>
    <n v="0"/>
    <s v="quarterly"/>
    <n v="0.9"/>
    <n v="1"/>
    <n v="0"/>
    <x v="0"/>
    <n v="0"/>
    <m/>
    <s v="document"/>
    <n v="50"/>
    <n v="0"/>
  </r>
  <r>
    <s v="GB-3-evaluations"/>
    <x v="30"/>
    <s v="GB-3"/>
    <x v="3"/>
    <s v="evaluations"/>
    <x v="24"/>
    <x v="0"/>
    <x v="4"/>
    <x v="4"/>
    <n v="28"/>
    <n v="2.1700000000000001E-2"/>
    <x v="0"/>
    <x v="2"/>
    <n v="50"/>
    <x v="2"/>
    <n v="0"/>
    <n v="0"/>
    <s v="quarterly"/>
    <n v="0.9"/>
    <n v="1"/>
    <n v="0"/>
    <x v="1"/>
    <n v="1"/>
    <m/>
    <s v="document"/>
    <n v="50"/>
    <n v="50"/>
  </r>
  <r>
    <s v="GB-3-mou"/>
    <x v="30"/>
    <s v="GB-3"/>
    <x v="0"/>
    <s v="mou"/>
    <x v="25"/>
    <x v="0"/>
    <x v="4"/>
    <x v="4"/>
    <n v="27"/>
    <n v="2.1700000000000001E-2"/>
    <x v="0"/>
    <x v="2"/>
    <n v="0"/>
    <x v="0"/>
    <n v="0"/>
    <n v="0"/>
    <s v="quarterly"/>
    <n v="0.9"/>
    <n v="1"/>
    <n v="0"/>
    <x v="0"/>
    <n v="0"/>
    <m/>
    <s v="document"/>
    <n v="50"/>
    <n v="0"/>
  </r>
  <r>
    <s v="GB-3-objectives"/>
    <x v="30"/>
    <s v="GB-3"/>
    <x v="0"/>
    <s v="objectives"/>
    <x v="26"/>
    <x v="0"/>
    <x v="4"/>
    <x v="4"/>
    <n v="29"/>
    <n v="2.1700000000000001E-2"/>
    <x v="0"/>
    <x v="2"/>
    <n v="0"/>
    <x v="0"/>
    <n v="0"/>
    <n v="0"/>
    <s v="quarterly"/>
    <n v="0.9"/>
    <n v="1"/>
    <n v="0"/>
    <x v="0"/>
    <n v="0"/>
    <m/>
    <s v="document"/>
    <n v="50"/>
    <n v="0"/>
  </r>
  <r>
    <s v="GB-3-tenders"/>
    <x v="30"/>
    <s v="GB-3"/>
    <x v="0"/>
    <s v="tenders"/>
    <x v="27"/>
    <x v="0"/>
    <x v="4"/>
    <x v="4"/>
    <n v="32"/>
    <n v="2.1700000000000001E-2"/>
    <x v="0"/>
    <x v="2"/>
    <n v="0"/>
    <x v="0"/>
    <n v="0"/>
    <n v="0"/>
    <s v="quarterly"/>
    <n v="0.9"/>
    <n v="1"/>
    <n v="0"/>
    <x v="0"/>
    <n v="0"/>
    <m/>
    <s v="document"/>
    <n v="50"/>
    <n v="0"/>
  </r>
  <r>
    <s v="GB-3-audit"/>
    <x v="30"/>
    <s v="GB-3"/>
    <x v="4"/>
    <s v="audit"/>
    <x v="28"/>
    <x v="1"/>
    <x v="2"/>
    <x v="5"/>
    <n v="11"/>
    <n v="4.1700000000000001E-2"/>
    <x v="0"/>
    <x v="2"/>
    <n v="50"/>
    <x v="2"/>
    <n v="0"/>
    <n v="0"/>
    <s v="quarterly"/>
    <n v="0.9"/>
    <n v="1"/>
    <n v="0"/>
    <x v="1"/>
    <n v="1"/>
    <m/>
    <s v="document"/>
    <n v="50"/>
    <n v="50"/>
  </r>
  <r>
    <s v="GB-3-total-budget"/>
    <x v="30"/>
    <s v="GB-3"/>
    <x v="24"/>
    <s v="total-budget"/>
    <x v="29"/>
    <x v="1"/>
    <x v="2"/>
    <x v="5"/>
    <n v="9"/>
    <n v="4.1700000000000001E-2"/>
    <x v="0"/>
    <x v="3"/>
    <n v="5.5549999999999997"/>
    <x v="10"/>
    <n v="0"/>
    <n v="0"/>
    <s v="quarterly"/>
    <n v="0.9"/>
    <n v="1"/>
    <n v="0"/>
    <x v="3"/>
    <n v="0"/>
    <n v="1"/>
    <s v="pdf"/>
    <n v="16.664999999999999"/>
    <n v="5.5549999999999997"/>
  </r>
  <r>
    <s v="GB-3-disaggregated-budgets"/>
    <x v="30"/>
    <s v="GB-3"/>
    <x v="0"/>
    <s v="disaggregated-budgets"/>
    <x v="30"/>
    <x v="1"/>
    <x v="2"/>
    <x v="5"/>
    <n v="10"/>
    <n v="4.1700000000000001E-2"/>
    <x v="0"/>
    <x v="0"/>
    <n v="0"/>
    <x v="0"/>
    <n v="0"/>
    <n v="0"/>
    <s v="quarterly"/>
    <n v="0.9"/>
    <n v="1"/>
    <n v="0"/>
    <x v="3"/>
    <n v="0"/>
    <n v="0"/>
    <m/>
    <n v="0"/>
    <n v="0"/>
  </r>
  <r>
    <s v="GB-3-strategy"/>
    <x v="30"/>
    <s v="GB-3"/>
    <x v="6"/>
    <s v="strategy"/>
    <x v="31"/>
    <x v="1"/>
    <x v="5"/>
    <x v="6"/>
    <n v="4"/>
    <n v="2.5000000000000001E-2"/>
    <x v="0"/>
    <x v="2"/>
    <n v="50"/>
    <x v="2"/>
    <n v="0"/>
    <n v="0"/>
    <s v="quarterly"/>
    <n v="0.9"/>
    <n v="1"/>
    <n v="0"/>
    <x v="1"/>
    <n v="1"/>
    <m/>
    <s v="document"/>
    <n v="50"/>
    <n v="50"/>
  </r>
  <r>
    <s v="GB-3-annual-report"/>
    <x v="30"/>
    <s v="GB-3"/>
    <x v="6"/>
    <s v="annual-report"/>
    <x v="32"/>
    <x v="1"/>
    <x v="5"/>
    <x v="6"/>
    <n v="5"/>
    <n v="2.5000000000000001E-2"/>
    <x v="0"/>
    <x v="2"/>
    <n v="50"/>
    <x v="2"/>
    <n v="0"/>
    <n v="0"/>
    <s v="quarterly"/>
    <n v="0.9"/>
    <n v="1"/>
    <n v="0"/>
    <x v="1"/>
    <n v="1"/>
    <m/>
    <s v="document"/>
    <n v="50"/>
    <n v="50"/>
  </r>
  <r>
    <s v="GB-3-allocation"/>
    <x v="30"/>
    <s v="GB-3"/>
    <x v="0"/>
    <s v="allocation"/>
    <x v="33"/>
    <x v="1"/>
    <x v="5"/>
    <x v="6"/>
    <n v="6"/>
    <n v="2.5000000000000001E-2"/>
    <x v="0"/>
    <x v="2"/>
    <n v="0"/>
    <x v="0"/>
    <n v="0"/>
    <n v="0"/>
    <s v="quarterly"/>
    <n v="0.9"/>
    <n v="1"/>
    <n v="0"/>
    <x v="0"/>
    <n v="0"/>
    <m/>
    <s v="document"/>
    <n v="50"/>
    <n v="0"/>
  </r>
  <r>
    <s v="GB-3-procurement-policy"/>
    <x v="30"/>
    <s v="GB-3"/>
    <x v="6"/>
    <s v="procurement-policy"/>
    <x v="34"/>
    <x v="1"/>
    <x v="5"/>
    <x v="6"/>
    <n v="7"/>
    <n v="2.5000000000000001E-2"/>
    <x v="0"/>
    <x v="2"/>
    <n v="50"/>
    <x v="2"/>
    <n v="0"/>
    <n v="0"/>
    <s v="quarterly"/>
    <n v="0.9"/>
    <n v="1"/>
    <n v="0"/>
    <x v="1"/>
    <n v="1"/>
    <m/>
    <s v="document"/>
    <n v="50"/>
    <n v="50"/>
  </r>
  <r>
    <s v="GB-3-country-strategy"/>
    <x v="30"/>
    <s v="GB-3"/>
    <x v="6"/>
    <s v="country-strategy"/>
    <x v="35"/>
    <x v="1"/>
    <x v="5"/>
    <x v="6"/>
    <n v="8"/>
    <n v="2.5000000000000001E-2"/>
    <x v="0"/>
    <x v="2"/>
    <n v="50"/>
    <x v="2"/>
    <n v="0"/>
    <n v="0"/>
    <s v="quarterly"/>
    <n v="0.9"/>
    <n v="1"/>
    <n v="0"/>
    <x v="1"/>
    <n v="1"/>
    <m/>
    <s v="document"/>
    <n v="50"/>
    <n v="50"/>
  </r>
  <r>
    <s v="GB-3-foia"/>
    <x v="30"/>
    <s v="GB-3"/>
    <x v="10"/>
    <s v="foia"/>
    <x v="36"/>
    <x v="2"/>
    <x v="6"/>
    <x v="7"/>
    <n v="1"/>
    <n v="3.3300000000000003E-2"/>
    <x v="0"/>
    <x v="5"/>
    <n v="100"/>
    <x v="5"/>
    <n v="0"/>
    <n v="0"/>
    <s v="quarterly"/>
    <n v="0.9"/>
    <n v="1"/>
    <n v="0"/>
    <x v="3"/>
    <n v="0"/>
    <n v="100"/>
    <m/>
    <n v="0"/>
    <n v="100"/>
  </r>
  <r>
    <s v="GB-3-accessibility"/>
    <x v="30"/>
    <s v="GB-3"/>
    <x v="0"/>
    <s v="accessibility"/>
    <x v="37"/>
    <x v="2"/>
    <x v="6"/>
    <x v="7"/>
    <n v="3"/>
    <n v="3.3300000000000003E-2"/>
    <x v="0"/>
    <x v="5"/>
    <n v="0"/>
    <x v="0"/>
    <n v="0"/>
    <n v="0"/>
    <s v="quarterly"/>
    <n v="0.9"/>
    <n v="1"/>
    <n v="0"/>
    <x v="3"/>
    <n v="0"/>
    <n v="0"/>
    <m/>
    <n v="0"/>
    <n v="0"/>
  </r>
  <r>
    <s v="GB-3-implementation-schedules"/>
    <x v="30"/>
    <s v="GB-3"/>
    <x v="154"/>
    <s v="implementation-schedules"/>
    <x v="38"/>
    <x v="2"/>
    <x v="6"/>
    <x v="7"/>
    <n v="2"/>
    <n v="3.3300000000000003E-2"/>
    <x v="0"/>
    <x v="5"/>
    <n v="63"/>
    <x v="115"/>
    <n v="0"/>
    <n v="0"/>
    <s v="quarterly"/>
    <n v="0.9"/>
    <n v="1"/>
    <n v="0"/>
    <x v="3"/>
    <n v="0"/>
    <n v="63"/>
    <m/>
    <n v="0"/>
    <n v="63"/>
  </r>
  <r>
    <s v="46002-dates-actual"/>
    <x v="31"/>
    <n v="46002"/>
    <x v="155"/>
    <s v="dates-actual"/>
    <x v="0"/>
    <x v="0"/>
    <x v="0"/>
    <x v="0"/>
    <n v="17"/>
    <n v="1.6299999999999999E-2"/>
    <x v="1"/>
    <x v="6"/>
    <n v="50"/>
    <x v="116"/>
    <n v="83.587765957399995"/>
    <n v="41.793882978699997"/>
    <s v="quarterly"/>
    <n v="0.9"/>
    <n v="0.9"/>
    <n v="37.614494680900002"/>
    <x v="3"/>
    <m/>
    <m/>
    <m/>
    <m/>
    <n v="0"/>
  </r>
  <r>
    <s v="46002-contact-details"/>
    <x v="31"/>
    <n v="46002"/>
    <x v="26"/>
    <s v="contact-details"/>
    <x v="1"/>
    <x v="0"/>
    <x v="0"/>
    <x v="0"/>
    <n v="19"/>
    <n v="1.6299999999999999E-2"/>
    <x v="1"/>
    <x v="6"/>
    <n v="50"/>
    <x v="12"/>
    <n v="100"/>
    <n v="50"/>
    <s v="quarterly"/>
    <n v="0.9"/>
    <n v="0.9"/>
    <n v="45"/>
    <x v="3"/>
    <m/>
    <m/>
    <m/>
    <m/>
    <n v="0"/>
  </r>
  <r>
    <s v="46002-current-status"/>
    <x v="31"/>
    <n v="46002"/>
    <x v="26"/>
    <s v="current-status"/>
    <x v="2"/>
    <x v="0"/>
    <x v="0"/>
    <x v="0"/>
    <n v="18"/>
    <n v="1.6299999999999999E-2"/>
    <x v="1"/>
    <x v="6"/>
    <n v="50"/>
    <x v="12"/>
    <n v="100"/>
    <n v="50"/>
    <s v="quarterly"/>
    <n v="0.9"/>
    <n v="0.9"/>
    <n v="45"/>
    <x v="3"/>
    <m/>
    <m/>
    <m/>
    <m/>
    <n v="0"/>
  </r>
  <r>
    <s v="46002-description"/>
    <x v="31"/>
    <n v="46002"/>
    <x v="156"/>
    <s v="description"/>
    <x v="3"/>
    <x v="0"/>
    <x v="0"/>
    <x v="0"/>
    <n v="15"/>
    <n v="1.6299999999999999E-2"/>
    <x v="1"/>
    <x v="6"/>
    <n v="50"/>
    <x v="117"/>
    <n v="73.4375"/>
    <n v="36.71875"/>
    <s v="quarterly"/>
    <n v="0.9"/>
    <n v="0.9"/>
    <n v="33.046875"/>
    <x v="3"/>
    <m/>
    <m/>
    <m/>
    <m/>
    <n v="0"/>
  </r>
  <r>
    <s v="46002-implementer"/>
    <x v="31"/>
    <n v="46002"/>
    <x v="157"/>
    <s v="implementer"/>
    <x v="4"/>
    <x v="0"/>
    <x v="0"/>
    <x v="0"/>
    <n v="12"/>
    <n v="1.6299999999999999E-2"/>
    <x v="1"/>
    <x v="6"/>
    <n v="50"/>
    <x v="118"/>
    <n v="97.125"/>
    <n v="48.5625"/>
    <s v="quarterly"/>
    <n v="0.9"/>
    <n v="0.9"/>
    <n v="43.706249999999997"/>
    <x v="3"/>
    <m/>
    <m/>
    <m/>
    <m/>
    <n v="0"/>
  </r>
  <r>
    <s v="46002-dates-planned"/>
    <x v="31"/>
    <n v="46002"/>
    <x v="158"/>
    <s v="dates-planned"/>
    <x v="5"/>
    <x v="0"/>
    <x v="0"/>
    <x v="0"/>
    <n v="16"/>
    <n v="1.6299999999999999E-2"/>
    <x v="1"/>
    <x v="6"/>
    <n v="50"/>
    <x v="119"/>
    <n v="99.25"/>
    <n v="49.625"/>
    <s v="quarterly"/>
    <n v="0.9"/>
    <n v="0.9"/>
    <n v="44.662500000000001"/>
    <x v="3"/>
    <m/>
    <m/>
    <m/>
    <m/>
    <n v="0"/>
  </r>
  <r>
    <s v="46002-title"/>
    <x v="31"/>
    <n v="46002"/>
    <x v="159"/>
    <s v="title"/>
    <x v="6"/>
    <x v="0"/>
    <x v="0"/>
    <x v="0"/>
    <n v="14"/>
    <n v="1.6299999999999999E-2"/>
    <x v="1"/>
    <x v="6"/>
    <n v="50"/>
    <x v="120"/>
    <n v="99.5625"/>
    <n v="49.78125"/>
    <s v="quarterly"/>
    <n v="0.9"/>
    <n v="0.9"/>
    <n v="44.803125000000001"/>
    <x v="3"/>
    <m/>
    <m/>
    <m/>
    <m/>
    <n v="0"/>
  </r>
  <r>
    <s v="46002-unique-id"/>
    <x v="31"/>
    <n v="46002"/>
    <x v="26"/>
    <s v="unique-id"/>
    <x v="7"/>
    <x v="0"/>
    <x v="0"/>
    <x v="0"/>
    <n v="13"/>
    <n v="1.6299999999999999E-2"/>
    <x v="1"/>
    <x v="6"/>
    <n v="50"/>
    <x v="12"/>
    <n v="100"/>
    <n v="50"/>
    <s v="quarterly"/>
    <n v="0.9"/>
    <n v="0.9"/>
    <n v="45"/>
    <x v="3"/>
    <m/>
    <m/>
    <m/>
    <m/>
    <n v="0"/>
  </r>
  <r>
    <s v="46002-aid-type"/>
    <x v="31"/>
    <n v="46002"/>
    <x v="160"/>
    <s v="aid-type"/>
    <x v="8"/>
    <x v="0"/>
    <x v="1"/>
    <x v="1"/>
    <n v="22"/>
    <n v="1.8599999999999998E-2"/>
    <x v="1"/>
    <x v="6"/>
    <n v="50"/>
    <x v="121"/>
    <n v="98.5"/>
    <n v="49.25"/>
    <s v="quarterly"/>
    <n v="0.9"/>
    <n v="0.9"/>
    <n v="44.325000000000003"/>
    <x v="3"/>
    <m/>
    <m/>
    <m/>
    <m/>
    <n v="0"/>
  </r>
  <r>
    <s v="46002-collaboration-type"/>
    <x v="31"/>
    <n v="46002"/>
    <x v="29"/>
    <s v="collaboration-type"/>
    <x v="9"/>
    <x v="0"/>
    <x v="1"/>
    <x v="1"/>
    <n v="20"/>
    <n v="1.8599999999999998E-2"/>
    <x v="1"/>
    <x v="6"/>
    <n v="50"/>
    <x v="12"/>
    <n v="100"/>
    <n v="50"/>
    <s v="quarterly"/>
    <n v="0.9"/>
    <n v="0.9"/>
    <n v="45"/>
    <x v="3"/>
    <m/>
    <m/>
    <m/>
    <m/>
    <n v="0"/>
  </r>
  <r>
    <s v="46002-finance-type"/>
    <x v="31"/>
    <n v="46002"/>
    <x v="160"/>
    <s v="finance-type"/>
    <x v="10"/>
    <x v="0"/>
    <x v="1"/>
    <x v="1"/>
    <n v="23"/>
    <n v="1.8599999999999998E-2"/>
    <x v="1"/>
    <x v="6"/>
    <n v="50"/>
    <x v="121"/>
    <n v="98.5"/>
    <n v="49.25"/>
    <s v="quarterly"/>
    <n v="0.9"/>
    <n v="0.9"/>
    <n v="44.325000000000003"/>
    <x v="3"/>
    <m/>
    <m/>
    <m/>
    <m/>
    <n v="0"/>
  </r>
  <r>
    <s v="46002-flow-type"/>
    <x v="31"/>
    <n v="46002"/>
    <x v="29"/>
    <s v="flow-type"/>
    <x v="11"/>
    <x v="0"/>
    <x v="1"/>
    <x v="1"/>
    <n v="21"/>
    <n v="1.8599999999999998E-2"/>
    <x v="1"/>
    <x v="6"/>
    <n v="50"/>
    <x v="12"/>
    <n v="100"/>
    <n v="50"/>
    <s v="quarterly"/>
    <n v="0.9"/>
    <n v="0.9"/>
    <n v="45"/>
    <x v="3"/>
    <m/>
    <m/>
    <m/>
    <m/>
    <n v="0"/>
  </r>
  <r>
    <s v="46002-sector"/>
    <x v="31"/>
    <n v="46002"/>
    <x v="29"/>
    <s v="sector"/>
    <x v="12"/>
    <x v="0"/>
    <x v="1"/>
    <x v="1"/>
    <n v="24"/>
    <n v="1.8599999999999998E-2"/>
    <x v="1"/>
    <x v="6"/>
    <n v="50"/>
    <x v="12"/>
    <n v="100"/>
    <n v="50"/>
    <s v="quarterly"/>
    <n v="0.9"/>
    <n v="0.9"/>
    <n v="45"/>
    <x v="3"/>
    <m/>
    <m/>
    <m/>
    <m/>
    <n v="0"/>
  </r>
  <r>
    <s v="46002-location"/>
    <x v="31"/>
    <n v="46002"/>
    <x v="161"/>
    <s v="location"/>
    <x v="13"/>
    <x v="0"/>
    <x v="1"/>
    <x v="1"/>
    <n v="25"/>
    <n v="1.8599999999999998E-2"/>
    <x v="1"/>
    <x v="6"/>
    <n v="50"/>
    <x v="122"/>
    <n v="54.375"/>
    <n v="27.1875"/>
    <s v="quarterly"/>
    <n v="0.9"/>
    <n v="0.9"/>
    <n v="24.46875"/>
    <x v="3"/>
    <m/>
    <m/>
    <m/>
    <m/>
    <n v="0"/>
  </r>
  <r>
    <s v="46002-tied-aid-status"/>
    <x v="31"/>
    <n v="46002"/>
    <x v="29"/>
    <s v="tied-aid-status"/>
    <x v="14"/>
    <x v="0"/>
    <x v="1"/>
    <x v="1"/>
    <n v="26"/>
    <n v="1.8599999999999998E-2"/>
    <x v="1"/>
    <x v="6"/>
    <n v="50"/>
    <x v="12"/>
    <n v="100"/>
    <n v="50"/>
    <s v="quarterly"/>
    <n v="0.9"/>
    <n v="0.9"/>
    <n v="45"/>
    <x v="3"/>
    <m/>
    <m/>
    <m/>
    <m/>
    <n v="0"/>
  </r>
  <r>
    <s v="46002-expenditure-actual"/>
    <x v="31"/>
    <n v="46002"/>
    <x v="162"/>
    <s v="expenditure-actual"/>
    <x v="15"/>
    <x v="0"/>
    <x v="2"/>
    <x v="2"/>
    <n v="35"/>
    <n v="3.2500000000000001E-2"/>
    <x v="1"/>
    <x v="6"/>
    <n v="50"/>
    <x v="123"/>
    <n v="80.125"/>
    <n v="40.0625"/>
    <s v="quarterly"/>
    <n v="0.9"/>
    <n v="0.9"/>
    <n v="36.056249999999999"/>
    <x v="3"/>
    <m/>
    <m/>
    <m/>
    <m/>
    <n v="0"/>
  </r>
  <r>
    <s v="46002-expenditure-planned"/>
    <x v="31"/>
    <n v="46002"/>
    <x v="60"/>
    <s v="expenditure-planned"/>
    <x v="17"/>
    <x v="0"/>
    <x v="2"/>
    <x v="2"/>
    <n v="34"/>
    <n v="3.2500000000000001E-2"/>
    <x v="1"/>
    <x v="6"/>
    <n v="50"/>
    <x v="12"/>
    <n v="100"/>
    <n v="50"/>
    <s v="quarterly"/>
    <n v="0.9"/>
    <n v="0.9"/>
    <n v="45"/>
    <x v="3"/>
    <m/>
    <m/>
    <m/>
    <m/>
    <n v="0"/>
  </r>
  <r>
    <s v="46002-conditions"/>
    <x v="31"/>
    <n v="46002"/>
    <x v="163"/>
    <s v="conditions"/>
    <x v="19"/>
    <x v="0"/>
    <x v="3"/>
    <x v="3"/>
    <n v="39"/>
    <n v="4.3299999999999998E-2"/>
    <x v="1"/>
    <x v="6"/>
    <n v="50"/>
    <x v="124"/>
    <n v="5.0625"/>
    <n v="2.53125"/>
    <s v="quarterly"/>
    <n v="0.9"/>
    <n v="0.9"/>
    <n v="2.2781250000000002"/>
    <x v="3"/>
    <m/>
    <m/>
    <m/>
    <m/>
    <n v="0"/>
  </r>
  <r>
    <s v="46002-impact-appraisals"/>
    <x v="31"/>
    <n v="46002"/>
    <x v="164"/>
    <s v="impact-appraisals"/>
    <x v="20"/>
    <x v="0"/>
    <x v="3"/>
    <x v="3"/>
    <n v="38"/>
    <n v="4.3299999999999998E-2"/>
    <x v="1"/>
    <x v="6"/>
    <n v="50"/>
    <x v="125"/>
    <n v="10.125"/>
    <n v="5.0625"/>
    <s v="quarterly"/>
    <n v="0.9"/>
    <n v="0.9"/>
    <n v="4.5562500000000004"/>
    <x v="3"/>
    <m/>
    <m/>
    <m/>
    <m/>
    <n v="0"/>
  </r>
  <r>
    <s v="46002-results"/>
    <x v="31"/>
    <n v="46002"/>
    <x v="165"/>
    <s v="results"/>
    <x v="21"/>
    <x v="0"/>
    <x v="3"/>
    <x v="3"/>
    <n v="37"/>
    <n v="4.3299999999999998E-2"/>
    <x v="1"/>
    <x v="6"/>
    <n v="50"/>
    <x v="126"/>
    <n v="6.5"/>
    <n v="3.25"/>
    <s v="quarterly"/>
    <n v="0.9"/>
    <n v="0.9"/>
    <n v="2.9249999999999998"/>
    <x v="3"/>
    <m/>
    <m/>
    <m/>
    <m/>
    <n v="0"/>
  </r>
  <r>
    <s v="46002-budget"/>
    <x v="31"/>
    <n v="46002"/>
    <x v="166"/>
    <s v="budget"/>
    <x v="22"/>
    <x v="0"/>
    <x v="4"/>
    <x v="4"/>
    <n v="30"/>
    <n v="2.1700000000000001E-2"/>
    <x v="1"/>
    <x v="6"/>
    <n v="50"/>
    <x v="127"/>
    <n v="9.5854922279799997"/>
    <n v="4.7927461139899998"/>
    <s v="quarterly"/>
    <n v="0.9"/>
    <n v="0.9"/>
    <n v="4.3134715025899997"/>
    <x v="3"/>
    <m/>
    <m/>
    <m/>
    <m/>
    <n v="0"/>
  </r>
  <r>
    <s v="46002-evaluations"/>
    <x v="31"/>
    <n v="46002"/>
    <x v="167"/>
    <s v="evaluations"/>
    <x v="24"/>
    <x v="0"/>
    <x v="4"/>
    <x v="4"/>
    <n v="28"/>
    <n v="2.1700000000000001E-2"/>
    <x v="1"/>
    <x v="6"/>
    <n v="50"/>
    <x v="128"/>
    <n v="9.5744680851100004"/>
    <n v="4.7872340425499997"/>
    <s v="quarterly"/>
    <n v="0.9"/>
    <n v="0.9"/>
    <n v="4.3085106382999996"/>
    <x v="3"/>
    <m/>
    <m/>
    <m/>
    <m/>
    <n v="0"/>
  </r>
  <r>
    <s v="46002-objectives"/>
    <x v="31"/>
    <n v="46002"/>
    <x v="168"/>
    <s v="objectives"/>
    <x v="26"/>
    <x v="0"/>
    <x v="4"/>
    <x v="4"/>
    <n v="29"/>
    <n v="2.1700000000000001E-2"/>
    <x v="1"/>
    <x v="6"/>
    <n v="50"/>
    <x v="125"/>
    <n v="10.125"/>
    <n v="5.0625"/>
    <s v="quarterly"/>
    <n v="0.9"/>
    <n v="0.9"/>
    <n v="4.5562500000000004"/>
    <x v="3"/>
    <m/>
    <m/>
    <m/>
    <m/>
    <n v="0"/>
  </r>
  <r>
    <s v="46002-tenders"/>
    <x v="31"/>
    <n v="46002"/>
    <x v="169"/>
    <s v="tenders"/>
    <x v="27"/>
    <x v="0"/>
    <x v="4"/>
    <x v="4"/>
    <n v="32"/>
    <n v="2.1700000000000001E-2"/>
    <x v="1"/>
    <x v="6"/>
    <n v="50"/>
    <x v="129"/>
    <n v="3.7564766839399999"/>
    <n v="1.8782383419699999"/>
    <s v="quarterly"/>
    <n v="0.9"/>
    <n v="0.9"/>
    <n v="1.6904145077699999"/>
    <x v="3"/>
    <m/>
    <m/>
    <m/>
    <m/>
    <n v="0"/>
  </r>
  <r>
    <s v="46002-audit"/>
    <x v="31"/>
    <n v="46002"/>
    <x v="42"/>
    <s v="audit"/>
    <x v="28"/>
    <x v="1"/>
    <x v="2"/>
    <x v="5"/>
    <n v="11"/>
    <n v="4.1700000000000001E-2"/>
    <x v="1"/>
    <x v="6"/>
    <n v="50"/>
    <x v="5"/>
    <n v="100"/>
    <n v="50"/>
    <s v="quarterly"/>
    <n v="0.9"/>
    <n v="1"/>
    <n v="50"/>
    <x v="3"/>
    <m/>
    <m/>
    <m/>
    <m/>
    <n v="0"/>
  </r>
  <r>
    <s v="46002-total-budget"/>
    <x v="31"/>
    <n v="46002"/>
    <x v="42"/>
    <s v="total-budget"/>
    <x v="29"/>
    <x v="1"/>
    <x v="2"/>
    <x v="5"/>
    <n v="9"/>
    <n v="4.1700000000000001E-2"/>
    <x v="1"/>
    <x v="6"/>
    <n v="50"/>
    <x v="5"/>
    <n v="100"/>
    <n v="50"/>
    <s v="quarterly"/>
    <n v="0.9"/>
    <n v="1"/>
    <n v="50"/>
    <x v="3"/>
    <m/>
    <m/>
    <m/>
    <m/>
    <n v="0"/>
  </r>
  <r>
    <s v="46002-disaggregated-budgets"/>
    <x v="31"/>
    <n v="46002"/>
    <x v="42"/>
    <s v="disaggregated-budgets"/>
    <x v="30"/>
    <x v="1"/>
    <x v="2"/>
    <x v="5"/>
    <n v="10"/>
    <n v="4.1700000000000001E-2"/>
    <x v="1"/>
    <x v="6"/>
    <n v="50"/>
    <x v="5"/>
    <n v="100"/>
    <n v="50"/>
    <s v="quarterly"/>
    <n v="0.9"/>
    <n v="1"/>
    <n v="50"/>
    <x v="3"/>
    <m/>
    <m/>
    <m/>
    <m/>
    <n v="0"/>
  </r>
  <r>
    <s v="46002-strategy"/>
    <x v="31"/>
    <n v="46002"/>
    <x v="43"/>
    <s v="strategy"/>
    <x v="31"/>
    <x v="1"/>
    <x v="5"/>
    <x v="6"/>
    <n v="4"/>
    <n v="2.5000000000000001E-2"/>
    <x v="1"/>
    <x v="6"/>
    <n v="50"/>
    <x v="5"/>
    <n v="100"/>
    <n v="50"/>
    <s v="quarterly"/>
    <n v="0.9"/>
    <n v="1"/>
    <n v="50"/>
    <x v="3"/>
    <m/>
    <m/>
    <m/>
    <m/>
    <n v="0"/>
  </r>
  <r>
    <s v="46002-annual-report"/>
    <x v="31"/>
    <n v="46002"/>
    <x v="43"/>
    <s v="annual-report"/>
    <x v="32"/>
    <x v="1"/>
    <x v="5"/>
    <x v="6"/>
    <n v="5"/>
    <n v="2.5000000000000001E-2"/>
    <x v="1"/>
    <x v="6"/>
    <n v="50"/>
    <x v="5"/>
    <n v="100"/>
    <n v="50"/>
    <s v="quarterly"/>
    <n v="0.9"/>
    <n v="1"/>
    <n v="50"/>
    <x v="3"/>
    <m/>
    <m/>
    <m/>
    <m/>
    <n v="0"/>
  </r>
  <r>
    <s v="46002-allocation"/>
    <x v="31"/>
    <n v="46002"/>
    <x v="43"/>
    <s v="allocation"/>
    <x v="33"/>
    <x v="1"/>
    <x v="5"/>
    <x v="6"/>
    <n v="6"/>
    <n v="2.5000000000000001E-2"/>
    <x v="1"/>
    <x v="6"/>
    <n v="50"/>
    <x v="5"/>
    <n v="100"/>
    <n v="50"/>
    <s v="quarterly"/>
    <n v="0.9"/>
    <n v="1"/>
    <n v="50"/>
    <x v="3"/>
    <m/>
    <m/>
    <m/>
    <m/>
    <n v="0"/>
  </r>
  <r>
    <s v="46002-procurement-policy"/>
    <x v="31"/>
    <n v="46002"/>
    <x v="43"/>
    <s v="procurement-policy"/>
    <x v="34"/>
    <x v="1"/>
    <x v="5"/>
    <x v="6"/>
    <n v="7"/>
    <n v="2.5000000000000001E-2"/>
    <x v="1"/>
    <x v="6"/>
    <n v="50"/>
    <x v="5"/>
    <n v="100"/>
    <n v="50"/>
    <s v="quarterly"/>
    <n v="0.9"/>
    <n v="1"/>
    <n v="50"/>
    <x v="3"/>
    <m/>
    <m/>
    <m/>
    <m/>
    <n v="0"/>
  </r>
  <r>
    <s v="46002-country-strategy"/>
    <x v="31"/>
    <n v="46002"/>
    <x v="170"/>
    <s v="country-strategy"/>
    <x v="35"/>
    <x v="1"/>
    <x v="5"/>
    <x v="6"/>
    <n v="8"/>
    <n v="2.5000000000000001E-2"/>
    <x v="1"/>
    <x v="6"/>
    <n v="50"/>
    <x v="32"/>
    <n v="96"/>
    <n v="48"/>
    <s v="quarterly"/>
    <n v="0.9"/>
    <n v="1"/>
    <n v="48"/>
    <x v="3"/>
    <m/>
    <m/>
    <m/>
    <m/>
    <n v="0"/>
  </r>
  <r>
    <s v="46002-contracts"/>
    <x v="31"/>
    <n v="46002"/>
    <x v="3"/>
    <s v="contracts"/>
    <x v="23"/>
    <x v="0"/>
    <x v="4"/>
    <x v="4"/>
    <n v="31"/>
    <n v="2.1700000000000001E-2"/>
    <x v="0"/>
    <x v="2"/>
    <n v="50"/>
    <x v="2"/>
    <n v="0"/>
    <n v="0"/>
    <s v="quarterly"/>
    <n v="0.9"/>
    <n v="1"/>
    <n v="0"/>
    <x v="1"/>
    <n v="1"/>
    <m/>
    <s v="document"/>
    <n v="50"/>
    <n v="50"/>
  </r>
  <r>
    <s v="46002-cost-overall"/>
    <x v="31"/>
    <n v="46002"/>
    <x v="19"/>
    <s v="cost-overall"/>
    <x v="16"/>
    <x v="0"/>
    <x v="2"/>
    <x v="2"/>
    <n v="33"/>
    <n v="3.2500000000000001E-2"/>
    <x v="0"/>
    <x v="3"/>
    <n v="16.664999999999999"/>
    <x v="4"/>
    <n v="0"/>
    <n v="0"/>
    <s v="quarterly"/>
    <n v="0.9"/>
    <n v="1"/>
    <n v="0"/>
    <x v="1"/>
    <n v="1"/>
    <m/>
    <s v="pdf"/>
    <n v="16.664999999999999"/>
    <n v="16.664999999999999"/>
  </r>
  <r>
    <s v="46002-mou"/>
    <x v="31"/>
    <n v="46002"/>
    <x v="0"/>
    <s v="mou"/>
    <x v="25"/>
    <x v="0"/>
    <x v="4"/>
    <x v="4"/>
    <n v="27"/>
    <n v="2.1700000000000001E-2"/>
    <x v="0"/>
    <x v="2"/>
    <n v="0"/>
    <x v="0"/>
    <n v="0"/>
    <n v="0"/>
    <s v="quarterly"/>
    <n v="0.9"/>
    <n v="1"/>
    <n v="0"/>
    <x v="0"/>
    <n v="0"/>
    <m/>
    <s v="document"/>
    <n v="50"/>
    <n v="0"/>
  </r>
  <r>
    <s v="46002-budget-identifier"/>
    <x v="31"/>
    <n v="46002"/>
    <x v="0"/>
    <s v="budget-identifier"/>
    <x v="18"/>
    <x v="0"/>
    <x v="2"/>
    <x v="2"/>
    <n v="36"/>
    <n v="3.2500000000000001E-2"/>
    <x v="0"/>
    <x v="0"/>
    <n v="0"/>
    <x v="0"/>
    <n v="0"/>
    <n v="0"/>
    <s v="quarterly"/>
    <n v="0.9"/>
    <n v="1"/>
    <n v="0"/>
    <x v="0"/>
    <n v="0"/>
    <m/>
    <m/>
    <n v="0"/>
    <n v="0"/>
  </r>
  <r>
    <s v="46002-foia"/>
    <x v="31"/>
    <n v="46002"/>
    <x v="15"/>
    <s v="foia"/>
    <x v="36"/>
    <x v="2"/>
    <x v="6"/>
    <x v="7"/>
    <n v="1"/>
    <n v="3.3300000000000003E-2"/>
    <x v="0"/>
    <x v="5"/>
    <n v="66.66"/>
    <x v="6"/>
    <n v="0"/>
    <n v="0"/>
    <s v="quarterly"/>
    <n v="0.9"/>
    <n v="1"/>
    <n v="0"/>
    <x v="3"/>
    <n v="0"/>
    <n v="66.66"/>
    <m/>
    <n v="0"/>
    <n v="66.66"/>
  </r>
  <r>
    <s v="46002-accessibility"/>
    <x v="31"/>
    <n v="46002"/>
    <x v="7"/>
    <s v="accessibility"/>
    <x v="37"/>
    <x v="2"/>
    <x v="6"/>
    <x v="7"/>
    <n v="3"/>
    <n v="3.3300000000000003E-2"/>
    <x v="0"/>
    <x v="5"/>
    <n v="33.33"/>
    <x v="1"/>
    <n v="0"/>
    <n v="0"/>
    <s v="quarterly"/>
    <n v="0.9"/>
    <n v="1"/>
    <n v="0"/>
    <x v="3"/>
    <n v="0"/>
    <n v="33.33"/>
    <m/>
    <n v="0"/>
    <n v="33.33"/>
  </r>
  <r>
    <s v="46002-implementation-schedules"/>
    <x v="31"/>
    <n v="46002"/>
    <x v="171"/>
    <s v="implementation-schedules"/>
    <x v="38"/>
    <x v="2"/>
    <x v="6"/>
    <x v="7"/>
    <n v="2"/>
    <n v="3.3300000000000003E-2"/>
    <x v="0"/>
    <x v="5"/>
    <n v="94"/>
    <x v="130"/>
    <n v="0"/>
    <n v="0"/>
    <s v="quarterly"/>
    <n v="0.9"/>
    <n v="1"/>
    <n v="0"/>
    <x v="3"/>
    <n v="0"/>
    <n v="94"/>
    <m/>
    <n v="0"/>
    <n v="94"/>
  </r>
  <r>
    <s v="IE-1-total-budget"/>
    <x v="32"/>
    <s v="IE-1"/>
    <x v="69"/>
    <s v="total-budget"/>
    <x v="29"/>
    <x v="1"/>
    <x v="2"/>
    <x v="5"/>
    <n v="9"/>
    <n v="4.1700000000000001E-2"/>
    <x v="1"/>
    <x v="6"/>
    <n v="50"/>
    <x v="41"/>
    <n v="33.333333333299997"/>
    <n v="16.666666666699999"/>
    <s v="less than quarterly"/>
    <n v="0.5"/>
    <n v="1"/>
    <n v="16.666666666699999"/>
    <x v="3"/>
    <m/>
    <m/>
    <m/>
    <m/>
    <n v="0"/>
  </r>
  <r>
    <s v="IE-1-disaggregated-budgets"/>
    <x v="32"/>
    <s v="IE-1"/>
    <x v="69"/>
    <s v="disaggregated-budgets"/>
    <x v="30"/>
    <x v="1"/>
    <x v="2"/>
    <x v="5"/>
    <n v="10"/>
    <n v="4.1700000000000001E-2"/>
    <x v="1"/>
    <x v="6"/>
    <n v="50"/>
    <x v="41"/>
    <n v="33.333333333299997"/>
    <n v="16.666666666699999"/>
    <s v="less than quarterly"/>
    <n v="0.5"/>
    <n v="1"/>
    <n v="16.666666666699999"/>
    <x v="3"/>
    <m/>
    <m/>
    <m/>
    <m/>
    <n v="0"/>
  </r>
  <r>
    <s v="IE-1-dates-actual"/>
    <x v="32"/>
    <s v="IE-1"/>
    <x v="130"/>
    <s v="dates-actual"/>
    <x v="0"/>
    <x v="0"/>
    <x v="0"/>
    <x v="0"/>
    <n v="17"/>
    <n v="1.6299999999999999E-2"/>
    <x v="1"/>
    <x v="6"/>
    <n v="50"/>
    <x v="30"/>
    <n v="100"/>
    <n v="50"/>
    <s v="less than quarterly"/>
    <n v="0.5"/>
    <n v="0.5"/>
    <n v="25"/>
    <x v="3"/>
    <m/>
    <m/>
    <m/>
    <m/>
    <n v="0"/>
  </r>
  <r>
    <s v="IE-1-current-status"/>
    <x v="32"/>
    <s v="IE-1"/>
    <x v="130"/>
    <s v="current-status"/>
    <x v="2"/>
    <x v="0"/>
    <x v="0"/>
    <x v="0"/>
    <n v="18"/>
    <n v="1.6299999999999999E-2"/>
    <x v="1"/>
    <x v="6"/>
    <n v="50"/>
    <x v="30"/>
    <n v="100"/>
    <n v="50"/>
    <s v="less than quarterly"/>
    <n v="0.5"/>
    <n v="0.5"/>
    <n v="25"/>
    <x v="3"/>
    <m/>
    <m/>
    <m/>
    <m/>
    <n v="0"/>
  </r>
  <r>
    <s v="IE-1-implementer"/>
    <x v="32"/>
    <s v="IE-1"/>
    <x v="172"/>
    <s v="implementer"/>
    <x v="4"/>
    <x v="0"/>
    <x v="0"/>
    <x v="0"/>
    <n v="12"/>
    <n v="1.6299999999999999E-2"/>
    <x v="1"/>
    <x v="6"/>
    <n v="50"/>
    <x v="131"/>
    <n v="66.986564299400001"/>
    <n v="33.493282149700001"/>
    <s v="less than quarterly"/>
    <n v="0.5"/>
    <n v="0.5"/>
    <n v="16.746641074900001"/>
    <x v="3"/>
    <m/>
    <m/>
    <m/>
    <m/>
    <n v="0"/>
  </r>
  <r>
    <s v="IE-1-dates-planned"/>
    <x v="32"/>
    <s v="IE-1"/>
    <x v="146"/>
    <s v="dates-planned"/>
    <x v="5"/>
    <x v="0"/>
    <x v="0"/>
    <x v="0"/>
    <n v="16"/>
    <n v="1.6299999999999999E-2"/>
    <x v="1"/>
    <x v="6"/>
    <n v="50"/>
    <x v="107"/>
    <n v="50"/>
    <n v="25"/>
    <s v="less than quarterly"/>
    <n v="0.5"/>
    <n v="0.5"/>
    <n v="12.5"/>
    <x v="3"/>
    <m/>
    <m/>
    <m/>
    <m/>
    <n v="0"/>
  </r>
  <r>
    <s v="IE-1-title"/>
    <x v="32"/>
    <s v="IE-1"/>
    <x v="173"/>
    <s v="title"/>
    <x v="6"/>
    <x v="0"/>
    <x v="0"/>
    <x v="0"/>
    <n v="14"/>
    <n v="1.6299999999999999E-2"/>
    <x v="1"/>
    <x v="6"/>
    <n v="50"/>
    <x v="132"/>
    <n v="99.616122840700001"/>
    <n v="49.8080614203"/>
    <s v="less than quarterly"/>
    <n v="0.5"/>
    <n v="0.5"/>
    <n v="24.904030710200001"/>
    <x v="3"/>
    <m/>
    <m/>
    <m/>
    <m/>
    <n v="0"/>
  </r>
  <r>
    <s v="IE-1-unique-id"/>
    <x v="32"/>
    <s v="IE-1"/>
    <x v="130"/>
    <s v="unique-id"/>
    <x v="7"/>
    <x v="0"/>
    <x v="0"/>
    <x v="0"/>
    <n v="13"/>
    <n v="1.6299999999999999E-2"/>
    <x v="1"/>
    <x v="6"/>
    <n v="50"/>
    <x v="30"/>
    <n v="100"/>
    <n v="50"/>
    <s v="less than quarterly"/>
    <n v="0.5"/>
    <n v="0.5"/>
    <n v="25"/>
    <x v="3"/>
    <m/>
    <m/>
    <m/>
    <m/>
    <n v="0"/>
  </r>
  <r>
    <s v="IE-1-aid-type"/>
    <x v="32"/>
    <s v="IE-1"/>
    <x v="174"/>
    <s v="aid-type"/>
    <x v="8"/>
    <x v="0"/>
    <x v="1"/>
    <x v="1"/>
    <n v="22"/>
    <n v="1.8599999999999998E-2"/>
    <x v="1"/>
    <x v="6"/>
    <n v="50"/>
    <x v="131"/>
    <n v="66.986564299400001"/>
    <n v="33.493282149700001"/>
    <s v="less than quarterly"/>
    <n v="0.5"/>
    <n v="0.5"/>
    <n v="16.746641074900001"/>
    <x v="3"/>
    <m/>
    <m/>
    <m/>
    <m/>
    <n v="0"/>
  </r>
  <r>
    <s v="IE-1-collaboration-type"/>
    <x v="32"/>
    <s v="IE-1"/>
    <x v="131"/>
    <s v="collaboration-type"/>
    <x v="9"/>
    <x v="0"/>
    <x v="1"/>
    <x v="1"/>
    <n v="20"/>
    <n v="1.8599999999999998E-2"/>
    <x v="1"/>
    <x v="6"/>
    <n v="50"/>
    <x v="30"/>
    <n v="100"/>
    <n v="50"/>
    <s v="less than quarterly"/>
    <n v="0.5"/>
    <n v="0.5"/>
    <n v="25"/>
    <x v="3"/>
    <m/>
    <m/>
    <m/>
    <m/>
    <n v="0"/>
  </r>
  <r>
    <s v="IE-1-finance-type"/>
    <x v="32"/>
    <s v="IE-1"/>
    <x v="131"/>
    <s v="finance-type"/>
    <x v="10"/>
    <x v="0"/>
    <x v="1"/>
    <x v="1"/>
    <n v="23"/>
    <n v="1.8599999999999998E-2"/>
    <x v="1"/>
    <x v="6"/>
    <n v="50"/>
    <x v="30"/>
    <n v="100"/>
    <n v="50"/>
    <s v="less than quarterly"/>
    <n v="0.5"/>
    <n v="0.5"/>
    <n v="25"/>
    <x v="3"/>
    <m/>
    <m/>
    <m/>
    <m/>
    <n v="0"/>
  </r>
  <r>
    <s v="IE-1-flow-type"/>
    <x v="32"/>
    <s v="IE-1"/>
    <x v="131"/>
    <s v="flow-type"/>
    <x v="11"/>
    <x v="0"/>
    <x v="1"/>
    <x v="1"/>
    <n v="21"/>
    <n v="1.8599999999999998E-2"/>
    <x v="1"/>
    <x v="6"/>
    <n v="50"/>
    <x v="30"/>
    <n v="100"/>
    <n v="50"/>
    <s v="less than quarterly"/>
    <n v="0.5"/>
    <n v="0.5"/>
    <n v="25"/>
    <x v="3"/>
    <m/>
    <m/>
    <m/>
    <m/>
    <n v="0"/>
  </r>
  <r>
    <s v="IE-1-sector"/>
    <x v="32"/>
    <s v="IE-1"/>
    <x v="131"/>
    <s v="sector"/>
    <x v="12"/>
    <x v="0"/>
    <x v="1"/>
    <x v="1"/>
    <n v="24"/>
    <n v="1.8599999999999998E-2"/>
    <x v="1"/>
    <x v="6"/>
    <n v="50"/>
    <x v="30"/>
    <n v="100"/>
    <n v="50"/>
    <s v="less than quarterly"/>
    <n v="0.5"/>
    <n v="0.5"/>
    <n v="25"/>
    <x v="3"/>
    <m/>
    <m/>
    <m/>
    <m/>
    <n v="0"/>
  </r>
  <r>
    <s v="IE-1-tied-aid-status"/>
    <x v="32"/>
    <s v="IE-1"/>
    <x v="131"/>
    <s v="tied-aid-status"/>
    <x v="14"/>
    <x v="0"/>
    <x v="1"/>
    <x v="1"/>
    <n v="26"/>
    <n v="1.8599999999999998E-2"/>
    <x v="1"/>
    <x v="6"/>
    <n v="50"/>
    <x v="30"/>
    <n v="100"/>
    <n v="50"/>
    <s v="less than quarterly"/>
    <n v="0.5"/>
    <n v="0.5"/>
    <n v="25"/>
    <x v="3"/>
    <m/>
    <m/>
    <m/>
    <m/>
    <n v="0"/>
  </r>
  <r>
    <s v="IE-1-expenditure-actual"/>
    <x v="32"/>
    <s v="IE-1"/>
    <x v="175"/>
    <s v="expenditure-actual"/>
    <x v="15"/>
    <x v="0"/>
    <x v="2"/>
    <x v="2"/>
    <n v="35"/>
    <n v="3.2500000000000001E-2"/>
    <x v="1"/>
    <x v="6"/>
    <n v="50"/>
    <x v="131"/>
    <n v="66.986564299400001"/>
    <n v="33.493282149700001"/>
    <s v="less than quarterly"/>
    <n v="0.5"/>
    <n v="0.5"/>
    <n v="16.746641074900001"/>
    <x v="3"/>
    <m/>
    <m/>
    <m/>
    <m/>
    <n v="0"/>
  </r>
  <r>
    <s v="IE-1-cost-overall"/>
    <x v="32"/>
    <s v="IE-1"/>
    <x v="176"/>
    <s v="cost-overall"/>
    <x v="16"/>
    <x v="0"/>
    <x v="2"/>
    <x v="2"/>
    <n v="33"/>
    <n v="3.2500000000000001E-2"/>
    <x v="1"/>
    <x v="6"/>
    <n v="50"/>
    <x v="133"/>
    <n v="38.053097345099999"/>
    <n v="19.026548672600001"/>
    <s v="less than quarterly"/>
    <n v="0.5"/>
    <n v="0.5"/>
    <n v="9.5132743362800003"/>
    <x v="3"/>
    <m/>
    <m/>
    <m/>
    <m/>
    <n v="0"/>
  </r>
  <r>
    <s v="IE-1-annual-report"/>
    <x v="32"/>
    <s v="IE-1"/>
    <x v="43"/>
    <s v="annual-report"/>
    <x v="32"/>
    <x v="1"/>
    <x v="5"/>
    <x v="6"/>
    <n v="5"/>
    <n v="2.5000000000000001E-2"/>
    <x v="1"/>
    <x v="6"/>
    <n v="50"/>
    <x v="5"/>
    <n v="100"/>
    <n v="50"/>
    <s v="less than quarterly"/>
    <n v="0.5"/>
    <n v="1"/>
    <n v="50"/>
    <x v="3"/>
    <m/>
    <m/>
    <m/>
    <m/>
    <n v="0"/>
  </r>
  <r>
    <s v="IE-1-audit"/>
    <x v="32"/>
    <s v="IE-1"/>
    <x v="4"/>
    <s v="audit"/>
    <x v="28"/>
    <x v="1"/>
    <x v="2"/>
    <x v="5"/>
    <n v="11"/>
    <n v="4.1700000000000001E-2"/>
    <x v="0"/>
    <x v="2"/>
    <n v="50"/>
    <x v="2"/>
    <n v="0"/>
    <n v="0"/>
    <s v="less than quarterly"/>
    <n v="0.5"/>
    <n v="1"/>
    <n v="0"/>
    <x v="1"/>
    <n v="1"/>
    <m/>
    <s v="document"/>
    <n v="50"/>
    <n v="50"/>
  </r>
  <r>
    <s v="IE-1-strategy"/>
    <x v="32"/>
    <s v="IE-1"/>
    <x v="6"/>
    <s v="strategy"/>
    <x v="31"/>
    <x v="1"/>
    <x v="5"/>
    <x v="6"/>
    <n v="4"/>
    <n v="2.5000000000000001E-2"/>
    <x v="0"/>
    <x v="2"/>
    <n v="50"/>
    <x v="2"/>
    <n v="0"/>
    <n v="0"/>
    <s v="less than quarterly"/>
    <n v="0.5"/>
    <n v="1"/>
    <n v="0"/>
    <x v="1"/>
    <n v="1"/>
    <m/>
    <s v="document"/>
    <n v="50"/>
    <n v="50"/>
  </r>
  <r>
    <s v="IE-1-contact-details"/>
    <x v="32"/>
    <s v="IE-1"/>
    <x v="1"/>
    <s v="contact-details"/>
    <x v="1"/>
    <x v="0"/>
    <x v="0"/>
    <x v="0"/>
    <n v="19"/>
    <n v="1.6299999999999999E-2"/>
    <x v="0"/>
    <x v="1"/>
    <n v="33.33"/>
    <x v="1"/>
    <n v="0"/>
    <n v="0"/>
    <s v="less than quarterly"/>
    <n v="0.5"/>
    <n v="1"/>
    <n v="0"/>
    <x v="1"/>
    <n v="1"/>
    <m/>
    <s v="website"/>
    <n v="33.33"/>
    <n v="33.33"/>
  </r>
  <r>
    <s v="IE-1-procurement-policy"/>
    <x v="32"/>
    <s v="IE-1"/>
    <x v="6"/>
    <s v="procurement-policy"/>
    <x v="34"/>
    <x v="1"/>
    <x v="5"/>
    <x v="6"/>
    <n v="7"/>
    <n v="2.5000000000000001E-2"/>
    <x v="0"/>
    <x v="2"/>
    <n v="50"/>
    <x v="2"/>
    <n v="0"/>
    <n v="0"/>
    <s v="less than quarterly"/>
    <n v="0.5"/>
    <n v="1"/>
    <n v="0"/>
    <x v="1"/>
    <n v="1"/>
    <m/>
    <s v="document"/>
    <n v="50"/>
    <n v="50"/>
  </r>
  <r>
    <s v="IE-1-description"/>
    <x v="32"/>
    <s v="IE-1"/>
    <x v="0"/>
    <s v="description"/>
    <x v="3"/>
    <x v="0"/>
    <x v="0"/>
    <x v="0"/>
    <n v="15"/>
    <n v="1.6299999999999999E-2"/>
    <x v="0"/>
    <x v="1"/>
    <n v="0"/>
    <x v="0"/>
    <n v="0"/>
    <n v="0"/>
    <s v="less than quarterly"/>
    <n v="0.5"/>
    <n v="1"/>
    <n v="0"/>
    <x v="2"/>
    <n v="0"/>
    <m/>
    <s v="website"/>
    <n v="33.33"/>
    <n v="0"/>
  </r>
  <r>
    <s v="IE-1-country-strategy"/>
    <x v="32"/>
    <s v="IE-1"/>
    <x v="6"/>
    <s v="country-strategy"/>
    <x v="35"/>
    <x v="1"/>
    <x v="5"/>
    <x v="6"/>
    <n v="8"/>
    <n v="2.5000000000000001E-2"/>
    <x v="0"/>
    <x v="2"/>
    <n v="50"/>
    <x v="2"/>
    <n v="0"/>
    <n v="0"/>
    <s v="less than quarterly"/>
    <n v="0.5"/>
    <n v="1"/>
    <n v="0"/>
    <x v="1"/>
    <n v="1"/>
    <m/>
    <s v="document"/>
    <n v="50"/>
    <n v="50"/>
  </r>
  <r>
    <s v="IE-1-location"/>
    <x v="32"/>
    <s v="IE-1"/>
    <x v="0"/>
    <s v="location"/>
    <x v="13"/>
    <x v="0"/>
    <x v="1"/>
    <x v="1"/>
    <n v="25"/>
    <n v="1.8599999999999998E-2"/>
    <x v="0"/>
    <x v="1"/>
    <n v="0"/>
    <x v="0"/>
    <n v="0"/>
    <n v="0"/>
    <s v="less than quarterly"/>
    <n v="0.5"/>
    <n v="1"/>
    <n v="0"/>
    <x v="2"/>
    <n v="0"/>
    <m/>
    <s v="website"/>
    <n v="33.33"/>
    <n v="0"/>
  </r>
  <r>
    <s v="IE-1-allocation"/>
    <x v="32"/>
    <s v="IE-1"/>
    <x v="6"/>
    <s v="allocation"/>
    <x v="33"/>
    <x v="1"/>
    <x v="5"/>
    <x v="6"/>
    <n v="6"/>
    <n v="2.5000000000000001E-2"/>
    <x v="0"/>
    <x v="2"/>
    <n v="50"/>
    <x v="2"/>
    <n v="0"/>
    <n v="0"/>
    <s v="less than quarterly"/>
    <n v="0.5"/>
    <n v="1"/>
    <n v="0"/>
    <x v="1"/>
    <n v="1"/>
    <m/>
    <s v="document"/>
    <n v="50"/>
    <n v="50"/>
  </r>
  <r>
    <s v="IE-1-expenditure-planned"/>
    <x v="32"/>
    <s v="IE-1"/>
    <x v="0"/>
    <s v="expenditure-planned"/>
    <x v="17"/>
    <x v="0"/>
    <x v="2"/>
    <x v="2"/>
    <n v="34"/>
    <n v="3.2500000000000001E-2"/>
    <x v="0"/>
    <x v="0"/>
    <n v="0"/>
    <x v="0"/>
    <n v="0"/>
    <n v="0"/>
    <s v="less than quarterly"/>
    <n v="0.5"/>
    <n v="1"/>
    <n v="0"/>
    <x v="0"/>
    <n v="0"/>
    <m/>
    <m/>
    <n v="0"/>
    <n v="0"/>
  </r>
  <r>
    <s v="IE-1-budget-identifier"/>
    <x v="32"/>
    <s v="IE-1"/>
    <x v="0"/>
    <s v="budget-identifier"/>
    <x v="18"/>
    <x v="0"/>
    <x v="2"/>
    <x v="2"/>
    <n v="36"/>
    <n v="3.2500000000000001E-2"/>
    <x v="0"/>
    <x v="0"/>
    <n v="0"/>
    <x v="0"/>
    <n v="0"/>
    <n v="0"/>
    <s v="less than quarterly"/>
    <n v="0.5"/>
    <n v="1"/>
    <n v="0"/>
    <x v="0"/>
    <n v="0"/>
    <m/>
    <m/>
    <n v="0"/>
    <n v="0"/>
  </r>
  <r>
    <s v="IE-1-conditions"/>
    <x v="32"/>
    <s v="IE-1"/>
    <x v="0"/>
    <s v="conditions"/>
    <x v="19"/>
    <x v="0"/>
    <x v="3"/>
    <x v="3"/>
    <n v="39"/>
    <n v="4.3299999999999998E-2"/>
    <x v="0"/>
    <x v="2"/>
    <n v="0"/>
    <x v="0"/>
    <n v="0"/>
    <n v="0"/>
    <s v="less than quarterly"/>
    <n v="0.5"/>
    <n v="1"/>
    <n v="0"/>
    <x v="0"/>
    <n v="0"/>
    <m/>
    <s v="document"/>
    <n v="50"/>
    <n v="0"/>
  </r>
  <r>
    <s v="IE-1-impact-appraisals"/>
    <x v="32"/>
    <s v="IE-1"/>
    <x v="0"/>
    <s v="impact-appraisals"/>
    <x v="20"/>
    <x v="0"/>
    <x v="3"/>
    <x v="3"/>
    <n v="38"/>
    <n v="4.3299999999999998E-2"/>
    <x v="0"/>
    <x v="2"/>
    <n v="0"/>
    <x v="0"/>
    <n v="0"/>
    <n v="0"/>
    <s v="less than quarterly"/>
    <n v="0.5"/>
    <n v="1"/>
    <n v="0"/>
    <x v="0"/>
    <n v="0"/>
    <m/>
    <s v="document"/>
    <n v="50"/>
    <n v="0"/>
  </r>
  <r>
    <s v="IE-1-results"/>
    <x v="32"/>
    <s v="IE-1"/>
    <x v="0"/>
    <s v="results"/>
    <x v="21"/>
    <x v="0"/>
    <x v="3"/>
    <x v="3"/>
    <n v="37"/>
    <n v="4.3299999999999998E-2"/>
    <x v="0"/>
    <x v="3"/>
    <n v="0"/>
    <x v="0"/>
    <n v="0"/>
    <n v="0"/>
    <s v="less than quarterly"/>
    <n v="0.5"/>
    <n v="1"/>
    <n v="0"/>
    <x v="2"/>
    <n v="0"/>
    <m/>
    <s v="pdf"/>
    <n v="16.664999999999999"/>
    <n v="0"/>
  </r>
  <r>
    <s v="IE-1-budget"/>
    <x v="32"/>
    <s v="IE-1"/>
    <x v="0"/>
    <s v="budget"/>
    <x v="22"/>
    <x v="0"/>
    <x v="4"/>
    <x v="4"/>
    <n v="30"/>
    <n v="2.1700000000000001E-2"/>
    <x v="0"/>
    <x v="2"/>
    <n v="0"/>
    <x v="0"/>
    <n v="0"/>
    <n v="0"/>
    <s v="less than quarterly"/>
    <n v="0.5"/>
    <n v="1"/>
    <n v="0"/>
    <x v="0"/>
    <n v="0"/>
    <m/>
    <s v="document"/>
    <n v="50"/>
    <n v="0"/>
  </r>
  <r>
    <s v="IE-1-contracts"/>
    <x v="32"/>
    <s v="IE-1"/>
    <x v="0"/>
    <s v="contracts"/>
    <x v="23"/>
    <x v="0"/>
    <x v="4"/>
    <x v="4"/>
    <n v="31"/>
    <n v="2.1700000000000001E-2"/>
    <x v="0"/>
    <x v="2"/>
    <n v="0"/>
    <x v="0"/>
    <n v="0"/>
    <n v="0"/>
    <s v="less than quarterly"/>
    <n v="0.5"/>
    <n v="1"/>
    <n v="0"/>
    <x v="0"/>
    <n v="0"/>
    <m/>
    <s v="document"/>
    <n v="50"/>
    <n v="0"/>
  </r>
  <r>
    <s v="IE-1-evaluations"/>
    <x v="32"/>
    <s v="IE-1"/>
    <x v="3"/>
    <s v="evaluations"/>
    <x v="24"/>
    <x v="0"/>
    <x v="4"/>
    <x v="4"/>
    <n v="28"/>
    <n v="2.1700000000000001E-2"/>
    <x v="0"/>
    <x v="2"/>
    <n v="50"/>
    <x v="2"/>
    <n v="0"/>
    <n v="0"/>
    <s v="less than quarterly"/>
    <n v="0.5"/>
    <n v="1"/>
    <n v="0"/>
    <x v="1"/>
    <n v="1"/>
    <m/>
    <s v="document"/>
    <n v="50"/>
    <n v="50"/>
  </r>
  <r>
    <s v="IE-1-mou"/>
    <x v="32"/>
    <s v="IE-1"/>
    <x v="0"/>
    <s v="mou"/>
    <x v="25"/>
    <x v="0"/>
    <x v="4"/>
    <x v="4"/>
    <n v="27"/>
    <n v="2.1700000000000001E-2"/>
    <x v="0"/>
    <x v="2"/>
    <n v="0"/>
    <x v="0"/>
    <n v="0"/>
    <n v="0"/>
    <s v="less than quarterly"/>
    <n v="0.5"/>
    <n v="1"/>
    <n v="0"/>
    <x v="0"/>
    <n v="0"/>
    <m/>
    <s v="document"/>
    <n v="50"/>
    <n v="0"/>
  </r>
  <r>
    <s v="IE-1-objectives"/>
    <x v="32"/>
    <s v="IE-1"/>
    <x v="0"/>
    <s v="objectives"/>
    <x v="26"/>
    <x v="0"/>
    <x v="4"/>
    <x v="4"/>
    <n v="29"/>
    <n v="2.1700000000000001E-2"/>
    <x v="0"/>
    <x v="2"/>
    <n v="0"/>
    <x v="0"/>
    <n v="0"/>
    <n v="0"/>
    <s v="less than quarterly"/>
    <n v="0.5"/>
    <n v="1"/>
    <n v="0"/>
    <x v="2"/>
    <n v="0"/>
    <m/>
    <s v="document"/>
    <n v="50"/>
    <n v="0"/>
  </r>
  <r>
    <s v="IE-1-tenders"/>
    <x v="32"/>
    <s v="IE-1"/>
    <x v="3"/>
    <s v="tenders"/>
    <x v="27"/>
    <x v="0"/>
    <x v="4"/>
    <x v="4"/>
    <n v="32"/>
    <n v="2.1700000000000001E-2"/>
    <x v="0"/>
    <x v="2"/>
    <n v="50"/>
    <x v="2"/>
    <n v="0"/>
    <n v="0"/>
    <s v="less than quarterly"/>
    <n v="0.5"/>
    <n v="1"/>
    <n v="0"/>
    <x v="1"/>
    <n v="1"/>
    <m/>
    <s v="document"/>
    <n v="50"/>
    <n v="50"/>
  </r>
  <r>
    <s v="IE-1-foia"/>
    <x v="32"/>
    <s v="IE-1"/>
    <x v="10"/>
    <s v="foia"/>
    <x v="36"/>
    <x v="2"/>
    <x v="6"/>
    <x v="7"/>
    <n v="1"/>
    <n v="3.3300000000000003E-2"/>
    <x v="0"/>
    <x v="5"/>
    <n v="100"/>
    <x v="5"/>
    <n v="0"/>
    <n v="0"/>
    <s v="less than quarterly"/>
    <n v="0.5"/>
    <n v="1"/>
    <n v="0"/>
    <x v="3"/>
    <n v="0"/>
    <n v="100"/>
    <m/>
    <n v="0"/>
    <n v="100"/>
  </r>
  <r>
    <s v="IE-1-accessibility"/>
    <x v="32"/>
    <s v="IE-1"/>
    <x v="0"/>
    <s v="accessibility"/>
    <x v="37"/>
    <x v="2"/>
    <x v="6"/>
    <x v="7"/>
    <n v="3"/>
    <n v="3.3300000000000003E-2"/>
    <x v="0"/>
    <x v="5"/>
    <n v="0"/>
    <x v="0"/>
    <n v="0"/>
    <n v="0"/>
    <s v="less than quarterly"/>
    <n v="0.5"/>
    <n v="1"/>
    <n v="0"/>
    <x v="3"/>
    <n v="0"/>
    <n v="0"/>
    <m/>
    <n v="0"/>
    <n v="0"/>
  </r>
  <r>
    <s v="IE-1-implementation-schedules"/>
    <x v="32"/>
    <s v="IE-1"/>
    <x v="80"/>
    <s v="implementation-schedules"/>
    <x v="38"/>
    <x v="2"/>
    <x v="6"/>
    <x v="7"/>
    <n v="2"/>
    <n v="3.3300000000000003E-2"/>
    <x v="0"/>
    <x v="5"/>
    <n v="59"/>
    <x v="50"/>
    <n v="0"/>
    <n v="0"/>
    <s v="less than quarterly"/>
    <n v="0.5"/>
    <n v="1"/>
    <n v="0"/>
    <x v="3"/>
    <n v="0"/>
    <n v="59"/>
    <m/>
    <n v="0"/>
    <n v="59"/>
  </r>
  <r>
    <s v="CA-1-dates-actual"/>
    <x v="33"/>
    <s v="CA-1"/>
    <x v="26"/>
    <s v="dates-actual"/>
    <x v="0"/>
    <x v="0"/>
    <x v="0"/>
    <x v="0"/>
    <n v="17"/>
    <n v="1.6299999999999999E-2"/>
    <x v="1"/>
    <x v="6"/>
    <n v="50"/>
    <x v="12"/>
    <n v="100"/>
    <n v="50"/>
    <s v="quarterly"/>
    <n v="0.9"/>
    <n v="0.9"/>
    <n v="45"/>
    <x v="3"/>
    <m/>
    <m/>
    <m/>
    <m/>
    <n v="0"/>
  </r>
  <r>
    <s v="CA-1-contact-details"/>
    <x v="33"/>
    <s v="CA-1"/>
    <x v="26"/>
    <s v="contact-details"/>
    <x v="1"/>
    <x v="0"/>
    <x v="0"/>
    <x v="0"/>
    <n v="19"/>
    <n v="1.6299999999999999E-2"/>
    <x v="1"/>
    <x v="6"/>
    <n v="50"/>
    <x v="12"/>
    <n v="100"/>
    <n v="50"/>
    <s v="quarterly"/>
    <n v="0.9"/>
    <n v="0.9"/>
    <n v="45"/>
    <x v="3"/>
    <m/>
    <m/>
    <m/>
    <m/>
    <n v="0"/>
  </r>
  <r>
    <s v="CA-1-current-status"/>
    <x v="33"/>
    <s v="CA-1"/>
    <x v="26"/>
    <s v="current-status"/>
    <x v="2"/>
    <x v="0"/>
    <x v="0"/>
    <x v="0"/>
    <n v="18"/>
    <n v="1.6299999999999999E-2"/>
    <x v="1"/>
    <x v="6"/>
    <n v="50"/>
    <x v="12"/>
    <n v="100"/>
    <n v="50"/>
    <s v="quarterly"/>
    <n v="0.9"/>
    <n v="0.9"/>
    <n v="45"/>
    <x v="3"/>
    <m/>
    <m/>
    <m/>
    <m/>
    <n v="0"/>
  </r>
  <r>
    <s v="CA-1-description"/>
    <x v="33"/>
    <s v="CA-1"/>
    <x v="26"/>
    <s v="description"/>
    <x v="3"/>
    <x v="0"/>
    <x v="0"/>
    <x v="0"/>
    <n v="15"/>
    <n v="1.6299999999999999E-2"/>
    <x v="1"/>
    <x v="6"/>
    <n v="50"/>
    <x v="12"/>
    <n v="100"/>
    <n v="50"/>
    <s v="quarterly"/>
    <n v="0.9"/>
    <n v="0.9"/>
    <n v="45"/>
    <x v="3"/>
    <m/>
    <m/>
    <m/>
    <m/>
    <n v="0"/>
  </r>
  <r>
    <s v="CA-1-implementer"/>
    <x v="33"/>
    <s v="CA-1"/>
    <x v="26"/>
    <s v="implementer"/>
    <x v="4"/>
    <x v="0"/>
    <x v="0"/>
    <x v="0"/>
    <n v="12"/>
    <n v="1.6299999999999999E-2"/>
    <x v="1"/>
    <x v="6"/>
    <n v="50"/>
    <x v="12"/>
    <n v="100"/>
    <n v="50"/>
    <s v="quarterly"/>
    <n v="0.9"/>
    <n v="0.9"/>
    <n v="45"/>
    <x v="3"/>
    <m/>
    <m/>
    <m/>
    <m/>
    <n v="0"/>
  </r>
  <r>
    <s v="CA-1-dates-planned"/>
    <x v="33"/>
    <s v="CA-1"/>
    <x v="177"/>
    <s v="dates-planned"/>
    <x v="5"/>
    <x v="0"/>
    <x v="0"/>
    <x v="0"/>
    <n v="16"/>
    <n v="1.6299999999999999E-2"/>
    <x v="1"/>
    <x v="6"/>
    <n v="50"/>
    <x v="134"/>
    <n v="40.465729349699998"/>
    <n v="20.2328646749"/>
    <s v="quarterly"/>
    <n v="0.9"/>
    <n v="0.9"/>
    <n v="18.2095782074"/>
    <x v="3"/>
    <m/>
    <m/>
    <m/>
    <m/>
    <n v="0"/>
  </r>
  <r>
    <s v="CA-1-title"/>
    <x v="33"/>
    <s v="CA-1"/>
    <x v="26"/>
    <s v="title"/>
    <x v="6"/>
    <x v="0"/>
    <x v="0"/>
    <x v="0"/>
    <n v="14"/>
    <n v="1.6299999999999999E-2"/>
    <x v="1"/>
    <x v="6"/>
    <n v="50"/>
    <x v="12"/>
    <n v="100"/>
    <n v="50"/>
    <s v="quarterly"/>
    <n v="0.9"/>
    <n v="0.9"/>
    <n v="45"/>
    <x v="3"/>
    <m/>
    <m/>
    <m/>
    <m/>
    <n v="0"/>
  </r>
  <r>
    <s v="CA-1-unique-id"/>
    <x v="33"/>
    <s v="CA-1"/>
    <x v="26"/>
    <s v="unique-id"/>
    <x v="7"/>
    <x v="0"/>
    <x v="0"/>
    <x v="0"/>
    <n v="13"/>
    <n v="1.6299999999999999E-2"/>
    <x v="1"/>
    <x v="6"/>
    <n v="50"/>
    <x v="12"/>
    <n v="100"/>
    <n v="50"/>
    <s v="quarterly"/>
    <n v="0.9"/>
    <n v="0.9"/>
    <n v="45"/>
    <x v="3"/>
    <m/>
    <m/>
    <m/>
    <m/>
    <n v="0"/>
  </r>
  <r>
    <s v="CA-1-aid-type"/>
    <x v="33"/>
    <s v="CA-1"/>
    <x v="29"/>
    <s v="aid-type"/>
    <x v="8"/>
    <x v="0"/>
    <x v="1"/>
    <x v="1"/>
    <n v="22"/>
    <n v="1.8599999999999998E-2"/>
    <x v="1"/>
    <x v="6"/>
    <n v="50"/>
    <x v="12"/>
    <n v="100"/>
    <n v="50"/>
    <s v="quarterly"/>
    <n v="0.9"/>
    <n v="0.9"/>
    <n v="45"/>
    <x v="3"/>
    <m/>
    <m/>
    <m/>
    <m/>
    <n v="0"/>
  </r>
  <r>
    <s v="CA-1-collaboration-type"/>
    <x v="33"/>
    <s v="CA-1"/>
    <x v="29"/>
    <s v="collaboration-type"/>
    <x v="9"/>
    <x v="0"/>
    <x v="1"/>
    <x v="1"/>
    <n v="20"/>
    <n v="1.8599999999999998E-2"/>
    <x v="1"/>
    <x v="6"/>
    <n v="50"/>
    <x v="12"/>
    <n v="100"/>
    <n v="50"/>
    <s v="quarterly"/>
    <n v="0.9"/>
    <n v="0.9"/>
    <n v="45"/>
    <x v="3"/>
    <m/>
    <m/>
    <m/>
    <m/>
    <n v="0"/>
  </r>
  <r>
    <s v="CA-1-finance-type"/>
    <x v="33"/>
    <s v="CA-1"/>
    <x v="29"/>
    <s v="finance-type"/>
    <x v="10"/>
    <x v="0"/>
    <x v="1"/>
    <x v="1"/>
    <n v="23"/>
    <n v="1.8599999999999998E-2"/>
    <x v="1"/>
    <x v="6"/>
    <n v="50"/>
    <x v="12"/>
    <n v="100"/>
    <n v="50"/>
    <s v="quarterly"/>
    <n v="0.9"/>
    <n v="0.9"/>
    <n v="45"/>
    <x v="3"/>
    <m/>
    <m/>
    <m/>
    <m/>
    <n v="0"/>
  </r>
  <r>
    <s v="CA-1-flow-type"/>
    <x v="33"/>
    <s v="CA-1"/>
    <x v="29"/>
    <s v="flow-type"/>
    <x v="11"/>
    <x v="0"/>
    <x v="1"/>
    <x v="1"/>
    <n v="21"/>
    <n v="1.8599999999999998E-2"/>
    <x v="1"/>
    <x v="6"/>
    <n v="50"/>
    <x v="12"/>
    <n v="100"/>
    <n v="50"/>
    <s v="quarterly"/>
    <n v="0.9"/>
    <n v="0.9"/>
    <n v="45"/>
    <x v="3"/>
    <m/>
    <m/>
    <m/>
    <m/>
    <n v="0"/>
  </r>
  <r>
    <s v="CA-1-sector"/>
    <x v="33"/>
    <s v="CA-1"/>
    <x v="29"/>
    <s v="sector"/>
    <x v="12"/>
    <x v="0"/>
    <x v="1"/>
    <x v="1"/>
    <n v="24"/>
    <n v="1.8599999999999998E-2"/>
    <x v="1"/>
    <x v="6"/>
    <n v="50"/>
    <x v="12"/>
    <n v="100"/>
    <n v="50"/>
    <s v="quarterly"/>
    <n v="0.9"/>
    <n v="0.9"/>
    <n v="45"/>
    <x v="3"/>
    <m/>
    <m/>
    <m/>
    <m/>
    <n v="0"/>
  </r>
  <r>
    <s v="CA-1-cost-overall"/>
    <x v="33"/>
    <s v="CA-1"/>
    <x v="178"/>
    <s v="cost-overall"/>
    <x v="16"/>
    <x v="0"/>
    <x v="2"/>
    <x v="2"/>
    <n v="33"/>
    <n v="3.2500000000000001E-2"/>
    <x v="1"/>
    <x v="6"/>
    <n v="50"/>
    <x v="135"/>
    <n v="40.017667844499996"/>
    <n v="20.008833922299999"/>
    <s v="quarterly"/>
    <n v="0.9"/>
    <n v="0.9"/>
    <n v="18.007950529999999"/>
    <x v="3"/>
    <m/>
    <m/>
    <m/>
    <m/>
    <n v="0"/>
  </r>
  <r>
    <s v="CA-1-expenditure-planned"/>
    <x v="33"/>
    <s v="CA-1"/>
    <x v="60"/>
    <s v="expenditure-planned"/>
    <x v="17"/>
    <x v="0"/>
    <x v="2"/>
    <x v="2"/>
    <n v="34"/>
    <n v="3.2500000000000001E-2"/>
    <x v="1"/>
    <x v="6"/>
    <n v="50"/>
    <x v="12"/>
    <n v="100"/>
    <n v="50"/>
    <s v="quarterly"/>
    <n v="0.9"/>
    <n v="0.9"/>
    <n v="45"/>
    <x v="3"/>
    <m/>
    <m/>
    <m/>
    <m/>
    <n v="0"/>
  </r>
  <r>
    <s v="CA-1-conditions"/>
    <x v="33"/>
    <s v="CA-1"/>
    <x v="63"/>
    <s v="conditions"/>
    <x v="19"/>
    <x v="0"/>
    <x v="3"/>
    <x v="3"/>
    <n v="39"/>
    <n v="4.3299999999999998E-2"/>
    <x v="1"/>
    <x v="6"/>
    <n v="50"/>
    <x v="14"/>
    <n v="50"/>
    <n v="25"/>
    <s v="quarterly"/>
    <n v="0.9"/>
    <n v="0.9"/>
    <n v="22.5"/>
    <x v="3"/>
    <m/>
    <m/>
    <m/>
    <m/>
    <n v="0"/>
  </r>
  <r>
    <s v="CA-1-results"/>
    <x v="33"/>
    <s v="CA-1"/>
    <x v="179"/>
    <s v="results"/>
    <x v="21"/>
    <x v="0"/>
    <x v="3"/>
    <x v="3"/>
    <n v="37"/>
    <n v="4.3299999999999998E-2"/>
    <x v="1"/>
    <x v="6"/>
    <n v="50"/>
    <x v="136"/>
    <n v="40.0263620387"/>
    <n v="20.013181019299999"/>
    <s v="quarterly"/>
    <n v="0.9"/>
    <n v="0.9"/>
    <n v="18.011862917399998"/>
    <x v="3"/>
    <m/>
    <m/>
    <m/>
    <m/>
    <n v="0"/>
  </r>
  <r>
    <s v="CA-1-objectives"/>
    <x v="33"/>
    <s v="CA-1"/>
    <x v="64"/>
    <s v="objectives"/>
    <x v="26"/>
    <x v="0"/>
    <x v="4"/>
    <x v="4"/>
    <n v="29"/>
    <n v="2.1700000000000001E-2"/>
    <x v="1"/>
    <x v="6"/>
    <n v="50"/>
    <x v="12"/>
    <n v="100"/>
    <n v="50"/>
    <s v="quarterly"/>
    <n v="0.9"/>
    <n v="0.9"/>
    <n v="45"/>
    <x v="3"/>
    <m/>
    <m/>
    <m/>
    <m/>
    <n v="0"/>
  </r>
  <r>
    <s v="CA-1-audit"/>
    <x v="33"/>
    <s v="CA-1"/>
    <x v="42"/>
    <s v="audit"/>
    <x v="28"/>
    <x v="1"/>
    <x v="2"/>
    <x v="5"/>
    <n v="11"/>
    <n v="4.1700000000000001E-2"/>
    <x v="1"/>
    <x v="6"/>
    <n v="50"/>
    <x v="5"/>
    <n v="100"/>
    <n v="50"/>
    <s v="quarterly"/>
    <n v="0.9"/>
    <n v="1"/>
    <n v="50"/>
    <x v="3"/>
    <m/>
    <m/>
    <m/>
    <m/>
    <n v="0"/>
  </r>
  <r>
    <s v="CA-1-total-budget"/>
    <x v="33"/>
    <s v="CA-1"/>
    <x v="42"/>
    <s v="total-budget"/>
    <x v="29"/>
    <x v="1"/>
    <x v="2"/>
    <x v="5"/>
    <n v="9"/>
    <n v="4.1700000000000001E-2"/>
    <x v="1"/>
    <x v="6"/>
    <n v="50"/>
    <x v="5"/>
    <n v="100"/>
    <n v="50"/>
    <s v="quarterly"/>
    <n v="0.9"/>
    <n v="1"/>
    <n v="50"/>
    <x v="3"/>
    <m/>
    <m/>
    <m/>
    <m/>
    <n v="0"/>
  </r>
  <r>
    <s v="CA-1-disaggregated-budgets"/>
    <x v="33"/>
    <s v="CA-1"/>
    <x v="42"/>
    <s v="disaggregated-budgets"/>
    <x v="30"/>
    <x v="1"/>
    <x v="2"/>
    <x v="5"/>
    <n v="10"/>
    <n v="4.1700000000000001E-2"/>
    <x v="1"/>
    <x v="6"/>
    <n v="50"/>
    <x v="5"/>
    <n v="100"/>
    <n v="50"/>
    <s v="quarterly"/>
    <n v="0.9"/>
    <n v="1"/>
    <n v="50"/>
    <x v="3"/>
    <m/>
    <m/>
    <m/>
    <m/>
    <n v="0"/>
  </r>
  <r>
    <s v="CA-1-strategy"/>
    <x v="33"/>
    <s v="CA-1"/>
    <x v="43"/>
    <s v="strategy"/>
    <x v="31"/>
    <x v="1"/>
    <x v="5"/>
    <x v="6"/>
    <n v="4"/>
    <n v="2.5000000000000001E-2"/>
    <x v="1"/>
    <x v="6"/>
    <n v="50"/>
    <x v="5"/>
    <n v="100"/>
    <n v="50"/>
    <s v="quarterly"/>
    <n v="0.9"/>
    <n v="1"/>
    <n v="50"/>
    <x v="3"/>
    <m/>
    <m/>
    <m/>
    <m/>
    <n v="0"/>
  </r>
  <r>
    <s v="CA-1-annual-report"/>
    <x v="33"/>
    <s v="CA-1"/>
    <x v="43"/>
    <s v="annual-report"/>
    <x v="32"/>
    <x v="1"/>
    <x v="5"/>
    <x v="6"/>
    <n v="5"/>
    <n v="2.5000000000000001E-2"/>
    <x v="1"/>
    <x v="6"/>
    <n v="50"/>
    <x v="5"/>
    <n v="100"/>
    <n v="50"/>
    <s v="quarterly"/>
    <n v="0.9"/>
    <n v="1"/>
    <n v="50"/>
    <x v="3"/>
    <m/>
    <m/>
    <m/>
    <m/>
    <n v="0"/>
  </r>
  <r>
    <s v="CA-1-allocation"/>
    <x v="33"/>
    <s v="CA-1"/>
    <x v="43"/>
    <s v="allocation"/>
    <x v="33"/>
    <x v="1"/>
    <x v="5"/>
    <x v="6"/>
    <n v="6"/>
    <n v="2.5000000000000001E-2"/>
    <x v="1"/>
    <x v="6"/>
    <n v="50"/>
    <x v="5"/>
    <n v="100"/>
    <n v="50"/>
    <s v="quarterly"/>
    <n v="0.9"/>
    <n v="1"/>
    <n v="50"/>
    <x v="3"/>
    <m/>
    <m/>
    <m/>
    <m/>
    <n v="0"/>
  </r>
  <r>
    <s v="CA-1-procurement-policy"/>
    <x v="33"/>
    <s v="CA-1"/>
    <x v="43"/>
    <s v="procurement-policy"/>
    <x v="34"/>
    <x v="1"/>
    <x v="5"/>
    <x v="6"/>
    <n v="7"/>
    <n v="2.5000000000000001E-2"/>
    <x v="1"/>
    <x v="6"/>
    <n v="50"/>
    <x v="5"/>
    <n v="100"/>
    <n v="50"/>
    <s v="quarterly"/>
    <n v="0.9"/>
    <n v="1"/>
    <n v="50"/>
    <x v="3"/>
    <m/>
    <m/>
    <m/>
    <m/>
    <n v="0"/>
  </r>
  <r>
    <s v="CA-1-country-strategy"/>
    <x v="33"/>
    <s v="CA-1"/>
    <x v="180"/>
    <s v="country-strategy"/>
    <x v="35"/>
    <x v="1"/>
    <x v="5"/>
    <x v="6"/>
    <n v="8"/>
    <n v="2.5000000000000001E-2"/>
    <x v="1"/>
    <x v="6"/>
    <n v="50"/>
    <x v="137"/>
    <n v="40.540540540499997"/>
    <n v="20.270270270299999"/>
    <s v="quarterly"/>
    <n v="0.9"/>
    <n v="1"/>
    <n v="20.270270270299999"/>
    <x v="3"/>
    <m/>
    <m/>
    <m/>
    <m/>
    <n v="0"/>
  </r>
  <r>
    <s v="CA-1-location"/>
    <x v="33"/>
    <s v="CA-1"/>
    <x v="8"/>
    <s v="location"/>
    <x v="13"/>
    <x v="0"/>
    <x v="1"/>
    <x v="1"/>
    <n v="25"/>
    <n v="1.8599999999999998E-2"/>
    <x v="0"/>
    <x v="1"/>
    <n v="33.33"/>
    <x v="1"/>
    <n v="0"/>
    <n v="0"/>
    <s v="quarterly"/>
    <n v="0.9"/>
    <n v="1"/>
    <n v="0"/>
    <x v="1"/>
    <n v="1"/>
    <m/>
    <s v="website"/>
    <n v="33.33"/>
    <n v="33.33"/>
  </r>
  <r>
    <s v="CA-1-tied-aid-status"/>
    <x v="33"/>
    <s v="CA-1"/>
    <x v="8"/>
    <s v="tied-aid-status"/>
    <x v="14"/>
    <x v="0"/>
    <x v="1"/>
    <x v="1"/>
    <n v="26"/>
    <n v="1.8599999999999998E-2"/>
    <x v="0"/>
    <x v="1"/>
    <n v="33.33"/>
    <x v="1"/>
    <n v="0"/>
    <n v="0"/>
    <s v="quarterly"/>
    <n v="0.9"/>
    <n v="1"/>
    <n v="0"/>
    <x v="1"/>
    <n v="1"/>
    <m/>
    <s v="website"/>
    <n v="33.33"/>
    <n v="33.33"/>
  </r>
  <r>
    <s v="CA-1-expenditure-actual"/>
    <x v="33"/>
    <s v="CA-1"/>
    <x v="0"/>
    <s v="expenditure-actual"/>
    <x v="15"/>
    <x v="0"/>
    <x v="2"/>
    <x v="2"/>
    <n v="35"/>
    <n v="3.2500000000000001E-2"/>
    <x v="0"/>
    <x v="0"/>
    <n v="0"/>
    <x v="0"/>
    <n v="0"/>
    <n v="0"/>
    <s v="quarterly"/>
    <n v="0.9"/>
    <n v="1"/>
    <n v="0"/>
    <x v="0"/>
    <n v="0"/>
    <m/>
    <m/>
    <n v="0"/>
    <n v="0"/>
  </r>
  <r>
    <s v="CA-1-budget-identifier"/>
    <x v="33"/>
    <s v="CA-1"/>
    <x v="0"/>
    <s v="budget-identifier"/>
    <x v="18"/>
    <x v="0"/>
    <x v="2"/>
    <x v="2"/>
    <n v="36"/>
    <n v="3.2500000000000001E-2"/>
    <x v="0"/>
    <x v="0"/>
    <n v="0"/>
    <x v="0"/>
    <n v="0"/>
    <n v="0"/>
    <s v="quarterly"/>
    <n v="0.9"/>
    <n v="1"/>
    <n v="0"/>
    <x v="0"/>
    <n v="0"/>
    <m/>
    <m/>
    <n v="0"/>
    <n v="0"/>
  </r>
  <r>
    <s v="CA-1-impact-appraisals"/>
    <x v="33"/>
    <s v="CA-1"/>
    <x v="0"/>
    <s v="impact-appraisals"/>
    <x v="20"/>
    <x v="0"/>
    <x v="3"/>
    <x v="3"/>
    <n v="38"/>
    <n v="4.3299999999999998E-2"/>
    <x v="0"/>
    <x v="2"/>
    <n v="0"/>
    <x v="0"/>
    <n v="0"/>
    <n v="0"/>
    <s v="quarterly"/>
    <n v="0.9"/>
    <n v="1"/>
    <n v="0"/>
    <x v="0"/>
    <n v="0"/>
    <m/>
    <s v="document"/>
    <n v="50"/>
    <n v="0"/>
  </r>
  <r>
    <s v="CA-1-budget"/>
    <x v="33"/>
    <s v="CA-1"/>
    <x v="0"/>
    <s v="budget"/>
    <x v="22"/>
    <x v="0"/>
    <x v="4"/>
    <x v="4"/>
    <n v="30"/>
    <n v="2.1700000000000001E-2"/>
    <x v="0"/>
    <x v="2"/>
    <n v="0"/>
    <x v="0"/>
    <n v="0"/>
    <n v="0"/>
    <s v="quarterly"/>
    <n v="0.9"/>
    <n v="1"/>
    <n v="0"/>
    <x v="0"/>
    <n v="0"/>
    <m/>
    <s v="document"/>
    <n v="50"/>
    <n v="0"/>
  </r>
  <r>
    <s v="CA-1-contracts"/>
    <x v="33"/>
    <s v="CA-1"/>
    <x v="3"/>
    <s v="contracts"/>
    <x v="23"/>
    <x v="0"/>
    <x v="4"/>
    <x v="4"/>
    <n v="31"/>
    <n v="2.1700000000000001E-2"/>
    <x v="0"/>
    <x v="2"/>
    <n v="50"/>
    <x v="2"/>
    <n v="0"/>
    <n v="0"/>
    <s v="quarterly"/>
    <n v="0.9"/>
    <n v="1"/>
    <n v="0"/>
    <x v="1"/>
    <n v="1"/>
    <m/>
    <s v="document"/>
    <n v="50"/>
    <n v="50"/>
  </r>
  <r>
    <s v="CA-1-evaluations"/>
    <x v="33"/>
    <s v="CA-1"/>
    <x v="3"/>
    <s v="evaluations"/>
    <x v="24"/>
    <x v="0"/>
    <x v="4"/>
    <x v="4"/>
    <n v="28"/>
    <n v="2.1700000000000001E-2"/>
    <x v="0"/>
    <x v="2"/>
    <n v="50"/>
    <x v="2"/>
    <n v="0"/>
    <n v="0"/>
    <s v="quarterly"/>
    <n v="0.9"/>
    <n v="1"/>
    <n v="0"/>
    <x v="1"/>
    <n v="1"/>
    <m/>
    <s v="document"/>
    <n v="50"/>
    <n v="50"/>
  </r>
  <r>
    <s v="CA-1-mou"/>
    <x v="33"/>
    <s v="CA-1"/>
    <x v="0"/>
    <s v="mou"/>
    <x v="25"/>
    <x v="0"/>
    <x v="4"/>
    <x v="4"/>
    <n v="27"/>
    <n v="2.1700000000000001E-2"/>
    <x v="0"/>
    <x v="2"/>
    <n v="0"/>
    <x v="0"/>
    <n v="0"/>
    <n v="0"/>
    <s v="quarterly"/>
    <n v="0.9"/>
    <n v="1"/>
    <n v="0"/>
    <x v="0"/>
    <n v="0"/>
    <m/>
    <s v="document"/>
    <n v="50"/>
    <n v="0"/>
  </r>
  <r>
    <s v="CA-1-tenders"/>
    <x v="33"/>
    <s v="CA-1"/>
    <x v="3"/>
    <s v="tenders"/>
    <x v="27"/>
    <x v="0"/>
    <x v="4"/>
    <x v="4"/>
    <n v="32"/>
    <n v="2.1700000000000001E-2"/>
    <x v="0"/>
    <x v="2"/>
    <n v="50"/>
    <x v="2"/>
    <n v="0"/>
    <n v="0"/>
    <s v="quarterly"/>
    <n v="0.9"/>
    <n v="1"/>
    <n v="0"/>
    <x v="1"/>
    <n v="1"/>
    <m/>
    <s v="document"/>
    <n v="50"/>
    <n v="50"/>
  </r>
  <r>
    <s v="CA-1-foia"/>
    <x v="33"/>
    <s v="CA-1"/>
    <x v="15"/>
    <s v="foia"/>
    <x v="36"/>
    <x v="2"/>
    <x v="6"/>
    <x v="7"/>
    <n v="1"/>
    <n v="3.3300000000000003E-2"/>
    <x v="0"/>
    <x v="5"/>
    <n v="66.66"/>
    <x v="6"/>
    <n v="0"/>
    <n v="0"/>
    <s v="quarterly"/>
    <n v="0.9"/>
    <n v="1"/>
    <n v="0"/>
    <x v="3"/>
    <n v="0"/>
    <n v="66.66"/>
    <m/>
    <n v="0"/>
    <n v="66.66"/>
  </r>
  <r>
    <s v="CA-1-accessibility"/>
    <x v="33"/>
    <s v="CA-1"/>
    <x v="10"/>
    <s v="accessibility"/>
    <x v="37"/>
    <x v="2"/>
    <x v="6"/>
    <x v="7"/>
    <n v="3"/>
    <n v="3.3300000000000003E-2"/>
    <x v="0"/>
    <x v="5"/>
    <n v="100"/>
    <x v="5"/>
    <n v="0"/>
    <n v="0"/>
    <s v="quarterly"/>
    <n v="0.9"/>
    <n v="1"/>
    <n v="0"/>
    <x v="3"/>
    <n v="0"/>
    <n v="100"/>
    <m/>
    <n v="0"/>
    <n v="100"/>
  </r>
  <r>
    <s v="CA-1-implementation-schedules"/>
    <x v="33"/>
    <s v="CA-1"/>
    <x v="171"/>
    <s v="implementation-schedules"/>
    <x v="38"/>
    <x v="2"/>
    <x v="6"/>
    <x v="7"/>
    <n v="2"/>
    <n v="3.3300000000000003E-2"/>
    <x v="0"/>
    <x v="5"/>
    <n v="94"/>
    <x v="130"/>
    <n v="0"/>
    <n v="0"/>
    <s v="quarterly"/>
    <n v="0.9"/>
    <n v="1"/>
    <n v="0"/>
    <x v="3"/>
    <n v="0"/>
    <n v="94"/>
    <m/>
    <n v="0"/>
    <n v="94"/>
  </r>
  <r>
    <s v="NZ-2-dates-actual"/>
    <x v="34"/>
    <s v="NZ-2"/>
    <x v="26"/>
    <s v="dates-actual"/>
    <x v="0"/>
    <x v="0"/>
    <x v="0"/>
    <x v="0"/>
    <n v="17"/>
    <n v="1.6299999999999999E-2"/>
    <x v="1"/>
    <x v="6"/>
    <n v="50"/>
    <x v="12"/>
    <n v="100"/>
    <n v="50"/>
    <s v="quarterly"/>
    <n v="0.9"/>
    <n v="0.9"/>
    <n v="45"/>
    <x v="3"/>
    <m/>
    <m/>
    <m/>
    <m/>
    <n v="0"/>
  </r>
  <r>
    <s v="NZ-2-contact-details"/>
    <x v="34"/>
    <s v="NZ-2"/>
    <x v="26"/>
    <s v="contact-details"/>
    <x v="1"/>
    <x v="0"/>
    <x v="0"/>
    <x v="0"/>
    <n v="19"/>
    <n v="1.6299999999999999E-2"/>
    <x v="1"/>
    <x v="6"/>
    <n v="50"/>
    <x v="12"/>
    <n v="100"/>
    <n v="50"/>
    <s v="quarterly"/>
    <n v="0.9"/>
    <n v="0.9"/>
    <n v="45"/>
    <x v="3"/>
    <m/>
    <m/>
    <m/>
    <m/>
    <n v="0"/>
  </r>
  <r>
    <s v="NZ-2-current-status"/>
    <x v="34"/>
    <s v="NZ-2"/>
    <x v="26"/>
    <s v="current-status"/>
    <x v="2"/>
    <x v="0"/>
    <x v="0"/>
    <x v="0"/>
    <n v="18"/>
    <n v="1.6299999999999999E-2"/>
    <x v="1"/>
    <x v="6"/>
    <n v="50"/>
    <x v="12"/>
    <n v="100"/>
    <n v="50"/>
    <s v="quarterly"/>
    <n v="0.9"/>
    <n v="0.9"/>
    <n v="45"/>
    <x v="3"/>
    <m/>
    <m/>
    <m/>
    <m/>
    <n v="0"/>
  </r>
  <r>
    <s v="NZ-2-description"/>
    <x v="34"/>
    <s v="NZ-2"/>
    <x v="181"/>
    <s v="description"/>
    <x v="3"/>
    <x v="0"/>
    <x v="0"/>
    <x v="0"/>
    <n v="15"/>
    <n v="1.6299999999999999E-2"/>
    <x v="1"/>
    <x v="6"/>
    <n v="50"/>
    <x v="138"/>
    <n v="99.625748502999997"/>
    <n v="49.812874251499998"/>
    <s v="quarterly"/>
    <n v="0.9"/>
    <n v="0.9"/>
    <n v="44.831586826299997"/>
    <x v="3"/>
    <m/>
    <m/>
    <m/>
    <m/>
    <n v="0"/>
  </r>
  <r>
    <s v="NZ-2-dates-planned"/>
    <x v="34"/>
    <s v="NZ-2"/>
    <x v="26"/>
    <s v="dates-planned"/>
    <x v="5"/>
    <x v="0"/>
    <x v="0"/>
    <x v="0"/>
    <n v="16"/>
    <n v="1.6299999999999999E-2"/>
    <x v="1"/>
    <x v="6"/>
    <n v="50"/>
    <x v="12"/>
    <n v="100"/>
    <n v="50"/>
    <s v="quarterly"/>
    <n v="0.9"/>
    <n v="0.9"/>
    <n v="45"/>
    <x v="3"/>
    <m/>
    <m/>
    <m/>
    <m/>
    <n v="0"/>
  </r>
  <r>
    <s v="NZ-2-title"/>
    <x v="34"/>
    <s v="NZ-2"/>
    <x v="182"/>
    <s v="title"/>
    <x v="6"/>
    <x v="0"/>
    <x v="0"/>
    <x v="0"/>
    <n v="14"/>
    <n v="1.6299999999999999E-2"/>
    <x v="1"/>
    <x v="6"/>
    <n v="50"/>
    <x v="139"/>
    <n v="99.401197604800004"/>
    <n v="49.700598802400002"/>
    <s v="quarterly"/>
    <n v="0.9"/>
    <n v="0.9"/>
    <n v="44.730538922199997"/>
    <x v="3"/>
    <m/>
    <m/>
    <m/>
    <m/>
    <n v="0"/>
  </r>
  <r>
    <s v="NZ-2-unique-id"/>
    <x v="34"/>
    <s v="NZ-2"/>
    <x v="26"/>
    <s v="unique-id"/>
    <x v="7"/>
    <x v="0"/>
    <x v="0"/>
    <x v="0"/>
    <n v="13"/>
    <n v="1.6299999999999999E-2"/>
    <x v="1"/>
    <x v="6"/>
    <n v="50"/>
    <x v="12"/>
    <n v="100"/>
    <n v="50"/>
    <s v="quarterly"/>
    <n v="0.9"/>
    <n v="0.9"/>
    <n v="45"/>
    <x v="3"/>
    <m/>
    <m/>
    <m/>
    <m/>
    <n v="0"/>
  </r>
  <r>
    <s v="NZ-2-aid-type"/>
    <x v="34"/>
    <s v="NZ-2"/>
    <x v="183"/>
    <s v="aid-type"/>
    <x v="8"/>
    <x v="0"/>
    <x v="1"/>
    <x v="1"/>
    <n v="22"/>
    <n v="1.8599999999999998E-2"/>
    <x v="1"/>
    <x v="6"/>
    <n v="50"/>
    <x v="140"/>
    <n v="95.808383233499995"/>
    <n v="47.904191616799999"/>
    <s v="quarterly"/>
    <n v="0.9"/>
    <n v="0.9"/>
    <n v="43.113772455099998"/>
    <x v="3"/>
    <m/>
    <m/>
    <m/>
    <m/>
    <n v="0"/>
  </r>
  <r>
    <s v="NZ-2-finance-type"/>
    <x v="34"/>
    <s v="NZ-2"/>
    <x v="29"/>
    <s v="finance-type"/>
    <x v="10"/>
    <x v="0"/>
    <x v="1"/>
    <x v="1"/>
    <n v="23"/>
    <n v="1.8599999999999998E-2"/>
    <x v="1"/>
    <x v="6"/>
    <n v="50"/>
    <x v="12"/>
    <n v="100"/>
    <n v="50"/>
    <s v="quarterly"/>
    <n v="0.9"/>
    <n v="0.9"/>
    <n v="45"/>
    <x v="3"/>
    <m/>
    <m/>
    <m/>
    <m/>
    <n v="0"/>
  </r>
  <r>
    <s v="NZ-2-flow-type"/>
    <x v="34"/>
    <s v="NZ-2"/>
    <x v="29"/>
    <s v="flow-type"/>
    <x v="11"/>
    <x v="0"/>
    <x v="1"/>
    <x v="1"/>
    <n v="21"/>
    <n v="1.8599999999999998E-2"/>
    <x v="1"/>
    <x v="6"/>
    <n v="50"/>
    <x v="12"/>
    <n v="100"/>
    <n v="50"/>
    <s v="quarterly"/>
    <n v="0.9"/>
    <n v="0.9"/>
    <n v="45"/>
    <x v="3"/>
    <m/>
    <m/>
    <m/>
    <m/>
    <n v="0"/>
  </r>
  <r>
    <s v="NZ-2-sector"/>
    <x v="34"/>
    <s v="NZ-2"/>
    <x v="184"/>
    <s v="sector"/>
    <x v="12"/>
    <x v="0"/>
    <x v="1"/>
    <x v="1"/>
    <n v="24"/>
    <n v="1.8599999999999998E-2"/>
    <x v="1"/>
    <x v="6"/>
    <n v="50"/>
    <x v="141"/>
    <n v="99.176646706599996"/>
    <n v="49.588323353299998"/>
    <s v="quarterly"/>
    <n v="0.9"/>
    <n v="0.9"/>
    <n v="44.629491018000003"/>
    <x v="3"/>
    <m/>
    <m/>
    <m/>
    <m/>
    <n v="0"/>
  </r>
  <r>
    <s v="NZ-2-tied-aid-status"/>
    <x v="34"/>
    <s v="NZ-2"/>
    <x v="29"/>
    <s v="tied-aid-status"/>
    <x v="14"/>
    <x v="0"/>
    <x v="1"/>
    <x v="1"/>
    <n v="26"/>
    <n v="1.8599999999999998E-2"/>
    <x v="1"/>
    <x v="6"/>
    <n v="50"/>
    <x v="12"/>
    <n v="100"/>
    <n v="50"/>
    <s v="quarterly"/>
    <n v="0.9"/>
    <n v="0.9"/>
    <n v="45"/>
    <x v="3"/>
    <m/>
    <m/>
    <m/>
    <m/>
    <n v="0"/>
  </r>
  <r>
    <s v="NZ-2-expenditure-actual"/>
    <x v="34"/>
    <s v="NZ-2"/>
    <x v="185"/>
    <s v="expenditure-actual"/>
    <x v="15"/>
    <x v="0"/>
    <x v="2"/>
    <x v="2"/>
    <n v="35"/>
    <n v="3.2500000000000001E-2"/>
    <x v="1"/>
    <x v="6"/>
    <n v="50"/>
    <x v="142"/>
    <n v="86.826347305400006"/>
    <n v="43.413173652700003"/>
    <s v="quarterly"/>
    <n v="0.9"/>
    <n v="0.9"/>
    <n v="39.071856287400003"/>
    <x v="3"/>
    <m/>
    <m/>
    <m/>
    <m/>
    <n v="0"/>
  </r>
  <r>
    <s v="NZ-2-implementer"/>
    <x v="34"/>
    <s v="NZ-2"/>
    <x v="0"/>
    <s v="implementer"/>
    <x v="4"/>
    <x v="0"/>
    <x v="0"/>
    <x v="0"/>
    <n v="12"/>
    <n v="1.6299999999999999E-2"/>
    <x v="0"/>
    <x v="3"/>
    <n v="0"/>
    <x v="0"/>
    <n v="0"/>
    <n v="0"/>
    <s v="quarterly"/>
    <n v="0.9"/>
    <n v="1"/>
    <n v="0"/>
    <x v="2"/>
    <n v="0"/>
    <m/>
    <s v="pdf"/>
    <n v="16.664999999999999"/>
    <n v="0"/>
  </r>
  <r>
    <s v="NZ-2-collaboration-type"/>
    <x v="34"/>
    <s v="NZ-2"/>
    <x v="8"/>
    <s v="collaboration-type"/>
    <x v="9"/>
    <x v="0"/>
    <x v="1"/>
    <x v="1"/>
    <n v="20"/>
    <n v="1.8599999999999998E-2"/>
    <x v="0"/>
    <x v="1"/>
    <n v="33.33"/>
    <x v="1"/>
    <n v="0"/>
    <n v="0"/>
    <s v="quarterly"/>
    <n v="0.9"/>
    <n v="1"/>
    <n v="0"/>
    <x v="1"/>
    <n v="1"/>
    <m/>
    <s v="website"/>
    <n v="33.33"/>
    <n v="33.33"/>
  </r>
  <r>
    <s v="NZ-2-location"/>
    <x v="34"/>
    <s v="NZ-2"/>
    <x v="0"/>
    <s v="location"/>
    <x v="13"/>
    <x v="0"/>
    <x v="1"/>
    <x v="1"/>
    <n v="25"/>
    <n v="1.8599999999999998E-2"/>
    <x v="0"/>
    <x v="4"/>
    <n v="0"/>
    <x v="0"/>
    <n v="0"/>
    <n v="0"/>
    <s v="quarterly"/>
    <n v="0.9"/>
    <n v="1"/>
    <n v="0"/>
    <x v="2"/>
    <n v="0"/>
    <m/>
    <s v="machine-readable"/>
    <n v="50"/>
    <n v="0"/>
  </r>
  <r>
    <s v="NZ-2-cost-overall"/>
    <x v="34"/>
    <s v="NZ-2"/>
    <x v="14"/>
    <s v="cost-overall"/>
    <x v="16"/>
    <x v="0"/>
    <x v="2"/>
    <x v="2"/>
    <n v="33"/>
    <n v="3.2500000000000001E-2"/>
    <x v="0"/>
    <x v="4"/>
    <n v="50"/>
    <x v="2"/>
    <n v="0"/>
    <n v="0"/>
    <s v="quarterly"/>
    <n v="0.9"/>
    <n v="1"/>
    <n v="0"/>
    <x v="1"/>
    <n v="1"/>
    <m/>
    <s v="machine-readable"/>
    <n v="50"/>
    <n v="50"/>
  </r>
  <r>
    <s v="NZ-2-expenditure-planned"/>
    <x v="34"/>
    <s v="NZ-2"/>
    <x v="19"/>
    <s v="expenditure-planned"/>
    <x v="17"/>
    <x v="0"/>
    <x v="2"/>
    <x v="2"/>
    <n v="34"/>
    <n v="3.2500000000000001E-2"/>
    <x v="0"/>
    <x v="3"/>
    <n v="16.664999999999999"/>
    <x v="4"/>
    <n v="0"/>
    <n v="0"/>
    <s v="quarterly"/>
    <n v="0.9"/>
    <n v="1"/>
    <n v="0"/>
    <x v="1"/>
    <n v="1"/>
    <m/>
    <s v="pdf"/>
    <n v="16.664999999999999"/>
    <n v="16.664999999999999"/>
  </r>
  <r>
    <s v="NZ-2-budget-identifier"/>
    <x v="34"/>
    <s v="NZ-2"/>
    <x v="0"/>
    <s v="budget-identifier"/>
    <x v="18"/>
    <x v="0"/>
    <x v="2"/>
    <x v="2"/>
    <n v="36"/>
    <n v="3.2500000000000001E-2"/>
    <x v="0"/>
    <x v="0"/>
    <n v="0"/>
    <x v="0"/>
    <n v="0"/>
    <n v="0"/>
    <s v="quarterly"/>
    <n v="0.9"/>
    <n v="1"/>
    <n v="0"/>
    <x v="0"/>
    <n v="0"/>
    <m/>
    <m/>
    <n v="0"/>
    <n v="0"/>
  </r>
  <r>
    <s v="NZ-2-conditions"/>
    <x v="34"/>
    <s v="NZ-2"/>
    <x v="0"/>
    <s v="conditions"/>
    <x v="19"/>
    <x v="0"/>
    <x v="3"/>
    <x v="3"/>
    <n v="39"/>
    <n v="4.3299999999999998E-2"/>
    <x v="0"/>
    <x v="2"/>
    <n v="0"/>
    <x v="0"/>
    <n v="0"/>
    <n v="0"/>
    <s v="quarterly"/>
    <n v="0.9"/>
    <n v="1"/>
    <n v="0"/>
    <x v="0"/>
    <n v="0"/>
    <m/>
    <s v="document"/>
    <n v="50"/>
    <n v="0"/>
  </r>
  <r>
    <s v="NZ-2-impact-appraisals"/>
    <x v="34"/>
    <s v="NZ-2"/>
    <x v="0"/>
    <s v="impact-appraisals"/>
    <x v="20"/>
    <x v="0"/>
    <x v="3"/>
    <x v="3"/>
    <n v="38"/>
    <n v="4.3299999999999998E-2"/>
    <x v="0"/>
    <x v="2"/>
    <n v="0"/>
    <x v="0"/>
    <n v="0"/>
    <n v="0"/>
    <s v="quarterly"/>
    <n v="0.9"/>
    <n v="1"/>
    <n v="0"/>
    <x v="0"/>
    <n v="0"/>
    <m/>
    <s v="document"/>
    <n v="50"/>
    <n v="0"/>
  </r>
  <r>
    <s v="NZ-2-results"/>
    <x v="34"/>
    <s v="NZ-2"/>
    <x v="0"/>
    <s v="results"/>
    <x v="21"/>
    <x v="0"/>
    <x v="3"/>
    <x v="3"/>
    <n v="37"/>
    <n v="4.3299999999999998E-2"/>
    <x v="0"/>
    <x v="0"/>
    <n v="0"/>
    <x v="0"/>
    <n v="0"/>
    <n v="0"/>
    <s v="quarterly"/>
    <n v="0.9"/>
    <n v="1"/>
    <n v="0"/>
    <x v="0"/>
    <n v="0"/>
    <m/>
    <m/>
    <n v="0"/>
    <n v="0"/>
  </r>
  <r>
    <s v="NZ-2-budget"/>
    <x v="34"/>
    <s v="NZ-2"/>
    <x v="0"/>
    <s v="budget"/>
    <x v="22"/>
    <x v="0"/>
    <x v="4"/>
    <x v="4"/>
    <n v="30"/>
    <n v="2.1700000000000001E-2"/>
    <x v="0"/>
    <x v="2"/>
    <n v="0"/>
    <x v="0"/>
    <n v="0"/>
    <n v="0"/>
    <s v="quarterly"/>
    <n v="0.9"/>
    <n v="1"/>
    <n v="0"/>
    <x v="0"/>
    <n v="0"/>
    <m/>
    <s v="document"/>
    <n v="50"/>
    <n v="0"/>
  </r>
  <r>
    <s v="NZ-2-contracts"/>
    <x v="34"/>
    <s v="NZ-2"/>
    <x v="3"/>
    <s v="contracts"/>
    <x v="23"/>
    <x v="0"/>
    <x v="4"/>
    <x v="4"/>
    <n v="31"/>
    <n v="2.1700000000000001E-2"/>
    <x v="0"/>
    <x v="2"/>
    <n v="50"/>
    <x v="2"/>
    <n v="0"/>
    <n v="0"/>
    <s v="quarterly"/>
    <n v="0.9"/>
    <n v="1"/>
    <n v="0"/>
    <x v="1"/>
    <n v="1"/>
    <m/>
    <s v="document"/>
    <n v="50"/>
    <n v="50"/>
  </r>
  <r>
    <s v="NZ-2-evaluations"/>
    <x v="34"/>
    <s v="NZ-2"/>
    <x v="3"/>
    <s v="evaluations"/>
    <x v="24"/>
    <x v="0"/>
    <x v="4"/>
    <x v="4"/>
    <n v="28"/>
    <n v="2.1700000000000001E-2"/>
    <x v="0"/>
    <x v="2"/>
    <n v="50"/>
    <x v="2"/>
    <n v="0"/>
    <n v="0"/>
    <s v="quarterly"/>
    <n v="0.9"/>
    <n v="1"/>
    <n v="0"/>
    <x v="1"/>
    <n v="1"/>
    <m/>
    <s v="document"/>
    <n v="50"/>
    <n v="50"/>
  </r>
  <r>
    <s v="NZ-2-mou"/>
    <x v="34"/>
    <s v="NZ-2"/>
    <x v="3"/>
    <s v="mou"/>
    <x v="25"/>
    <x v="0"/>
    <x v="4"/>
    <x v="4"/>
    <n v="27"/>
    <n v="2.1700000000000001E-2"/>
    <x v="0"/>
    <x v="2"/>
    <n v="50"/>
    <x v="2"/>
    <n v="0"/>
    <n v="0"/>
    <s v="quarterly"/>
    <n v="0.9"/>
    <n v="1"/>
    <n v="0"/>
    <x v="1"/>
    <n v="1"/>
    <m/>
    <s v="document"/>
    <n v="50"/>
    <n v="50"/>
  </r>
  <r>
    <s v="NZ-2-objectives"/>
    <x v="34"/>
    <s v="NZ-2"/>
    <x v="3"/>
    <s v="objectives"/>
    <x v="26"/>
    <x v="0"/>
    <x v="4"/>
    <x v="4"/>
    <n v="29"/>
    <n v="2.1700000000000001E-2"/>
    <x v="0"/>
    <x v="2"/>
    <n v="50"/>
    <x v="2"/>
    <n v="0"/>
    <n v="0"/>
    <s v="quarterly"/>
    <n v="0.9"/>
    <n v="1"/>
    <n v="0"/>
    <x v="1"/>
    <n v="1"/>
    <m/>
    <s v="document"/>
    <n v="50"/>
    <n v="50"/>
  </r>
  <r>
    <s v="NZ-2-tenders"/>
    <x v="34"/>
    <s v="NZ-2"/>
    <x v="3"/>
    <s v="tenders"/>
    <x v="27"/>
    <x v="0"/>
    <x v="4"/>
    <x v="4"/>
    <n v="32"/>
    <n v="2.1700000000000001E-2"/>
    <x v="0"/>
    <x v="2"/>
    <n v="50"/>
    <x v="2"/>
    <n v="0"/>
    <n v="0"/>
    <s v="quarterly"/>
    <n v="0.9"/>
    <n v="1"/>
    <n v="0"/>
    <x v="1"/>
    <n v="1"/>
    <m/>
    <s v="document"/>
    <n v="50"/>
    <n v="50"/>
  </r>
  <r>
    <s v="NZ-2-audit"/>
    <x v="34"/>
    <s v="NZ-2"/>
    <x v="4"/>
    <s v="audit"/>
    <x v="28"/>
    <x v="1"/>
    <x v="2"/>
    <x v="5"/>
    <n v="11"/>
    <n v="4.1700000000000001E-2"/>
    <x v="0"/>
    <x v="2"/>
    <n v="50"/>
    <x v="2"/>
    <n v="0"/>
    <n v="0"/>
    <s v="quarterly"/>
    <n v="0.9"/>
    <n v="1"/>
    <n v="0"/>
    <x v="1"/>
    <n v="1"/>
    <m/>
    <s v="document"/>
    <n v="50"/>
    <n v="50"/>
  </r>
  <r>
    <s v="NZ-2-total-budget"/>
    <x v="34"/>
    <s v="NZ-2"/>
    <x v="5"/>
    <s v="total-budget"/>
    <x v="29"/>
    <x v="1"/>
    <x v="2"/>
    <x v="5"/>
    <n v="9"/>
    <n v="4.1700000000000001E-2"/>
    <x v="0"/>
    <x v="1"/>
    <n v="11.11"/>
    <x v="3"/>
    <n v="0"/>
    <n v="0"/>
    <s v="quarterly"/>
    <n v="0.9"/>
    <n v="1"/>
    <n v="0"/>
    <x v="3"/>
    <n v="0"/>
    <n v="1"/>
    <s v="website"/>
    <n v="33.33"/>
    <n v="11.11"/>
  </r>
  <r>
    <s v="NZ-2-disaggregated-budgets"/>
    <x v="34"/>
    <s v="NZ-2"/>
    <x v="5"/>
    <s v="disaggregated-budgets"/>
    <x v="30"/>
    <x v="1"/>
    <x v="2"/>
    <x v="5"/>
    <n v="10"/>
    <n v="4.1700000000000001E-2"/>
    <x v="0"/>
    <x v="1"/>
    <n v="11.11"/>
    <x v="3"/>
    <n v="0"/>
    <n v="0"/>
    <s v="quarterly"/>
    <n v="0.9"/>
    <n v="1"/>
    <n v="0"/>
    <x v="3"/>
    <n v="0"/>
    <n v="1"/>
    <s v="website"/>
    <n v="33.33"/>
    <n v="11.11"/>
  </r>
  <r>
    <s v="NZ-2-strategy"/>
    <x v="34"/>
    <s v="NZ-2"/>
    <x v="6"/>
    <s v="strategy"/>
    <x v="31"/>
    <x v="1"/>
    <x v="5"/>
    <x v="6"/>
    <n v="4"/>
    <n v="2.5000000000000001E-2"/>
    <x v="0"/>
    <x v="2"/>
    <n v="50"/>
    <x v="2"/>
    <n v="0"/>
    <n v="0"/>
    <s v="quarterly"/>
    <n v="0.9"/>
    <n v="1"/>
    <n v="0"/>
    <x v="1"/>
    <n v="1"/>
    <m/>
    <s v="document"/>
    <n v="50"/>
    <n v="50"/>
  </r>
  <r>
    <s v="NZ-2-annual-report"/>
    <x v="34"/>
    <s v="NZ-2"/>
    <x v="6"/>
    <s v="annual-report"/>
    <x v="32"/>
    <x v="1"/>
    <x v="5"/>
    <x v="6"/>
    <n v="5"/>
    <n v="2.5000000000000001E-2"/>
    <x v="0"/>
    <x v="2"/>
    <n v="50"/>
    <x v="2"/>
    <n v="0"/>
    <n v="0"/>
    <s v="quarterly"/>
    <n v="0.9"/>
    <n v="1"/>
    <n v="0"/>
    <x v="1"/>
    <n v="1"/>
    <m/>
    <s v="document"/>
    <n v="50"/>
    <n v="50"/>
  </r>
  <r>
    <s v="NZ-2-allocation"/>
    <x v="34"/>
    <s v="NZ-2"/>
    <x v="6"/>
    <s v="allocation"/>
    <x v="33"/>
    <x v="1"/>
    <x v="5"/>
    <x v="6"/>
    <n v="6"/>
    <n v="2.5000000000000001E-2"/>
    <x v="0"/>
    <x v="2"/>
    <n v="50"/>
    <x v="2"/>
    <n v="0"/>
    <n v="0"/>
    <s v="quarterly"/>
    <n v="0.9"/>
    <n v="1"/>
    <n v="0"/>
    <x v="1"/>
    <n v="1"/>
    <m/>
    <s v="document"/>
    <n v="50"/>
    <n v="50"/>
  </r>
  <r>
    <s v="NZ-2-procurement-policy"/>
    <x v="34"/>
    <s v="NZ-2"/>
    <x v="6"/>
    <s v="procurement-policy"/>
    <x v="34"/>
    <x v="1"/>
    <x v="5"/>
    <x v="6"/>
    <n v="7"/>
    <n v="2.5000000000000001E-2"/>
    <x v="0"/>
    <x v="2"/>
    <n v="50"/>
    <x v="2"/>
    <n v="0"/>
    <n v="0"/>
    <s v="quarterly"/>
    <n v="0.9"/>
    <n v="1"/>
    <n v="0"/>
    <x v="1"/>
    <n v="1"/>
    <m/>
    <s v="document"/>
    <n v="50"/>
    <n v="50"/>
  </r>
  <r>
    <s v="NZ-2-country-strategy"/>
    <x v="34"/>
    <s v="NZ-2"/>
    <x v="6"/>
    <s v="country-strategy"/>
    <x v="35"/>
    <x v="1"/>
    <x v="5"/>
    <x v="6"/>
    <n v="8"/>
    <n v="2.5000000000000001E-2"/>
    <x v="0"/>
    <x v="2"/>
    <n v="50"/>
    <x v="2"/>
    <n v="0"/>
    <n v="0"/>
    <s v="quarterly"/>
    <n v="0.9"/>
    <n v="1"/>
    <n v="0"/>
    <x v="1"/>
    <n v="1"/>
    <m/>
    <s v="document"/>
    <n v="50"/>
    <n v="50"/>
  </r>
  <r>
    <s v="NZ-2-foia"/>
    <x v="34"/>
    <s v="NZ-2"/>
    <x v="10"/>
    <s v="foia"/>
    <x v="36"/>
    <x v="2"/>
    <x v="6"/>
    <x v="7"/>
    <n v="1"/>
    <n v="3.3300000000000003E-2"/>
    <x v="0"/>
    <x v="5"/>
    <n v="100"/>
    <x v="5"/>
    <n v="0"/>
    <n v="0"/>
    <s v="quarterly"/>
    <n v="0.9"/>
    <n v="1"/>
    <n v="0"/>
    <x v="3"/>
    <n v="0"/>
    <n v="100"/>
    <m/>
    <n v="0"/>
    <n v="100"/>
  </r>
  <r>
    <s v="NZ-2-accessibility"/>
    <x v="34"/>
    <s v="NZ-2"/>
    <x v="0"/>
    <s v="accessibility"/>
    <x v="37"/>
    <x v="2"/>
    <x v="6"/>
    <x v="7"/>
    <n v="3"/>
    <n v="3.3300000000000003E-2"/>
    <x v="0"/>
    <x v="5"/>
    <n v="0"/>
    <x v="0"/>
    <n v="0"/>
    <n v="0"/>
    <s v="quarterly"/>
    <n v="0.9"/>
    <n v="1"/>
    <n v="0"/>
    <x v="3"/>
    <n v="0"/>
    <n v="0"/>
    <m/>
    <n v="0"/>
    <n v="0"/>
  </r>
  <r>
    <s v="NZ-2-implementation-schedules"/>
    <x v="34"/>
    <s v="NZ-2"/>
    <x v="186"/>
    <s v="implementation-schedules"/>
    <x v="38"/>
    <x v="2"/>
    <x v="6"/>
    <x v="7"/>
    <n v="2"/>
    <n v="3.3300000000000003E-2"/>
    <x v="0"/>
    <x v="5"/>
    <n v="54"/>
    <x v="143"/>
    <n v="0"/>
    <n v="0"/>
    <s v="quarterly"/>
    <n v="0.9"/>
    <n v="1"/>
    <n v="0"/>
    <x v="3"/>
    <n v="0"/>
    <n v="54"/>
    <m/>
    <n v="0"/>
    <n v="54"/>
  </r>
  <r>
    <s v="PL-1-dates-actual"/>
    <x v="35"/>
    <s v="PL-1"/>
    <x v="0"/>
    <s v="dates-actual"/>
    <x v="0"/>
    <x v="0"/>
    <x v="0"/>
    <x v="0"/>
    <n v="17"/>
    <n v="1.6299999999999999E-2"/>
    <x v="0"/>
    <x v="0"/>
    <n v="0"/>
    <x v="0"/>
    <n v="0"/>
    <n v="0"/>
    <m/>
    <n v="1"/>
    <n v="1"/>
    <n v="0"/>
    <x v="0"/>
    <n v="0"/>
    <m/>
    <m/>
    <n v="0"/>
    <n v="0"/>
  </r>
  <r>
    <s v="PL-1-contact-details"/>
    <x v="35"/>
    <s v="PL-1"/>
    <x v="1"/>
    <s v="contact-details"/>
    <x v="1"/>
    <x v="0"/>
    <x v="0"/>
    <x v="0"/>
    <n v="19"/>
    <n v="1.6299999999999999E-2"/>
    <x v="0"/>
    <x v="1"/>
    <n v="33.33"/>
    <x v="1"/>
    <n v="0"/>
    <n v="0"/>
    <m/>
    <n v="1"/>
    <n v="1"/>
    <n v="0"/>
    <x v="1"/>
    <n v="1"/>
    <m/>
    <s v="website"/>
    <n v="33.33"/>
    <n v="33.33"/>
  </r>
  <r>
    <s v="PL-1-current-status"/>
    <x v="35"/>
    <s v="PL-1"/>
    <x v="0"/>
    <s v="current-status"/>
    <x v="2"/>
    <x v="0"/>
    <x v="0"/>
    <x v="0"/>
    <n v="18"/>
    <n v="1.6299999999999999E-2"/>
    <x v="0"/>
    <x v="0"/>
    <n v="0"/>
    <x v="0"/>
    <n v="0"/>
    <n v="0"/>
    <m/>
    <n v="1"/>
    <n v="1"/>
    <n v="0"/>
    <x v="0"/>
    <n v="0"/>
    <m/>
    <m/>
    <n v="0"/>
    <n v="0"/>
  </r>
  <r>
    <s v="PL-1-description"/>
    <x v="35"/>
    <s v="PL-1"/>
    <x v="0"/>
    <s v="description"/>
    <x v="3"/>
    <x v="0"/>
    <x v="0"/>
    <x v="0"/>
    <n v="15"/>
    <n v="1.6299999999999999E-2"/>
    <x v="0"/>
    <x v="0"/>
    <n v="0"/>
    <x v="0"/>
    <n v="0"/>
    <n v="0"/>
    <m/>
    <n v="1"/>
    <n v="1"/>
    <n v="0"/>
    <x v="0"/>
    <n v="0"/>
    <m/>
    <m/>
    <n v="0"/>
    <n v="0"/>
  </r>
  <r>
    <s v="PL-1-implementer"/>
    <x v="35"/>
    <s v="PL-1"/>
    <x v="1"/>
    <s v="implementer"/>
    <x v="4"/>
    <x v="0"/>
    <x v="0"/>
    <x v="0"/>
    <n v="12"/>
    <n v="1.6299999999999999E-2"/>
    <x v="0"/>
    <x v="1"/>
    <n v="33.33"/>
    <x v="1"/>
    <n v="0"/>
    <n v="0"/>
    <m/>
    <n v="1"/>
    <n v="1"/>
    <n v="0"/>
    <x v="1"/>
    <n v="1"/>
    <m/>
    <s v="website"/>
    <n v="33.33"/>
    <n v="33.33"/>
  </r>
  <r>
    <s v="PL-1-dates-planned"/>
    <x v="35"/>
    <s v="PL-1"/>
    <x v="0"/>
    <s v="dates-planned"/>
    <x v="5"/>
    <x v="0"/>
    <x v="0"/>
    <x v="0"/>
    <n v="16"/>
    <n v="1.6299999999999999E-2"/>
    <x v="0"/>
    <x v="0"/>
    <n v="0"/>
    <x v="0"/>
    <n v="0"/>
    <n v="0"/>
    <m/>
    <n v="1"/>
    <n v="1"/>
    <n v="0"/>
    <x v="0"/>
    <n v="0"/>
    <m/>
    <m/>
    <n v="0"/>
    <n v="0"/>
  </r>
  <r>
    <s v="PL-1-title"/>
    <x v="35"/>
    <s v="PL-1"/>
    <x v="1"/>
    <s v="title"/>
    <x v="6"/>
    <x v="0"/>
    <x v="0"/>
    <x v="0"/>
    <n v="14"/>
    <n v="1.6299999999999999E-2"/>
    <x v="0"/>
    <x v="1"/>
    <n v="33.33"/>
    <x v="1"/>
    <n v="0"/>
    <n v="0"/>
    <m/>
    <n v="1"/>
    <n v="1"/>
    <n v="0"/>
    <x v="1"/>
    <n v="1"/>
    <m/>
    <s v="website"/>
    <n v="33.33"/>
    <n v="33.33"/>
  </r>
  <r>
    <s v="PL-1-unique-id"/>
    <x v="35"/>
    <s v="PL-1"/>
    <x v="1"/>
    <s v="unique-id"/>
    <x v="7"/>
    <x v="0"/>
    <x v="0"/>
    <x v="0"/>
    <n v="13"/>
    <n v="1.6299999999999999E-2"/>
    <x v="0"/>
    <x v="1"/>
    <n v="33.33"/>
    <x v="1"/>
    <n v="0"/>
    <n v="0"/>
    <m/>
    <n v="1"/>
    <n v="1"/>
    <n v="0"/>
    <x v="1"/>
    <n v="1"/>
    <m/>
    <s v="website"/>
    <n v="33.33"/>
    <n v="33.33"/>
  </r>
  <r>
    <s v="PL-1-aid-type"/>
    <x v="35"/>
    <s v="PL-1"/>
    <x v="0"/>
    <s v="aid-type"/>
    <x v="8"/>
    <x v="0"/>
    <x v="1"/>
    <x v="1"/>
    <n v="22"/>
    <n v="1.8599999999999998E-2"/>
    <x v="0"/>
    <x v="0"/>
    <n v="0"/>
    <x v="0"/>
    <n v="0"/>
    <n v="0"/>
    <m/>
    <n v="1"/>
    <n v="1"/>
    <n v="0"/>
    <x v="0"/>
    <n v="0"/>
    <m/>
    <m/>
    <n v="0"/>
    <n v="0"/>
  </r>
  <r>
    <s v="PL-1-collaboration-type"/>
    <x v="35"/>
    <s v="PL-1"/>
    <x v="0"/>
    <s v="collaboration-type"/>
    <x v="9"/>
    <x v="0"/>
    <x v="1"/>
    <x v="1"/>
    <n v="20"/>
    <n v="1.8599999999999998E-2"/>
    <x v="0"/>
    <x v="0"/>
    <n v="0"/>
    <x v="0"/>
    <n v="0"/>
    <n v="0"/>
    <m/>
    <n v="1"/>
    <n v="1"/>
    <n v="0"/>
    <x v="0"/>
    <n v="0"/>
    <m/>
    <m/>
    <n v="0"/>
    <n v="0"/>
  </r>
  <r>
    <s v="PL-1-finance-type"/>
    <x v="35"/>
    <s v="PL-1"/>
    <x v="0"/>
    <s v="finance-type"/>
    <x v="10"/>
    <x v="0"/>
    <x v="1"/>
    <x v="1"/>
    <n v="23"/>
    <n v="1.8599999999999998E-2"/>
    <x v="0"/>
    <x v="0"/>
    <n v="0"/>
    <x v="0"/>
    <n v="0"/>
    <n v="0"/>
    <m/>
    <n v="1"/>
    <n v="1"/>
    <n v="0"/>
    <x v="0"/>
    <n v="0"/>
    <m/>
    <m/>
    <n v="0"/>
    <n v="0"/>
  </r>
  <r>
    <s v="PL-1-flow-type"/>
    <x v="35"/>
    <s v="PL-1"/>
    <x v="0"/>
    <s v="flow-type"/>
    <x v="11"/>
    <x v="0"/>
    <x v="1"/>
    <x v="1"/>
    <n v="21"/>
    <n v="1.8599999999999998E-2"/>
    <x v="0"/>
    <x v="0"/>
    <n v="0"/>
    <x v="0"/>
    <n v="0"/>
    <n v="0"/>
    <m/>
    <n v="1"/>
    <n v="1"/>
    <n v="0"/>
    <x v="0"/>
    <n v="0"/>
    <m/>
    <m/>
    <n v="0"/>
    <n v="0"/>
  </r>
  <r>
    <s v="PL-1-sector"/>
    <x v="35"/>
    <s v="PL-1"/>
    <x v="0"/>
    <s v="sector"/>
    <x v="12"/>
    <x v="0"/>
    <x v="1"/>
    <x v="1"/>
    <n v="24"/>
    <n v="1.8599999999999998E-2"/>
    <x v="0"/>
    <x v="0"/>
    <n v="0"/>
    <x v="0"/>
    <n v="0"/>
    <n v="0"/>
    <m/>
    <n v="1"/>
    <n v="1"/>
    <n v="0"/>
    <x v="0"/>
    <n v="0"/>
    <m/>
    <m/>
    <n v="0"/>
    <n v="0"/>
  </r>
  <r>
    <s v="PL-1-location"/>
    <x v="35"/>
    <s v="PL-1"/>
    <x v="0"/>
    <s v="location"/>
    <x v="13"/>
    <x v="0"/>
    <x v="1"/>
    <x v="1"/>
    <n v="25"/>
    <n v="1.8599999999999998E-2"/>
    <x v="0"/>
    <x v="0"/>
    <n v="0"/>
    <x v="0"/>
    <n v="0"/>
    <n v="0"/>
    <m/>
    <n v="1"/>
    <n v="1"/>
    <n v="0"/>
    <x v="0"/>
    <n v="0"/>
    <m/>
    <m/>
    <n v="0"/>
    <n v="0"/>
  </r>
  <r>
    <s v="PL-1-tied-aid-status"/>
    <x v="35"/>
    <s v="PL-1"/>
    <x v="0"/>
    <s v="tied-aid-status"/>
    <x v="14"/>
    <x v="0"/>
    <x v="1"/>
    <x v="1"/>
    <n v="26"/>
    <n v="1.8599999999999998E-2"/>
    <x v="0"/>
    <x v="0"/>
    <n v="0"/>
    <x v="0"/>
    <n v="0"/>
    <n v="0"/>
    <m/>
    <n v="1"/>
    <n v="1"/>
    <n v="0"/>
    <x v="0"/>
    <n v="0"/>
    <m/>
    <m/>
    <n v="0"/>
    <n v="0"/>
  </r>
  <r>
    <s v="PL-1-expenditure-actual"/>
    <x v="35"/>
    <s v="PL-1"/>
    <x v="0"/>
    <s v="expenditure-actual"/>
    <x v="15"/>
    <x v="0"/>
    <x v="2"/>
    <x v="2"/>
    <n v="35"/>
    <n v="3.2500000000000001E-2"/>
    <x v="0"/>
    <x v="0"/>
    <n v="0"/>
    <x v="0"/>
    <n v="0"/>
    <n v="0"/>
    <m/>
    <n v="1"/>
    <n v="1"/>
    <n v="0"/>
    <x v="0"/>
    <n v="0"/>
    <m/>
    <m/>
    <n v="0"/>
    <n v="0"/>
  </r>
  <r>
    <s v="PL-1-cost-overall"/>
    <x v="35"/>
    <s v="PL-1"/>
    <x v="0"/>
    <s v="cost-overall"/>
    <x v="16"/>
    <x v="0"/>
    <x v="2"/>
    <x v="2"/>
    <n v="33"/>
    <n v="3.2500000000000001E-2"/>
    <x v="0"/>
    <x v="0"/>
    <n v="0"/>
    <x v="0"/>
    <n v="0"/>
    <n v="0"/>
    <m/>
    <n v="1"/>
    <n v="1"/>
    <n v="0"/>
    <x v="0"/>
    <n v="0"/>
    <m/>
    <m/>
    <n v="0"/>
    <n v="0"/>
  </r>
  <r>
    <s v="PL-1-expenditure-planned"/>
    <x v="35"/>
    <s v="PL-1"/>
    <x v="2"/>
    <s v="expenditure-planned"/>
    <x v="17"/>
    <x v="0"/>
    <x v="2"/>
    <x v="2"/>
    <n v="34"/>
    <n v="3.2500000000000001E-2"/>
    <x v="0"/>
    <x v="1"/>
    <n v="33.33"/>
    <x v="1"/>
    <n v="0"/>
    <n v="0"/>
    <m/>
    <n v="1"/>
    <n v="1"/>
    <n v="0"/>
    <x v="1"/>
    <n v="1"/>
    <m/>
    <s v="website"/>
    <n v="33.33"/>
    <n v="33.33"/>
  </r>
  <r>
    <s v="PL-1-budget-identifier"/>
    <x v="35"/>
    <s v="PL-1"/>
    <x v="0"/>
    <s v="budget-identifier"/>
    <x v="18"/>
    <x v="0"/>
    <x v="2"/>
    <x v="2"/>
    <n v="36"/>
    <n v="3.2500000000000001E-2"/>
    <x v="0"/>
    <x v="0"/>
    <n v="0"/>
    <x v="0"/>
    <n v="0"/>
    <n v="0"/>
    <m/>
    <n v="1"/>
    <n v="1"/>
    <n v="0"/>
    <x v="0"/>
    <n v="0"/>
    <m/>
    <m/>
    <n v="0"/>
    <n v="0"/>
  </r>
  <r>
    <s v="PL-1-conditions"/>
    <x v="35"/>
    <s v="PL-1"/>
    <x v="0"/>
    <s v="conditions"/>
    <x v="19"/>
    <x v="0"/>
    <x v="3"/>
    <x v="3"/>
    <n v="39"/>
    <n v="4.3299999999999998E-2"/>
    <x v="0"/>
    <x v="2"/>
    <n v="0"/>
    <x v="0"/>
    <n v="0"/>
    <n v="0"/>
    <m/>
    <n v="1"/>
    <n v="1"/>
    <n v="0"/>
    <x v="0"/>
    <n v="0"/>
    <m/>
    <s v="document"/>
    <n v="50"/>
    <n v="0"/>
  </r>
  <r>
    <s v="PL-1-impact-appraisals"/>
    <x v="35"/>
    <s v="PL-1"/>
    <x v="0"/>
    <s v="impact-appraisals"/>
    <x v="20"/>
    <x v="0"/>
    <x v="3"/>
    <x v="3"/>
    <n v="38"/>
    <n v="4.3299999999999998E-2"/>
    <x v="0"/>
    <x v="2"/>
    <n v="0"/>
    <x v="0"/>
    <n v="0"/>
    <n v="0"/>
    <m/>
    <n v="1"/>
    <n v="1"/>
    <n v="0"/>
    <x v="0"/>
    <n v="0"/>
    <m/>
    <s v="document"/>
    <n v="50"/>
    <n v="0"/>
  </r>
  <r>
    <s v="PL-1-results"/>
    <x v="35"/>
    <s v="PL-1"/>
    <x v="0"/>
    <s v="results"/>
    <x v="21"/>
    <x v="0"/>
    <x v="3"/>
    <x v="3"/>
    <n v="37"/>
    <n v="4.3299999999999998E-2"/>
    <x v="0"/>
    <x v="0"/>
    <n v="0"/>
    <x v="0"/>
    <n v="0"/>
    <n v="0"/>
    <m/>
    <n v="1"/>
    <n v="1"/>
    <n v="0"/>
    <x v="0"/>
    <n v="0"/>
    <m/>
    <m/>
    <n v="0"/>
    <n v="0"/>
  </r>
  <r>
    <s v="PL-1-budget"/>
    <x v="35"/>
    <s v="PL-1"/>
    <x v="0"/>
    <s v="budget"/>
    <x v="22"/>
    <x v="0"/>
    <x v="4"/>
    <x v="4"/>
    <n v="30"/>
    <n v="2.1700000000000001E-2"/>
    <x v="0"/>
    <x v="2"/>
    <n v="0"/>
    <x v="0"/>
    <n v="0"/>
    <n v="0"/>
    <m/>
    <n v="1"/>
    <n v="1"/>
    <n v="0"/>
    <x v="0"/>
    <n v="0"/>
    <m/>
    <s v="document"/>
    <n v="50"/>
    <n v="0"/>
  </r>
  <r>
    <s v="PL-1-contracts"/>
    <x v="35"/>
    <s v="PL-1"/>
    <x v="0"/>
    <s v="contracts"/>
    <x v="23"/>
    <x v="0"/>
    <x v="4"/>
    <x v="4"/>
    <n v="31"/>
    <n v="2.1700000000000001E-2"/>
    <x v="0"/>
    <x v="2"/>
    <n v="0"/>
    <x v="0"/>
    <n v="0"/>
    <n v="0"/>
    <m/>
    <n v="1"/>
    <n v="1"/>
    <n v="0"/>
    <x v="0"/>
    <n v="0"/>
    <m/>
    <s v="document"/>
    <n v="50"/>
    <n v="0"/>
  </r>
  <r>
    <s v="PL-1-evaluations"/>
    <x v="35"/>
    <s v="PL-1"/>
    <x v="3"/>
    <s v="evaluations"/>
    <x v="24"/>
    <x v="0"/>
    <x v="4"/>
    <x v="4"/>
    <n v="28"/>
    <n v="2.1700000000000001E-2"/>
    <x v="0"/>
    <x v="2"/>
    <n v="50"/>
    <x v="2"/>
    <n v="0"/>
    <n v="0"/>
    <m/>
    <n v="1"/>
    <n v="1"/>
    <n v="0"/>
    <x v="1"/>
    <n v="1"/>
    <m/>
    <s v="document"/>
    <n v="50"/>
    <n v="50"/>
  </r>
  <r>
    <s v="PL-1-mou"/>
    <x v="35"/>
    <s v="PL-1"/>
    <x v="0"/>
    <s v="mou"/>
    <x v="25"/>
    <x v="0"/>
    <x v="4"/>
    <x v="4"/>
    <n v="27"/>
    <n v="2.1700000000000001E-2"/>
    <x v="0"/>
    <x v="2"/>
    <n v="0"/>
    <x v="0"/>
    <n v="0"/>
    <n v="0"/>
    <m/>
    <n v="1"/>
    <n v="1"/>
    <n v="0"/>
    <x v="2"/>
    <n v="0"/>
    <m/>
    <s v="document"/>
    <n v="50"/>
    <n v="0"/>
  </r>
  <r>
    <s v="PL-1-objectives"/>
    <x v="35"/>
    <s v="PL-1"/>
    <x v="0"/>
    <s v="objectives"/>
    <x v="26"/>
    <x v="0"/>
    <x v="4"/>
    <x v="4"/>
    <n v="29"/>
    <n v="2.1700000000000001E-2"/>
    <x v="0"/>
    <x v="2"/>
    <n v="0"/>
    <x v="0"/>
    <n v="0"/>
    <n v="0"/>
    <m/>
    <n v="1"/>
    <n v="1"/>
    <n v="0"/>
    <x v="0"/>
    <n v="0"/>
    <m/>
    <s v="document"/>
    <n v="50"/>
    <n v="0"/>
  </r>
  <r>
    <s v="PL-1-tenders"/>
    <x v="35"/>
    <s v="PL-1"/>
    <x v="3"/>
    <s v="tenders"/>
    <x v="27"/>
    <x v="0"/>
    <x v="4"/>
    <x v="4"/>
    <n v="32"/>
    <n v="2.1700000000000001E-2"/>
    <x v="0"/>
    <x v="2"/>
    <n v="50"/>
    <x v="2"/>
    <n v="0"/>
    <n v="0"/>
    <m/>
    <n v="1"/>
    <n v="1"/>
    <n v="0"/>
    <x v="1"/>
    <n v="1"/>
    <m/>
    <s v="document"/>
    <n v="50"/>
    <n v="50"/>
  </r>
  <r>
    <s v="PL-1-audit"/>
    <x v="35"/>
    <s v="PL-1"/>
    <x v="0"/>
    <s v="audit"/>
    <x v="28"/>
    <x v="1"/>
    <x v="2"/>
    <x v="5"/>
    <n v="11"/>
    <n v="4.1700000000000001E-2"/>
    <x v="0"/>
    <x v="2"/>
    <n v="0"/>
    <x v="0"/>
    <n v="0"/>
    <n v="0"/>
    <m/>
    <n v="1"/>
    <n v="1"/>
    <n v="0"/>
    <x v="0"/>
    <n v="0"/>
    <m/>
    <s v="document"/>
    <n v="50"/>
    <n v="0"/>
  </r>
  <r>
    <s v="PL-1-total-budget"/>
    <x v="35"/>
    <s v="PL-1"/>
    <x v="24"/>
    <s v="total-budget"/>
    <x v="29"/>
    <x v="1"/>
    <x v="2"/>
    <x v="5"/>
    <n v="9"/>
    <n v="4.1700000000000001E-2"/>
    <x v="0"/>
    <x v="3"/>
    <n v="5.5549999999999997"/>
    <x v="10"/>
    <n v="0"/>
    <n v="0"/>
    <m/>
    <n v="1"/>
    <n v="1"/>
    <n v="0"/>
    <x v="3"/>
    <n v="0"/>
    <n v="1"/>
    <s v="pdf"/>
    <n v="16.664999999999999"/>
    <n v="5.5549999999999997"/>
  </r>
  <r>
    <s v="PL-1-disaggregated-budgets"/>
    <x v="35"/>
    <s v="PL-1"/>
    <x v="24"/>
    <s v="disaggregated-budgets"/>
    <x v="30"/>
    <x v="1"/>
    <x v="2"/>
    <x v="5"/>
    <n v="10"/>
    <n v="4.1700000000000001E-2"/>
    <x v="0"/>
    <x v="3"/>
    <n v="5.5549999999999997"/>
    <x v="10"/>
    <n v="0"/>
    <n v="0"/>
    <m/>
    <n v="1"/>
    <n v="1"/>
    <n v="0"/>
    <x v="3"/>
    <n v="0"/>
    <n v="1"/>
    <s v="pdf"/>
    <n v="16.664999999999999"/>
    <n v="5.5549999999999997"/>
  </r>
  <r>
    <s v="PL-1-strategy"/>
    <x v="35"/>
    <s v="PL-1"/>
    <x v="6"/>
    <s v="strategy"/>
    <x v="31"/>
    <x v="1"/>
    <x v="5"/>
    <x v="6"/>
    <n v="4"/>
    <n v="2.5000000000000001E-2"/>
    <x v="0"/>
    <x v="2"/>
    <n v="50"/>
    <x v="2"/>
    <n v="0"/>
    <n v="0"/>
    <m/>
    <n v="1"/>
    <n v="1"/>
    <n v="0"/>
    <x v="1"/>
    <n v="1"/>
    <m/>
    <s v="document"/>
    <n v="50"/>
    <n v="50"/>
  </r>
  <r>
    <s v="PL-1-annual-report"/>
    <x v="35"/>
    <s v="PL-1"/>
    <x v="6"/>
    <s v="annual-report"/>
    <x v="32"/>
    <x v="1"/>
    <x v="5"/>
    <x v="6"/>
    <n v="5"/>
    <n v="2.5000000000000001E-2"/>
    <x v="0"/>
    <x v="2"/>
    <n v="50"/>
    <x v="2"/>
    <n v="0"/>
    <n v="0"/>
    <m/>
    <n v="1"/>
    <n v="1"/>
    <n v="0"/>
    <x v="1"/>
    <n v="1"/>
    <m/>
    <s v="document"/>
    <n v="50"/>
    <n v="50"/>
  </r>
  <r>
    <s v="PL-1-allocation"/>
    <x v="35"/>
    <s v="PL-1"/>
    <x v="6"/>
    <s v="allocation"/>
    <x v="33"/>
    <x v="1"/>
    <x v="5"/>
    <x v="6"/>
    <n v="6"/>
    <n v="2.5000000000000001E-2"/>
    <x v="0"/>
    <x v="2"/>
    <n v="50"/>
    <x v="2"/>
    <n v="0"/>
    <n v="0"/>
    <m/>
    <n v="1"/>
    <n v="1"/>
    <n v="0"/>
    <x v="1"/>
    <n v="1"/>
    <m/>
    <s v="document"/>
    <n v="50"/>
    <n v="50"/>
  </r>
  <r>
    <s v="PL-1-procurement-policy"/>
    <x v="35"/>
    <s v="PL-1"/>
    <x v="6"/>
    <s v="procurement-policy"/>
    <x v="34"/>
    <x v="1"/>
    <x v="5"/>
    <x v="6"/>
    <n v="7"/>
    <n v="2.5000000000000001E-2"/>
    <x v="0"/>
    <x v="2"/>
    <n v="50"/>
    <x v="2"/>
    <n v="0"/>
    <n v="0"/>
    <m/>
    <n v="1"/>
    <n v="1"/>
    <n v="0"/>
    <x v="1"/>
    <n v="1"/>
    <m/>
    <s v="document"/>
    <n v="50"/>
    <n v="50"/>
  </r>
  <r>
    <s v="PL-1-country-strategy"/>
    <x v="35"/>
    <s v="PL-1"/>
    <x v="6"/>
    <s v="country-strategy"/>
    <x v="35"/>
    <x v="1"/>
    <x v="5"/>
    <x v="6"/>
    <n v="8"/>
    <n v="2.5000000000000001E-2"/>
    <x v="0"/>
    <x v="2"/>
    <n v="50"/>
    <x v="2"/>
    <n v="0"/>
    <n v="0"/>
    <m/>
    <n v="1"/>
    <n v="1"/>
    <n v="0"/>
    <x v="1"/>
    <n v="1"/>
    <m/>
    <s v="document"/>
    <n v="50"/>
    <n v="50"/>
  </r>
  <r>
    <s v="PL-1-foia"/>
    <x v="35"/>
    <s v="PL-1"/>
    <x v="15"/>
    <s v="foia"/>
    <x v="36"/>
    <x v="2"/>
    <x v="6"/>
    <x v="7"/>
    <n v="1"/>
    <n v="3.3300000000000003E-2"/>
    <x v="0"/>
    <x v="5"/>
    <n v="66.66"/>
    <x v="6"/>
    <n v="0"/>
    <n v="0"/>
    <m/>
    <n v="1"/>
    <n v="1"/>
    <n v="0"/>
    <x v="3"/>
    <n v="0"/>
    <n v="66.66"/>
    <m/>
    <n v="0"/>
    <n v="66.66"/>
  </r>
  <r>
    <s v="PL-1-accessibility"/>
    <x v="35"/>
    <s v="PL-1"/>
    <x v="0"/>
    <s v="accessibility"/>
    <x v="37"/>
    <x v="2"/>
    <x v="6"/>
    <x v="7"/>
    <n v="3"/>
    <n v="3.3300000000000003E-2"/>
    <x v="0"/>
    <x v="5"/>
    <n v="0"/>
    <x v="0"/>
    <n v="0"/>
    <n v="0"/>
    <m/>
    <n v="1"/>
    <n v="1"/>
    <n v="0"/>
    <x v="3"/>
    <n v="0"/>
    <n v="0"/>
    <m/>
    <n v="0"/>
    <n v="0"/>
  </r>
  <r>
    <s v="PL-1-implementation-schedules"/>
    <x v="35"/>
    <s v="PL-1"/>
    <x v="0"/>
    <s v="implementation-schedules"/>
    <x v="38"/>
    <x v="2"/>
    <x v="6"/>
    <x v="7"/>
    <n v="2"/>
    <n v="3.3300000000000003E-2"/>
    <x v="0"/>
    <x v="5"/>
    <n v="0"/>
    <x v="0"/>
    <n v="0"/>
    <n v="0"/>
    <m/>
    <n v="1"/>
    <n v="1"/>
    <n v="0"/>
    <x v="3"/>
    <n v="0"/>
    <n v="0"/>
    <m/>
    <n v="0"/>
    <n v="0"/>
  </r>
  <r>
    <s v="DK-2-dates-actual"/>
    <x v="36"/>
    <s v="DK-2"/>
    <x v="187"/>
    <s v="dates-actual"/>
    <x v="0"/>
    <x v="0"/>
    <x v="0"/>
    <x v="0"/>
    <n v="17"/>
    <n v="1.6299999999999999E-2"/>
    <x v="1"/>
    <x v="6"/>
    <n v="50"/>
    <x v="144"/>
    <n v="66.638315968499995"/>
    <n v="33.319157984299999"/>
    <s v="quarterly"/>
    <n v="0.9"/>
    <n v="0.9"/>
    <n v="29.9872421858"/>
    <x v="3"/>
    <m/>
    <m/>
    <m/>
    <m/>
    <n v="0"/>
  </r>
  <r>
    <s v="DK-2-contact-details"/>
    <x v="36"/>
    <s v="DK-2"/>
    <x v="187"/>
    <s v="contact-details"/>
    <x v="1"/>
    <x v="0"/>
    <x v="0"/>
    <x v="0"/>
    <n v="19"/>
    <n v="1.6299999999999999E-2"/>
    <x v="1"/>
    <x v="6"/>
    <n v="50"/>
    <x v="144"/>
    <n v="66.638315968499995"/>
    <n v="33.319157984299999"/>
    <s v="quarterly"/>
    <n v="0.9"/>
    <n v="0.9"/>
    <n v="29.9872421858"/>
    <x v="3"/>
    <m/>
    <m/>
    <m/>
    <m/>
    <n v="0"/>
  </r>
  <r>
    <s v="DK-2-current-status"/>
    <x v="36"/>
    <s v="DK-2"/>
    <x v="188"/>
    <s v="current-status"/>
    <x v="2"/>
    <x v="0"/>
    <x v="0"/>
    <x v="0"/>
    <n v="18"/>
    <n v="1.6299999999999999E-2"/>
    <x v="1"/>
    <x v="6"/>
    <n v="50"/>
    <x v="145"/>
    <n v="47.937486710599998"/>
    <n v="23.968743355299999"/>
    <s v="quarterly"/>
    <n v="0.9"/>
    <n v="0.9"/>
    <n v="21.571869019800001"/>
    <x v="3"/>
    <m/>
    <m/>
    <m/>
    <m/>
    <n v="0"/>
  </r>
  <r>
    <s v="DK-2-description"/>
    <x v="36"/>
    <s v="DK-2"/>
    <x v="189"/>
    <s v="description"/>
    <x v="3"/>
    <x v="0"/>
    <x v="0"/>
    <x v="0"/>
    <n v="15"/>
    <n v="1.6299999999999999E-2"/>
    <x v="1"/>
    <x v="6"/>
    <n v="50"/>
    <x v="146"/>
    <n v="10.8016159898"/>
    <n v="5.4008079949000001"/>
    <s v="quarterly"/>
    <n v="0.9"/>
    <n v="0.9"/>
    <n v="4.86072719541"/>
    <x v="3"/>
    <m/>
    <m/>
    <m/>
    <m/>
    <n v="0"/>
  </r>
  <r>
    <s v="DK-2-implementer"/>
    <x v="36"/>
    <s v="DK-2"/>
    <x v="187"/>
    <s v="implementer"/>
    <x v="4"/>
    <x v="0"/>
    <x v="0"/>
    <x v="0"/>
    <n v="12"/>
    <n v="1.6299999999999999E-2"/>
    <x v="1"/>
    <x v="6"/>
    <n v="50"/>
    <x v="144"/>
    <n v="66.638315968499995"/>
    <n v="33.319157984299999"/>
    <s v="quarterly"/>
    <n v="0.9"/>
    <n v="0.9"/>
    <n v="29.9872421858"/>
    <x v="3"/>
    <m/>
    <m/>
    <m/>
    <m/>
    <n v="0"/>
  </r>
  <r>
    <s v="DK-2-dates-planned"/>
    <x v="36"/>
    <s v="DK-2"/>
    <x v="190"/>
    <s v="dates-planned"/>
    <x v="5"/>
    <x v="0"/>
    <x v="0"/>
    <x v="0"/>
    <n v="16"/>
    <n v="1.6299999999999999E-2"/>
    <x v="1"/>
    <x v="6"/>
    <n v="50"/>
    <x v="147"/>
    <n v="33.361684031499998"/>
    <n v="16.680842015700001"/>
    <s v="quarterly"/>
    <n v="0.9"/>
    <n v="0.9"/>
    <n v="15.0127578142"/>
    <x v="3"/>
    <m/>
    <m/>
    <m/>
    <m/>
    <n v="0"/>
  </r>
  <r>
    <s v="DK-2-title"/>
    <x v="36"/>
    <s v="DK-2"/>
    <x v="191"/>
    <s v="title"/>
    <x v="6"/>
    <x v="0"/>
    <x v="0"/>
    <x v="0"/>
    <n v="14"/>
    <n v="1.6299999999999999E-2"/>
    <x v="1"/>
    <x v="6"/>
    <n v="50"/>
    <x v="148"/>
    <n v="97.161386349099999"/>
    <n v="48.5806931746"/>
    <s v="quarterly"/>
    <n v="0.9"/>
    <n v="0.9"/>
    <n v="43.722623857099997"/>
    <x v="3"/>
    <m/>
    <m/>
    <m/>
    <m/>
    <n v="0"/>
  </r>
  <r>
    <s v="DK-2-unique-id"/>
    <x v="36"/>
    <s v="DK-2"/>
    <x v="26"/>
    <s v="unique-id"/>
    <x v="7"/>
    <x v="0"/>
    <x v="0"/>
    <x v="0"/>
    <n v="13"/>
    <n v="1.6299999999999999E-2"/>
    <x v="1"/>
    <x v="6"/>
    <n v="50"/>
    <x v="12"/>
    <n v="100"/>
    <n v="50"/>
    <s v="quarterly"/>
    <n v="0.9"/>
    <n v="0.9"/>
    <n v="45"/>
    <x v="3"/>
    <m/>
    <m/>
    <m/>
    <m/>
    <n v="0"/>
  </r>
  <r>
    <s v="DK-2-aid-type"/>
    <x v="36"/>
    <s v="DK-2"/>
    <x v="29"/>
    <s v="aid-type"/>
    <x v="8"/>
    <x v="0"/>
    <x v="1"/>
    <x v="1"/>
    <n v="22"/>
    <n v="1.8599999999999998E-2"/>
    <x v="1"/>
    <x v="6"/>
    <n v="50"/>
    <x v="12"/>
    <n v="100"/>
    <n v="50"/>
    <s v="quarterly"/>
    <n v="0.9"/>
    <n v="0.9"/>
    <n v="45"/>
    <x v="3"/>
    <m/>
    <m/>
    <m/>
    <m/>
    <n v="0"/>
  </r>
  <r>
    <s v="DK-2-collaboration-type"/>
    <x v="36"/>
    <s v="DK-2"/>
    <x v="29"/>
    <s v="collaboration-type"/>
    <x v="9"/>
    <x v="0"/>
    <x v="1"/>
    <x v="1"/>
    <n v="20"/>
    <n v="1.8599999999999998E-2"/>
    <x v="1"/>
    <x v="6"/>
    <n v="50"/>
    <x v="12"/>
    <n v="100"/>
    <n v="50"/>
    <s v="quarterly"/>
    <n v="0.9"/>
    <n v="0.9"/>
    <n v="45"/>
    <x v="3"/>
    <m/>
    <m/>
    <m/>
    <m/>
    <n v="0"/>
  </r>
  <r>
    <s v="DK-2-finance-type"/>
    <x v="36"/>
    <s v="DK-2"/>
    <x v="29"/>
    <s v="finance-type"/>
    <x v="10"/>
    <x v="0"/>
    <x v="1"/>
    <x v="1"/>
    <n v="23"/>
    <n v="1.8599999999999998E-2"/>
    <x v="1"/>
    <x v="6"/>
    <n v="50"/>
    <x v="12"/>
    <n v="100"/>
    <n v="50"/>
    <s v="quarterly"/>
    <n v="0.9"/>
    <n v="0.9"/>
    <n v="45"/>
    <x v="3"/>
    <m/>
    <m/>
    <m/>
    <m/>
    <n v="0"/>
  </r>
  <r>
    <s v="DK-2-flow-type"/>
    <x v="36"/>
    <s v="DK-2"/>
    <x v="29"/>
    <s v="flow-type"/>
    <x v="11"/>
    <x v="0"/>
    <x v="1"/>
    <x v="1"/>
    <n v="21"/>
    <n v="1.8599999999999998E-2"/>
    <x v="1"/>
    <x v="6"/>
    <n v="50"/>
    <x v="12"/>
    <n v="100"/>
    <n v="50"/>
    <s v="quarterly"/>
    <n v="0.9"/>
    <n v="0.9"/>
    <n v="45"/>
    <x v="3"/>
    <m/>
    <m/>
    <m/>
    <m/>
    <n v="0"/>
  </r>
  <r>
    <s v="DK-2-sector"/>
    <x v="36"/>
    <s v="DK-2"/>
    <x v="192"/>
    <s v="sector"/>
    <x v="12"/>
    <x v="0"/>
    <x v="1"/>
    <x v="1"/>
    <n v="24"/>
    <n v="1.8599999999999998E-2"/>
    <x v="1"/>
    <x v="6"/>
    <n v="50"/>
    <x v="149"/>
    <n v="94.939400382700001"/>
    <n v="47.469700191400001"/>
    <s v="quarterly"/>
    <n v="0.9"/>
    <n v="0.9"/>
    <n v="42.722730172200002"/>
    <x v="3"/>
    <m/>
    <m/>
    <m/>
    <m/>
    <n v="0"/>
  </r>
  <r>
    <s v="DK-2-tied-aid-status"/>
    <x v="36"/>
    <s v="DK-2"/>
    <x v="193"/>
    <s v="tied-aid-status"/>
    <x v="14"/>
    <x v="0"/>
    <x v="1"/>
    <x v="1"/>
    <n v="26"/>
    <n v="1.8599999999999998E-2"/>
    <x v="1"/>
    <x v="6"/>
    <n v="50"/>
    <x v="150"/>
    <n v="67.914097384599998"/>
    <n v="33.957048692299999"/>
    <s v="quarterly"/>
    <n v="0.9"/>
    <n v="0.9"/>
    <n v="30.5613438231"/>
    <x v="3"/>
    <m/>
    <m/>
    <m/>
    <m/>
    <n v="0"/>
  </r>
  <r>
    <s v="DK-2-expenditure-actual"/>
    <x v="36"/>
    <s v="DK-2"/>
    <x v="194"/>
    <s v="expenditure-actual"/>
    <x v="15"/>
    <x v="0"/>
    <x v="2"/>
    <x v="2"/>
    <n v="35"/>
    <n v="3.2500000000000001E-2"/>
    <x v="1"/>
    <x v="6"/>
    <n v="50"/>
    <x v="151"/>
    <n v="63.193706145"/>
    <n v="31.5968530725"/>
    <s v="quarterly"/>
    <n v="0.9"/>
    <n v="0.9"/>
    <n v="28.4371677653"/>
    <x v="3"/>
    <m/>
    <m/>
    <m/>
    <m/>
    <n v="0"/>
  </r>
  <r>
    <s v="DK-2-expenditure-planned"/>
    <x v="36"/>
    <s v="DK-2"/>
    <x v="195"/>
    <s v="expenditure-planned"/>
    <x v="17"/>
    <x v="0"/>
    <x v="2"/>
    <x v="2"/>
    <n v="34"/>
    <n v="3.2500000000000001E-2"/>
    <x v="1"/>
    <x v="6"/>
    <n v="50"/>
    <x v="152"/>
    <n v="58.196895598600001"/>
    <n v="29.098447799300001"/>
    <s v="quarterly"/>
    <n v="0.9"/>
    <n v="0.9"/>
    <n v="26.1886030193"/>
    <x v="3"/>
    <m/>
    <m/>
    <m/>
    <m/>
    <n v="0"/>
  </r>
  <r>
    <s v="DK-2-results"/>
    <x v="36"/>
    <s v="DK-2"/>
    <x v="196"/>
    <s v="results"/>
    <x v="21"/>
    <x v="0"/>
    <x v="3"/>
    <x v="3"/>
    <n v="37"/>
    <n v="4.3299999999999998E-2"/>
    <x v="1"/>
    <x v="6"/>
    <n v="50"/>
    <x v="153"/>
    <n v="1.41399106953"/>
    <n v="0.70699553476499999"/>
    <s v="quarterly"/>
    <n v="0.9"/>
    <n v="0.9"/>
    <n v="0.636295981289"/>
    <x v="3"/>
    <m/>
    <m/>
    <m/>
    <m/>
    <n v="0"/>
  </r>
  <r>
    <s v="DK-2-objectives"/>
    <x v="36"/>
    <s v="DK-2"/>
    <x v="197"/>
    <s v="objectives"/>
    <x v="26"/>
    <x v="0"/>
    <x v="4"/>
    <x v="4"/>
    <n v="29"/>
    <n v="2.1700000000000001E-2"/>
    <x v="1"/>
    <x v="6"/>
    <n v="50"/>
    <x v="154"/>
    <n v="2.8705081862599999"/>
    <n v="1.43525409313"/>
    <s v="quarterly"/>
    <n v="0.9"/>
    <n v="0.9"/>
    <n v="1.2917286838199999"/>
    <x v="3"/>
    <m/>
    <m/>
    <m/>
    <m/>
    <n v="0"/>
  </r>
  <r>
    <s v="DK-2-audit"/>
    <x v="36"/>
    <s v="DK-2"/>
    <x v="4"/>
    <s v="audit"/>
    <x v="28"/>
    <x v="1"/>
    <x v="2"/>
    <x v="5"/>
    <n v="11"/>
    <n v="4.1700000000000001E-2"/>
    <x v="0"/>
    <x v="2"/>
    <n v="50"/>
    <x v="2"/>
    <n v="0"/>
    <n v="0"/>
    <s v="quarterly"/>
    <n v="0.9"/>
    <n v="1"/>
    <n v="0"/>
    <x v="1"/>
    <n v="1"/>
    <m/>
    <s v="document"/>
    <n v="50"/>
    <n v="50"/>
  </r>
  <r>
    <s v="DK-2-total-budget"/>
    <x v="36"/>
    <s v="DK-2"/>
    <x v="9"/>
    <s v="total-budget"/>
    <x v="29"/>
    <x v="1"/>
    <x v="2"/>
    <x v="5"/>
    <n v="9"/>
    <n v="4.1700000000000001E-2"/>
    <x v="0"/>
    <x v="3"/>
    <n v="16.664999999999999"/>
    <x v="4"/>
    <n v="0"/>
    <n v="0"/>
    <s v="quarterly"/>
    <n v="0.9"/>
    <n v="1"/>
    <n v="0"/>
    <x v="3"/>
    <n v="0"/>
    <n v="3"/>
    <s v="pdf"/>
    <n v="16.664999999999999"/>
    <n v="16.664999999999999"/>
  </r>
  <r>
    <s v="DK-2-disaggregated-budgets"/>
    <x v="36"/>
    <s v="DK-2"/>
    <x v="4"/>
    <s v="disaggregated-budgets"/>
    <x v="30"/>
    <x v="1"/>
    <x v="2"/>
    <x v="5"/>
    <n v="10"/>
    <n v="4.1700000000000001E-2"/>
    <x v="0"/>
    <x v="4"/>
    <n v="50"/>
    <x v="2"/>
    <n v="0"/>
    <n v="0"/>
    <s v="quarterly"/>
    <n v="0.9"/>
    <n v="1"/>
    <n v="0"/>
    <x v="3"/>
    <n v="0"/>
    <n v="3"/>
    <s v="machine-readable"/>
    <n v="50"/>
    <n v="50"/>
  </r>
  <r>
    <s v="DK-2-strategy"/>
    <x v="36"/>
    <s v="DK-2"/>
    <x v="6"/>
    <s v="strategy"/>
    <x v="31"/>
    <x v="1"/>
    <x v="5"/>
    <x v="6"/>
    <n v="4"/>
    <n v="2.5000000000000001E-2"/>
    <x v="0"/>
    <x v="2"/>
    <n v="50"/>
    <x v="2"/>
    <n v="0"/>
    <n v="0"/>
    <s v="quarterly"/>
    <n v="0.9"/>
    <n v="1"/>
    <n v="0"/>
    <x v="1"/>
    <n v="1"/>
    <m/>
    <s v="document"/>
    <n v="50"/>
    <n v="50"/>
  </r>
  <r>
    <s v="DK-2-annual-report"/>
    <x v="36"/>
    <s v="DK-2"/>
    <x v="6"/>
    <s v="annual-report"/>
    <x v="32"/>
    <x v="1"/>
    <x v="5"/>
    <x v="6"/>
    <n v="5"/>
    <n v="2.5000000000000001E-2"/>
    <x v="0"/>
    <x v="2"/>
    <n v="50"/>
    <x v="2"/>
    <n v="0"/>
    <n v="0"/>
    <s v="quarterly"/>
    <n v="0.9"/>
    <n v="1"/>
    <n v="0"/>
    <x v="1"/>
    <n v="1"/>
    <m/>
    <s v="document"/>
    <n v="50"/>
    <n v="50"/>
  </r>
  <r>
    <s v="DK-2-allocation"/>
    <x v="36"/>
    <s v="DK-2"/>
    <x v="6"/>
    <s v="allocation"/>
    <x v="33"/>
    <x v="1"/>
    <x v="5"/>
    <x v="6"/>
    <n v="6"/>
    <n v="2.5000000000000001E-2"/>
    <x v="0"/>
    <x v="2"/>
    <n v="50"/>
    <x v="2"/>
    <n v="0"/>
    <n v="0"/>
    <s v="quarterly"/>
    <n v="0.9"/>
    <n v="1"/>
    <n v="0"/>
    <x v="1"/>
    <n v="1"/>
    <m/>
    <s v="document"/>
    <n v="50"/>
    <n v="50"/>
  </r>
  <r>
    <s v="DK-2-procurement-policy"/>
    <x v="36"/>
    <s v="DK-2"/>
    <x v="6"/>
    <s v="procurement-policy"/>
    <x v="34"/>
    <x v="1"/>
    <x v="5"/>
    <x v="6"/>
    <n v="7"/>
    <n v="2.5000000000000001E-2"/>
    <x v="0"/>
    <x v="2"/>
    <n v="50"/>
    <x v="2"/>
    <n v="0"/>
    <n v="0"/>
    <s v="quarterly"/>
    <n v="0.9"/>
    <n v="1"/>
    <n v="0"/>
    <x v="1"/>
    <n v="1"/>
    <m/>
    <s v="document"/>
    <n v="50"/>
    <n v="50"/>
  </r>
  <r>
    <s v="DK-2-country-strategy"/>
    <x v="36"/>
    <s v="DK-2"/>
    <x v="0"/>
    <s v="country-strategy"/>
    <x v="35"/>
    <x v="1"/>
    <x v="5"/>
    <x v="6"/>
    <n v="8"/>
    <n v="2.5000000000000001E-2"/>
    <x v="0"/>
    <x v="2"/>
    <n v="0"/>
    <x v="0"/>
    <n v="0"/>
    <n v="0"/>
    <s v="quarterly"/>
    <n v="0.9"/>
    <n v="1"/>
    <n v="0"/>
    <x v="2"/>
    <n v="0"/>
    <m/>
    <s v="document"/>
    <n v="50"/>
    <n v="0"/>
  </r>
  <r>
    <s v="DK-2-location"/>
    <x v="36"/>
    <s v="DK-2"/>
    <x v="0"/>
    <s v="location"/>
    <x v="13"/>
    <x v="0"/>
    <x v="1"/>
    <x v="1"/>
    <n v="25"/>
    <n v="1.8599999999999998E-2"/>
    <x v="0"/>
    <x v="1"/>
    <n v="0"/>
    <x v="0"/>
    <n v="0"/>
    <n v="0"/>
    <s v="quarterly"/>
    <n v="0.9"/>
    <n v="1"/>
    <n v="0"/>
    <x v="2"/>
    <n v="0"/>
    <m/>
    <s v="website"/>
    <n v="33.33"/>
    <n v="0"/>
  </r>
  <r>
    <s v="DK-2-cost-overall"/>
    <x v="36"/>
    <s v="DK-2"/>
    <x v="0"/>
    <s v="cost-overall"/>
    <x v="16"/>
    <x v="0"/>
    <x v="2"/>
    <x v="2"/>
    <n v="33"/>
    <n v="3.2500000000000001E-2"/>
    <x v="0"/>
    <x v="1"/>
    <n v="0"/>
    <x v="0"/>
    <n v="0"/>
    <n v="0"/>
    <s v="quarterly"/>
    <n v="0.9"/>
    <n v="1"/>
    <n v="0"/>
    <x v="0"/>
    <n v="0"/>
    <m/>
    <s v="website"/>
    <n v="33.33"/>
    <n v="0"/>
  </r>
  <r>
    <s v="DK-2-budget-identifier"/>
    <x v="36"/>
    <s v="DK-2"/>
    <x v="0"/>
    <s v="budget-identifier"/>
    <x v="18"/>
    <x v="0"/>
    <x v="2"/>
    <x v="2"/>
    <n v="36"/>
    <n v="3.2500000000000001E-2"/>
    <x v="0"/>
    <x v="0"/>
    <n v="0"/>
    <x v="0"/>
    <n v="0"/>
    <n v="0"/>
    <s v="quarterly"/>
    <n v="0.9"/>
    <n v="1"/>
    <n v="0"/>
    <x v="0"/>
    <n v="0"/>
    <m/>
    <m/>
    <n v="0"/>
    <n v="0"/>
  </r>
  <r>
    <s v="DK-2-conditions"/>
    <x v="36"/>
    <s v="DK-2"/>
    <x v="0"/>
    <s v="conditions"/>
    <x v="19"/>
    <x v="0"/>
    <x v="3"/>
    <x v="3"/>
    <n v="39"/>
    <n v="4.3299999999999998E-2"/>
    <x v="0"/>
    <x v="2"/>
    <n v="0"/>
    <x v="0"/>
    <n v="0"/>
    <n v="0"/>
    <s v="quarterly"/>
    <n v="0.9"/>
    <n v="1"/>
    <n v="0"/>
    <x v="2"/>
    <n v="0"/>
    <m/>
    <s v="document"/>
    <n v="50"/>
    <n v="0"/>
  </r>
  <r>
    <s v="DK-2-impact-appraisals"/>
    <x v="36"/>
    <s v="DK-2"/>
    <x v="0"/>
    <s v="impact-appraisals"/>
    <x v="20"/>
    <x v="0"/>
    <x v="3"/>
    <x v="3"/>
    <n v="38"/>
    <n v="4.3299999999999998E-2"/>
    <x v="0"/>
    <x v="2"/>
    <n v="0"/>
    <x v="0"/>
    <n v="0"/>
    <n v="0"/>
    <s v="quarterly"/>
    <n v="0.9"/>
    <n v="1"/>
    <n v="0"/>
    <x v="2"/>
    <n v="0"/>
    <m/>
    <s v="document"/>
    <n v="50"/>
    <n v="0"/>
  </r>
  <r>
    <s v="DK-2-budget"/>
    <x v="36"/>
    <s v="DK-2"/>
    <x v="0"/>
    <s v="budget"/>
    <x v="22"/>
    <x v="0"/>
    <x v="4"/>
    <x v="4"/>
    <n v="30"/>
    <n v="2.1700000000000001E-2"/>
    <x v="0"/>
    <x v="2"/>
    <n v="0"/>
    <x v="0"/>
    <n v="0"/>
    <n v="0"/>
    <s v="quarterly"/>
    <n v="0.9"/>
    <n v="1"/>
    <n v="0"/>
    <x v="2"/>
    <n v="0"/>
    <m/>
    <s v="document"/>
    <n v="50"/>
    <n v="0"/>
  </r>
  <r>
    <s v="DK-2-contracts"/>
    <x v="36"/>
    <s v="DK-2"/>
    <x v="3"/>
    <s v="contracts"/>
    <x v="23"/>
    <x v="0"/>
    <x v="4"/>
    <x v="4"/>
    <n v="31"/>
    <n v="2.1700000000000001E-2"/>
    <x v="0"/>
    <x v="2"/>
    <n v="50"/>
    <x v="2"/>
    <n v="0"/>
    <n v="0"/>
    <s v="quarterly"/>
    <n v="0.9"/>
    <n v="1"/>
    <n v="0"/>
    <x v="1"/>
    <n v="1"/>
    <m/>
    <s v="document"/>
    <n v="50"/>
    <n v="50"/>
  </r>
  <r>
    <s v="DK-2-evaluations"/>
    <x v="36"/>
    <s v="DK-2"/>
    <x v="3"/>
    <s v="evaluations"/>
    <x v="24"/>
    <x v="0"/>
    <x v="4"/>
    <x v="4"/>
    <n v="28"/>
    <n v="2.1700000000000001E-2"/>
    <x v="0"/>
    <x v="2"/>
    <n v="50"/>
    <x v="2"/>
    <n v="0"/>
    <n v="0"/>
    <s v="quarterly"/>
    <n v="0.9"/>
    <n v="1"/>
    <n v="0"/>
    <x v="1"/>
    <n v="1"/>
    <m/>
    <s v="document"/>
    <n v="50"/>
    <n v="50"/>
  </r>
  <r>
    <s v="DK-2-mou"/>
    <x v="36"/>
    <s v="DK-2"/>
    <x v="3"/>
    <s v="mou"/>
    <x v="25"/>
    <x v="0"/>
    <x v="4"/>
    <x v="4"/>
    <n v="27"/>
    <n v="2.1700000000000001E-2"/>
    <x v="0"/>
    <x v="2"/>
    <n v="50"/>
    <x v="2"/>
    <n v="0"/>
    <n v="0"/>
    <s v="quarterly"/>
    <n v="0.9"/>
    <n v="1"/>
    <n v="0"/>
    <x v="1"/>
    <n v="1"/>
    <m/>
    <s v="document"/>
    <n v="50"/>
    <n v="50"/>
  </r>
  <r>
    <s v="DK-2-tenders"/>
    <x v="36"/>
    <s v="DK-2"/>
    <x v="3"/>
    <s v="tenders"/>
    <x v="27"/>
    <x v="0"/>
    <x v="4"/>
    <x v="4"/>
    <n v="32"/>
    <n v="2.1700000000000001E-2"/>
    <x v="0"/>
    <x v="2"/>
    <n v="50"/>
    <x v="2"/>
    <n v="0"/>
    <n v="0"/>
    <s v="quarterly"/>
    <n v="0.9"/>
    <n v="1"/>
    <n v="0"/>
    <x v="1"/>
    <n v="1"/>
    <m/>
    <s v="document"/>
    <n v="50"/>
    <n v="50"/>
  </r>
  <r>
    <s v="DK-2-foia"/>
    <x v="36"/>
    <s v="DK-2"/>
    <x v="15"/>
    <s v="foia"/>
    <x v="36"/>
    <x v="2"/>
    <x v="6"/>
    <x v="7"/>
    <n v="1"/>
    <n v="3.3300000000000003E-2"/>
    <x v="0"/>
    <x v="5"/>
    <n v="66.66"/>
    <x v="6"/>
    <n v="0"/>
    <n v="0"/>
    <s v="quarterly"/>
    <n v="0.9"/>
    <n v="1"/>
    <n v="0"/>
    <x v="3"/>
    <n v="0"/>
    <n v="66.66"/>
    <m/>
    <n v="0"/>
    <n v="66.66"/>
  </r>
  <r>
    <s v="DK-2-accessibility"/>
    <x v="36"/>
    <s v="DK-2"/>
    <x v="15"/>
    <s v="accessibility"/>
    <x v="37"/>
    <x v="2"/>
    <x v="6"/>
    <x v="7"/>
    <n v="3"/>
    <n v="3.3300000000000003E-2"/>
    <x v="0"/>
    <x v="5"/>
    <n v="66.66"/>
    <x v="6"/>
    <n v="0"/>
    <n v="0"/>
    <s v="quarterly"/>
    <n v="0.9"/>
    <n v="1"/>
    <n v="0"/>
    <x v="3"/>
    <n v="0"/>
    <n v="66.66"/>
    <m/>
    <n v="0"/>
    <n v="66.66"/>
  </r>
  <r>
    <s v="DK-2-implementation-schedules"/>
    <x v="36"/>
    <s v="DK-2"/>
    <x v="198"/>
    <s v="implementation-schedules"/>
    <x v="38"/>
    <x v="2"/>
    <x v="6"/>
    <x v="7"/>
    <n v="2"/>
    <n v="3.3300000000000003E-2"/>
    <x v="0"/>
    <x v="5"/>
    <n v="68"/>
    <x v="155"/>
    <n v="0"/>
    <n v="0"/>
    <s v="quarterly"/>
    <n v="0.9"/>
    <n v="1"/>
    <n v="0"/>
    <x v="3"/>
    <n v="0"/>
    <n v="68"/>
    <m/>
    <n v="0"/>
    <n v="68"/>
  </r>
  <r>
    <s v="41127-description"/>
    <x v="37"/>
    <n v="41127"/>
    <x v="199"/>
    <s v="description"/>
    <x v="3"/>
    <x v="0"/>
    <x v="0"/>
    <x v="0"/>
    <n v="15"/>
    <n v="1.6299999999999999E-2"/>
    <x v="1"/>
    <x v="6"/>
    <n v="50"/>
    <x v="156"/>
    <n v="91.370743825800005"/>
    <n v="45.685371912900003"/>
    <s v="monthly"/>
    <n v="1"/>
    <n v="1"/>
    <n v="45.685371912900003"/>
    <x v="3"/>
    <m/>
    <m/>
    <m/>
    <m/>
    <n v="0"/>
  </r>
  <r>
    <s v="41127-implementer"/>
    <x v="37"/>
    <n v="41127"/>
    <x v="46"/>
    <s v="implementer"/>
    <x v="4"/>
    <x v="0"/>
    <x v="0"/>
    <x v="0"/>
    <n v="12"/>
    <n v="1.6299999999999999E-2"/>
    <x v="1"/>
    <x v="6"/>
    <n v="50"/>
    <x v="5"/>
    <n v="100"/>
    <n v="50"/>
    <s v="monthly"/>
    <n v="1"/>
    <n v="1"/>
    <n v="50"/>
    <x v="3"/>
    <m/>
    <m/>
    <m/>
    <m/>
    <n v="0"/>
  </r>
  <r>
    <s v="41127-dates-planned"/>
    <x v="37"/>
    <n v="41127"/>
    <x v="200"/>
    <s v="dates-planned"/>
    <x v="5"/>
    <x v="0"/>
    <x v="0"/>
    <x v="0"/>
    <n v="16"/>
    <n v="1.6299999999999999E-2"/>
    <x v="1"/>
    <x v="6"/>
    <n v="50"/>
    <x v="157"/>
    <n v="95.155633494100002"/>
    <n v="47.577816747"/>
    <s v="monthly"/>
    <n v="1"/>
    <n v="1"/>
    <n v="47.577816747"/>
    <x v="3"/>
    <m/>
    <m/>
    <m/>
    <m/>
    <n v="0"/>
  </r>
  <r>
    <s v="41127-title"/>
    <x v="37"/>
    <n v="41127"/>
    <x v="201"/>
    <s v="title"/>
    <x v="6"/>
    <x v="0"/>
    <x v="0"/>
    <x v="0"/>
    <n v="14"/>
    <n v="1.6299999999999999E-2"/>
    <x v="1"/>
    <x v="6"/>
    <n v="50"/>
    <x v="158"/>
    <n v="99.773491158799999"/>
    <n v="49.886745579399999"/>
    <s v="monthly"/>
    <n v="1"/>
    <n v="1"/>
    <n v="49.886745579399999"/>
    <x v="3"/>
    <m/>
    <m/>
    <m/>
    <m/>
    <n v="0"/>
  </r>
  <r>
    <s v="41127-unique-id"/>
    <x v="37"/>
    <n v="41127"/>
    <x v="46"/>
    <s v="unique-id"/>
    <x v="7"/>
    <x v="0"/>
    <x v="0"/>
    <x v="0"/>
    <n v="13"/>
    <n v="1.6299999999999999E-2"/>
    <x v="1"/>
    <x v="6"/>
    <n v="50"/>
    <x v="5"/>
    <n v="100"/>
    <n v="50"/>
    <s v="monthly"/>
    <n v="1"/>
    <n v="1"/>
    <n v="50"/>
    <x v="3"/>
    <m/>
    <m/>
    <m/>
    <m/>
    <n v="0"/>
  </r>
  <r>
    <s v="41127-finance-type"/>
    <x v="37"/>
    <n v="41127"/>
    <x v="202"/>
    <s v="finance-type"/>
    <x v="10"/>
    <x v="0"/>
    <x v="1"/>
    <x v="1"/>
    <n v="23"/>
    <n v="1.8599999999999998E-2"/>
    <x v="1"/>
    <x v="6"/>
    <n v="50"/>
    <x v="159"/>
    <n v="50.007306736799997"/>
    <n v="25.003653368399998"/>
    <s v="monthly"/>
    <n v="1"/>
    <n v="1"/>
    <n v="25.003653368399998"/>
    <x v="3"/>
    <m/>
    <m/>
    <m/>
    <m/>
    <n v="0"/>
  </r>
  <r>
    <s v="41127-sector"/>
    <x v="37"/>
    <n v="41127"/>
    <x v="47"/>
    <s v="sector"/>
    <x v="12"/>
    <x v="0"/>
    <x v="1"/>
    <x v="1"/>
    <n v="24"/>
    <n v="1.8599999999999998E-2"/>
    <x v="1"/>
    <x v="6"/>
    <n v="50"/>
    <x v="5"/>
    <n v="100"/>
    <n v="50"/>
    <s v="monthly"/>
    <n v="1"/>
    <n v="1"/>
    <n v="50"/>
    <x v="3"/>
    <m/>
    <m/>
    <m/>
    <m/>
    <n v="0"/>
  </r>
  <r>
    <s v="41127-expenditure-actual"/>
    <x v="37"/>
    <n v="41127"/>
    <x v="203"/>
    <s v="expenditure-actual"/>
    <x v="15"/>
    <x v="0"/>
    <x v="2"/>
    <x v="2"/>
    <n v="35"/>
    <n v="3.2500000000000001E-2"/>
    <x v="1"/>
    <x v="6"/>
    <n v="50"/>
    <x v="160"/>
    <n v="33.274879438799999"/>
    <n v="16.6374397194"/>
    <s v="monthly"/>
    <n v="1"/>
    <n v="1"/>
    <n v="16.6374397194"/>
    <x v="3"/>
    <m/>
    <m/>
    <m/>
    <m/>
    <n v="0"/>
  </r>
  <r>
    <s v="41127-cost-overall"/>
    <x v="37"/>
    <n v="41127"/>
    <x v="204"/>
    <s v="cost-overall"/>
    <x v="16"/>
    <x v="0"/>
    <x v="2"/>
    <x v="2"/>
    <n v="33"/>
    <n v="3.2500000000000001E-2"/>
    <x v="1"/>
    <x v="6"/>
    <n v="50"/>
    <x v="161"/>
    <n v="18.800233815599999"/>
    <n v="9.4001169077900002"/>
    <s v="monthly"/>
    <n v="1"/>
    <n v="1"/>
    <n v="9.4001169077900002"/>
    <x v="3"/>
    <m/>
    <m/>
    <m/>
    <m/>
    <n v="0"/>
  </r>
  <r>
    <s v="41127-expenditure-planned"/>
    <x v="37"/>
    <n v="41127"/>
    <x v="205"/>
    <s v="expenditure-planned"/>
    <x v="17"/>
    <x v="0"/>
    <x v="2"/>
    <x v="2"/>
    <n v="34"/>
    <n v="3.2500000000000001E-2"/>
    <x v="1"/>
    <x v="6"/>
    <n v="50"/>
    <x v="162"/>
    <n v="23.746894636899999"/>
    <n v="11.8734473184"/>
    <s v="monthly"/>
    <n v="1"/>
    <n v="1"/>
    <n v="11.8734473184"/>
    <x v="3"/>
    <m/>
    <m/>
    <m/>
    <m/>
    <n v="0"/>
  </r>
  <r>
    <s v="41127-objectives"/>
    <x v="37"/>
    <n v="41127"/>
    <x v="206"/>
    <s v="objectives"/>
    <x v="26"/>
    <x v="0"/>
    <x v="4"/>
    <x v="4"/>
    <n v="29"/>
    <n v="2.1700000000000001E-2"/>
    <x v="1"/>
    <x v="6"/>
    <n v="50"/>
    <x v="163"/>
    <n v="89.682887622400003"/>
    <n v="44.841443811200001"/>
    <s v="monthly"/>
    <n v="1"/>
    <n v="1"/>
    <n v="44.841443811200001"/>
    <x v="3"/>
    <m/>
    <m/>
    <m/>
    <m/>
    <n v="0"/>
  </r>
  <r>
    <s v="41127-dates-actual"/>
    <x v="37"/>
    <n v="41127"/>
    <x v="0"/>
    <s v="dates-actual"/>
    <x v="0"/>
    <x v="0"/>
    <x v="0"/>
    <x v="0"/>
    <n v="17"/>
    <n v="1.6299999999999999E-2"/>
    <x v="0"/>
    <x v="0"/>
    <n v="0"/>
    <x v="0"/>
    <n v="0"/>
    <n v="0"/>
    <s v="monthly"/>
    <n v="1"/>
    <n v="1"/>
    <n v="0"/>
    <x v="0"/>
    <n v="0"/>
    <m/>
    <m/>
    <n v="0"/>
    <n v="0"/>
  </r>
  <r>
    <s v="41127-contact-details"/>
    <x v="37"/>
    <n v="41127"/>
    <x v="0"/>
    <s v="contact-details"/>
    <x v="1"/>
    <x v="0"/>
    <x v="0"/>
    <x v="0"/>
    <n v="19"/>
    <n v="1.6299999999999999E-2"/>
    <x v="0"/>
    <x v="3"/>
    <n v="0"/>
    <x v="0"/>
    <n v="0"/>
    <n v="0"/>
    <s v="monthly"/>
    <n v="1"/>
    <n v="1"/>
    <n v="0"/>
    <x v="2"/>
    <n v="0"/>
    <m/>
    <s v="pdf"/>
    <n v="16.664999999999999"/>
    <n v="0"/>
  </r>
  <r>
    <s v="41127-current-status"/>
    <x v="37"/>
    <n v="41127"/>
    <x v="0"/>
    <s v="current-status"/>
    <x v="2"/>
    <x v="0"/>
    <x v="0"/>
    <x v="0"/>
    <n v="18"/>
    <n v="1.6299999999999999E-2"/>
    <x v="0"/>
    <x v="3"/>
    <n v="0"/>
    <x v="0"/>
    <n v="0"/>
    <n v="0"/>
    <s v="monthly"/>
    <n v="1"/>
    <n v="1"/>
    <n v="0"/>
    <x v="2"/>
    <n v="0"/>
    <m/>
    <s v="pdf"/>
    <n v="16.664999999999999"/>
    <n v="0"/>
  </r>
  <r>
    <s v="41127-aid-type"/>
    <x v="37"/>
    <n v="41127"/>
    <x v="12"/>
    <s v="aid-type"/>
    <x v="8"/>
    <x v="0"/>
    <x v="1"/>
    <x v="1"/>
    <n v="22"/>
    <n v="1.8599999999999998E-2"/>
    <x v="0"/>
    <x v="4"/>
    <n v="50"/>
    <x v="2"/>
    <n v="0"/>
    <n v="0"/>
    <s v="monthly"/>
    <n v="1"/>
    <n v="1"/>
    <n v="0"/>
    <x v="1"/>
    <n v="1"/>
    <m/>
    <s v="machine-readable"/>
    <n v="50"/>
    <n v="50"/>
  </r>
  <r>
    <s v="41127-collaboration-type"/>
    <x v="37"/>
    <n v="41127"/>
    <x v="8"/>
    <s v="collaboration-type"/>
    <x v="9"/>
    <x v="0"/>
    <x v="1"/>
    <x v="1"/>
    <n v="20"/>
    <n v="1.8599999999999998E-2"/>
    <x v="0"/>
    <x v="1"/>
    <n v="33.33"/>
    <x v="1"/>
    <n v="0"/>
    <n v="0"/>
    <s v="monthly"/>
    <n v="1"/>
    <n v="1"/>
    <n v="0"/>
    <x v="1"/>
    <n v="1"/>
    <m/>
    <s v="website"/>
    <n v="33.33"/>
    <n v="33.33"/>
  </r>
  <r>
    <s v="41127-flow-type"/>
    <x v="37"/>
    <n v="41127"/>
    <x v="0"/>
    <s v="flow-type"/>
    <x v="11"/>
    <x v="0"/>
    <x v="1"/>
    <x v="1"/>
    <n v="21"/>
    <n v="1.8599999999999998E-2"/>
    <x v="0"/>
    <x v="0"/>
    <n v="0"/>
    <x v="0"/>
    <n v="0"/>
    <n v="0"/>
    <s v="monthly"/>
    <n v="1"/>
    <n v="1"/>
    <n v="0"/>
    <x v="0"/>
    <n v="0"/>
    <m/>
    <m/>
    <n v="0"/>
    <n v="0"/>
  </r>
  <r>
    <s v="41127-location"/>
    <x v="37"/>
    <n v="41127"/>
    <x v="13"/>
    <s v="location"/>
    <x v="13"/>
    <x v="0"/>
    <x v="1"/>
    <x v="1"/>
    <n v="25"/>
    <n v="1.8599999999999998E-2"/>
    <x v="0"/>
    <x v="3"/>
    <n v="16.664999999999999"/>
    <x v="4"/>
    <n v="0"/>
    <n v="0"/>
    <s v="monthly"/>
    <n v="1"/>
    <n v="1"/>
    <n v="0"/>
    <x v="1"/>
    <n v="1"/>
    <m/>
    <s v="pdf"/>
    <n v="16.664999999999999"/>
    <n v="16.664999999999999"/>
  </r>
  <r>
    <s v="41127-tied-aid-status"/>
    <x v="37"/>
    <n v="41127"/>
    <x v="0"/>
    <s v="tied-aid-status"/>
    <x v="14"/>
    <x v="0"/>
    <x v="1"/>
    <x v="1"/>
    <n v="26"/>
    <n v="1.8599999999999998E-2"/>
    <x v="0"/>
    <x v="0"/>
    <n v="0"/>
    <x v="0"/>
    <n v="0"/>
    <n v="0"/>
    <s v="monthly"/>
    <n v="1"/>
    <n v="1"/>
    <n v="0"/>
    <x v="0"/>
    <n v="0"/>
    <m/>
    <m/>
    <n v="0"/>
    <n v="0"/>
  </r>
  <r>
    <s v="41127-budget-identifier"/>
    <x v="37"/>
    <n v="41127"/>
    <x v="0"/>
    <s v="budget-identifier"/>
    <x v="18"/>
    <x v="0"/>
    <x v="2"/>
    <x v="2"/>
    <n v="36"/>
    <n v="3.2500000000000001E-2"/>
    <x v="0"/>
    <x v="0"/>
    <n v="0"/>
    <x v="0"/>
    <n v="0"/>
    <n v="0"/>
    <s v="monthly"/>
    <n v="1"/>
    <n v="1"/>
    <n v="0"/>
    <x v="0"/>
    <n v="0"/>
    <m/>
    <m/>
    <n v="0"/>
    <n v="0"/>
  </r>
  <r>
    <s v="41127-conditions"/>
    <x v="37"/>
    <n v="41127"/>
    <x v="0"/>
    <s v="conditions"/>
    <x v="19"/>
    <x v="0"/>
    <x v="3"/>
    <x v="3"/>
    <n v="39"/>
    <n v="4.3299999999999998E-2"/>
    <x v="0"/>
    <x v="2"/>
    <n v="0"/>
    <x v="0"/>
    <n v="0"/>
    <n v="0"/>
    <s v="monthly"/>
    <n v="1"/>
    <n v="1"/>
    <n v="0"/>
    <x v="0"/>
    <n v="0"/>
    <m/>
    <s v="document"/>
    <n v="50"/>
    <n v="0"/>
  </r>
  <r>
    <s v="41127-impact-appraisals"/>
    <x v="37"/>
    <n v="41127"/>
    <x v="20"/>
    <s v="impact-appraisals"/>
    <x v="20"/>
    <x v="0"/>
    <x v="3"/>
    <x v="3"/>
    <n v="38"/>
    <n v="4.3299999999999998E-2"/>
    <x v="0"/>
    <x v="2"/>
    <n v="50"/>
    <x v="2"/>
    <n v="0"/>
    <n v="0"/>
    <s v="monthly"/>
    <n v="1"/>
    <n v="1"/>
    <n v="0"/>
    <x v="1"/>
    <n v="1"/>
    <m/>
    <s v="document"/>
    <n v="50"/>
    <n v="50"/>
  </r>
  <r>
    <s v="41127-results"/>
    <x v="37"/>
    <n v="41127"/>
    <x v="0"/>
    <s v="results"/>
    <x v="21"/>
    <x v="0"/>
    <x v="3"/>
    <x v="3"/>
    <n v="37"/>
    <n v="4.3299999999999998E-2"/>
    <x v="0"/>
    <x v="3"/>
    <n v="0"/>
    <x v="0"/>
    <n v="0"/>
    <n v="0"/>
    <s v="monthly"/>
    <n v="1"/>
    <n v="1"/>
    <n v="0"/>
    <x v="2"/>
    <n v="0"/>
    <m/>
    <s v="pdf"/>
    <n v="16.664999999999999"/>
    <n v="0"/>
  </r>
  <r>
    <s v="41127-budget"/>
    <x v="37"/>
    <n v="41127"/>
    <x v="3"/>
    <s v="budget"/>
    <x v="22"/>
    <x v="0"/>
    <x v="4"/>
    <x v="4"/>
    <n v="30"/>
    <n v="2.1700000000000001E-2"/>
    <x v="0"/>
    <x v="2"/>
    <n v="50"/>
    <x v="2"/>
    <n v="0"/>
    <n v="0"/>
    <s v="monthly"/>
    <n v="1"/>
    <n v="1"/>
    <n v="0"/>
    <x v="1"/>
    <n v="1"/>
    <m/>
    <s v="document"/>
    <n v="50"/>
    <n v="50"/>
  </r>
  <r>
    <s v="41127-contracts"/>
    <x v="37"/>
    <n v="41127"/>
    <x v="0"/>
    <s v="contracts"/>
    <x v="23"/>
    <x v="0"/>
    <x v="4"/>
    <x v="4"/>
    <n v="31"/>
    <n v="2.1700000000000001E-2"/>
    <x v="0"/>
    <x v="2"/>
    <n v="0"/>
    <x v="0"/>
    <n v="0"/>
    <n v="0"/>
    <s v="monthly"/>
    <n v="1"/>
    <n v="1"/>
    <n v="0"/>
    <x v="2"/>
    <n v="0"/>
    <m/>
    <s v="document"/>
    <n v="50"/>
    <n v="0"/>
  </r>
  <r>
    <s v="41127-evaluations"/>
    <x v="37"/>
    <n v="41127"/>
    <x v="3"/>
    <s v="evaluations"/>
    <x v="24"/>
    <x v="0"/>
    <x v="4"/>
    <x v="4"/>
    <n v="28"/>
    <n v="2.1700000000000001E-2"/>
    <x v="0"/>
    <x v="2"/>
    <n v="50"/>
    <x v="2"/>
    <n v="0"/>
    <n v="0"/>
    <s v="monthly"/>
    <n v="1"/>
    <n v="1"/>
    <n v="0"/>
    <x v="1"/>
    <n v="1"/>
    <m/>
    <s v="document"/>
    <n v="50"/>
    <n v="50"/>
  </r>
  <r>
    <s v="41127-mou"/>
    <x v="37"/>
    <n v="41127"/>
    <x v="3"/>
    <s v="mou"/>
    <x v="25"/>
    <x v="0"/>
    <x v="4"/>
    <x v="4"/>
    <n v="27"/>
    <n v="2.1700000000000001E-2"/>
    <x v="0"/>
    <x v="2"/>
    <n v="50"/>
    <x v="2"/>
    <n v="0"/>
    <n v="0"/>
    <s v="monthly"/>
    <n v="1"/>
    <n v="1"/>
    <n v="0"/>
    <x v="1"/>
    <n v="1"/>
    <m/>
    <s v="document"/>
    <n v="50"/>
    <n v="50"/>
  </r>
  <r>
    <s v="41127-tenders"/>
    <x v="37"/>
    <n v="41127"/>
    <x v="3"/>
    <s v="tenders"/>
    <x v="27"/>
    <x v="0"/>
    <x v="4"/>
    <x v="4"/>
    <n v="32"/>
    <n v="2.1700000000000001E-2"/>
    <x v="0"/>
    <x v="2"/>
    <n v="50"/>
    <x v="2"/>
    <n v="0"/>
    <n v="0"/>
    <s v="monthly"/>
    <n v="1"/>
    <n v="1"/>
    <n v="0"/>
    <x v="1"/>
    <n v="1"/>
    <m/>
    <s v="document"/>
    <n v="50"/>
    <n v="50"/>
  </r>
  <r>
    <s v="41127-audit"/>
    <x v="37"/>
    <n v="41127"/>
    <x v="4"/>
    <s v="audit"/>
    <x v="28"/>
    <x v="1"/>
    <x v="2"/>
    <x v="5"/>
    <n v="11"/>
    <n v="4.1700000000000001E-2"/>
    <x v="0"/>
    <x v="2"/>
    <n v="50"/>
    <x v="2"/>
    <n v="0"/>
    <n v="0"/>
    <s v="monthly"/>
    <n v="1"/>
    <n v="1"/>
    <n v="0"/>
    <x v="1"/>
    <n v="1"/>
    <m/>
    <s v="document"/>
    <n v="50"/>
    <n v="50"/>
  </r>
  <r>
    <s v="41127-total-budget"/>
    <x v="37"/>
    <n v="41127"/>
    <x v="207"/>
    <s v="total-budget"/>
    <x v="29"/>
    <x v="1"/>
    <x v="2"/>
    <x v="5"/>
    <n v="9"/>
    <n v="4.1700000000000001E-2"/>
    <x v="0"/>
    <x v="1"/>
    <n v="22.22"/>
    <x v="164"/>
    <n v="0"/>
    <n v="0"/>
    <s v="monthly"/>
    <n v="1"/>
    <n v="1"/>
    <n v="0"/>
    <x v="3"/>
    <n v="0"/>
    <n v="2"/>
    <s v="website"/>
    <n v="33.33"/>
    <n v="22.22"/>
  </r>
  <r>
    <s v="41127-disaggregated-budgets"/>
    <x v="37"/>
    <n v="41127"/>
    <x v="207"/>
    <s v="disaggregated-budgets"/>
    <x v="30"/>
    <x v="1"/>
    <x v="2"/>
    <x v="5"/>
    <n v="10"/>
    <n v="4.1700000000000001E-2"/>
    <x v="0"/>
    <x v="1"/>
    <n v="22.22"/>
    <x v="164"/>
    <n v="0"/>
    <n v="0"/>
    <s v="monthly"/>
    <n v="1"/>
    <n v="1"/>
    <n v="0"/>
    <x v="3"/>
    <n v="0"/>
    <n v="2"/>
    <s v="website"/>
    <n v="33.33"/>
    <n v="22.22"/>
  </r>
  <r>
    <s v="41127-strategy"/>
    <x v="37"/>
    <n v="41127"/>
    <x v="6"/>
    <s v="strategy"/>
    <x v="31"/>
    <x v="1"/>
    <x v="5"/>
    <x v="6"/>
    <n v="4"/>
    <n v="2.5000000000000001E-2"/>
    <x v="0"/>
    <x v="2"/>
    <n v="50"/>
    <x v="2"/>
    <n v="0"/>
    <n v="0"/>
    <s v="monthly"/>
    <n v="1"/>
    <n v="1"/>
    <n v="0"/>
    <x v="1"/>
    <n v="1"/>
    <m/>
    <s v="document"/>
    <n v="50"/>
    <n v="50"/>
  </r>
  <r>
    <s v="41127-annual-report"/>
    <x v="37"/>
    <n v="41127"/>
    <x v="6"/>
    <s v="annual-report"/>
    <x v="32"/>
    <x v="1"/>
    <x v="5"/>
    <x v="6"/>
    <n v="5"/>
    <n v="2.5000000000000001E-2"/>
    <x v="0"/>
    <x v="2"/>
    <n v="50"/>
    <x v="2"/>
    <n v="0"/>
    <n v="0"/>
    <s v="monthly"/>
    <n v="1"/>
    <n v="1"/>
    <n v="0"/>
    <x v="1"/>
    <n v="1"/>
    <m/>
    <s v="document"/>
    <n v="50"/>
    <n v="50"/>
  </r>
  <r>
    <s v="41127-allocation"/>
    <x v="37"/>
    <n v="41127"/>
    <x v="6"/>
    <s v="allocation"/>
    <x v="33"/>
    <x v="1"/>
    <x v="5"/>
    <x v="6"/>
    <n v="6"/>
    <n v="2.5000000000000001E-2"/>
    <x v="0"/>
    <x v="2"/>
    <n v="50"/>
    <x v="2"/>
    <n v="0"/>
    <n v="0"/>
    <s v="monthly"/>
    <n v="1"/>
    <n v="1"/>
    <n v="0"/>
    <x v="1"/>
    <n v="1"/>
    <m/>
    <s v="document"/>
    <n v="50"/>
    <n v="50"/>
  </r>
  <r>
    <s v="41127-procurement-policy"/>
    <x v="37"/>
    <n v="41127"/>
    <x v="6"/>
    <s v="procurement-policy"/>
    <x v="34"/>
    <x v="1"/>
    <x v="5"/>
    <x v="6"/>
    <n v="7"/>
    <n v="2.5000000000000001E-2"/>
    <x v="0"/>
    <x v="2"/>
    <n v="50"/>
    <x v="2"/>
    <n v="0"/>
    <n v="0"/>
    <s v="monthly"/>
    <n v="1"/>
    <n v="1"/>
    <n v="0"/>
    <x v="1"/>
    <n v="1"/>
    <m/>
    <s v="document"/>
    <n v="50"/>
    <n v="50"/>
  </r>
  <r>
    <s v="41127-country-strategy"/>
    <x v="37"/>
    <n v="41127"/>
    <x v="6"/>
    <s v="country-strategy"/>
    <x v="35"/>
    <x v="1"/>
    <x v="5"/>
    <x v="6"/>
    <n v="8"/>
    <n v="2.5000000000000001E-2"/>
    <x v="0"/>
    <x v="2"/>
    <n v="50"/>
    <x v="2"/>
    <n v="0"/>
    <n v="0"/>
    <s v="monthly"/>
    <n v="1"/>
    <n v="1"/>
    <n v="0"/>
    <x v="1"/>
    <n v="1"/>
    <m/>
    <s v="document"/>
    <n v="50"/>
    <n v="50"/>
  </r>
  <r>
    <s v="41127-foia"/>
    <x v="37"/>
    <n v="41127"/>
    <x v="0"/>
    <s v="foia"/>
    <x v="36"/>
    <x v="2"/>
    <x v="6"/>
    <x v="7"/>
    <n v="1"/>
    <n v="3.3300000000000003E-2"/>
    <x v="0"/>
    <x v="5"/>
    <n v="0"/>
    <x v="0"/>
    <n v="0"/>
    <n v="0"/>
    <s v="monthly"/>
    <n v="1"/>
    <n v="1"/>
    <n v="0"/>
    <x v="3"/>
    <n v="0"/>
    <n v="0"/>
    <m/>
    <n v="0"/>
    <n v="0"/>
  </r>
  <r>
    <s v="41127-accessibility"/>
    <x v="37"/>
    <n v="41127"/>
    <x v="15"/>
    <s v="accessibility"/>
    <x v="37"/>
    <x v="2"/>
    <x v="6"/>
    <x v="7"/>
    <n v="3"/>
    <n v="3.3300000000000003E-2"/>
    <x v="0"/>
    <x v="5"/>
    <n v="66.66"/>
    <x v="6"/>
    <n v="0"/>
    <n v="0"/>
    <s v="monthly"/>
    <n v="1"/>
    <n v="1"/>
    <n v="0"/>
    <x v="3"/>
    <n v="0"/>
    <n v="66.66"/>
    <m/>
    <n v="0"/>
    <n v="66.66"/>
  </r>
  <r>
    <s v="41127-implementation-schedules"/>
    <x v="37"/>
    <n v="41127"/>
    <x v="208"/>
    <s v="implementation-schedules"/>
    <x v="38"/>
    <x v="2"/>
    <x v="6"/>
    <x v="7"/>
    <n v="2"/>
    <n v="3.3300000000000003E-2"/>
    <x v="0"/>
    <x v="5"/>
    <n v="32"/>
    <x v="165"/>
    <n v="0"/>
    <n v="0"/>
    <s v="monthly"/>
    <n v="1"/>
    <n v="1"/>
    <n v="0"/>
    <x v="3"/>
    <n v="0"/>
    <n v="32"/>
    <m/>
    <n v="0"/>
    <n v="32"/>
  </r>
  <r>
    <s v="NO-4-dates-actual"/>
    <x v="38"/>
    <s v="NO-4"/>
    <x v="0"/>
    <s v="dates-actual"/>
    <x v="0"/>
    <x v="0"/>
    <x v="0"/>
    <x v="0"/>
    <n v="17"/>
    <n v="1.6299999999999999E-2"/>
    <x v="0"/>
    <x v="1"/>
    <n v="0"/>
    <x v="0"/>
    <n v="0"/>
    <n v="0"/>
    <m/>
    <n v="1"/>
    <n v="1"/>
    <n v="0"/>
    <x v="2"/>
    <n v="0"/>
    <m/>
    <s v="website"/>
    <n v="33.33"/>
    <n v="0"/>
  </r>
  <r>
    <s v="NO-4-contact-details"/>
    <x v="38"/>
    <s v="NO-4"/>
    <x v="1"/>
    <s v="contact-details"/>
    <x v="1"/>
    <x v="0"/>
    <x v="0"/>
    <x v="0"/>
    <n v="19"/>
    <n v="1.6299999999999999E-2"/>
    <x v="0"/>
    <x v="1"/>
    <n v="33.33"/>
    <x v="1"/>
    <n v="0"/>
    <n v="0"/>
    <m/>
    <n v="1"/>
    <n v="1"/>
    <n v="0"/>
    <x v="1"/>
    <n v="1"/>
    <m/>
    <s v="website"/>
    <n v="33.33"/>
    <n v="33.33"/>
  </r>
  <r>
    <s v="NO-4-current-status"/>
    <x v="38"/>
    <s v="NO-4"/>
    <x v="0"/>
    <s v="current-status"/>
    <x v="2"/>
    <x v="0"/>
    <x v="0"/>
    <x v="0"/>
    <n v="18"/>
    <n v="1.6299999999999999E-2"/>
    <x v="0"/>
    <x v="0"/>
    <n v="0"/>
    <x v="0"/>
    <n v="0"/>
    <n v="0"/>
    <m/>
    <n v="1"/>
    <n v="1"/>
    <n v="0"/>
    <x v="0"/>
    <n v="0"/>
    <m/>
    <m/>
    <n v="0"/>
    <n v="0"/>
  </r>
  <r>
    <s v="NO-4-description"/>
    <x v="38"/>
    <s v="NO-4"/>
    <x v="11"/>
    <s v="description"/>
    <x v="3"/>
    <x v="0"/>
    <x v="0"/>
    <x v="0"/>
    <n v="15"/>
    <n v="1.6299999999999999E-2"/>
    <x v="0"/>
    <x v="4"/>
    <n v="50"/>
    <x v="2"/>
    <n v="0"/>
    <n v="0"/>
    <m/>
    <n v="1"/>
    <n v="1"/>
    <n v="0"/>
    <x v="1"/>
    <n v="1"/>
    <m/>
    <s v="machine-readable"/>
    <n v="50"/>
    <n v="50"/>
  </r>
  <r>
    <s v="NO-4-implementer"/>
    <x v="38"/>
    <s v="NO-4"/>
    <x v="11"/>
    <s v="implementer"/>
    <x v="4"/>
    <x v="0"/>
    <x v="0"/>
    <x v="0"/>
    <n v="12"/>
    <n v="1.6299999999999999E-2"/>
    <x v="0"/>
    <x v="4"/>
    <n v="50"/>
    <x v="2"/>
    <n v="0"/>
    <n v="0"/>
    <m/>
    <n v="1"/>
    <n v="1"/>
    <n v="0"/>
    <x v="1"/>
    <n v="1"/>
    <m/>
    <s v="machine-readable"/>
    <n v="50"/>
    <n v="50"/>
  </r>
  <r>
    <s v="NO-4-dates-planned"/>
    <x v="38"/>
    <s v="NO-4"/>
    <x v="0"/>
    <s v="dates-planned"/>
    <x v="5"/>
    <x v="0"/>
    <x v="0"/>
    <x v="0"/>
    <n v="16"/>
    <n v="1.6299999999999999E-2"/>
    <x v="0"/>
    <x v="1"/>
    <n v="0"/>
    <x v="0"/>
    <n v="0"/>
    <n v="0"/>
    <m/>
    <n v="1"/>
    <n v="1"/>
    <n v="0"/>
    <x v="2"/>
    <n v="0"/>
    <m/>
    <s v="website"/>
    <n v="33.33"/>
    <n v="0"/>
  </r>
  <r>
    <s v="NO-4-title"/>
    <x v="38"/>
    <s v="NO-4"/>
    <x v="11"/>
    <s v="title"/>
    <x v="6"/>
    <x v="0"/>
    <x v="0"/>
    <x v="0"/>
    <n v="14"/>
    <n v="1.6299999999999999E-2"/>
    <x v="0"/>
    <x v="4"/>
    <n v="50"/>
    <x v="2"/>
    <n v="0"/>
    <n v="0"/>
    <m/>
    <n v="1"/>
    <n v="1"/>
    <n v="0"/>
    <x v="1"/>
    <n v="1"/>
    <m/>
    <s v="machine-readable"/>
    <n v="50"/>
    <n v="50"/>
  </r>
  <r>
    <s v="NO-4-unique-id"/>
    <x v="38"/>
    <s v="NO-4"/>
    <x v="11"/>
    <s v="unique-id"/>
    <x v="7"/>
    <x v="0"/>
    <x v="0"/>
    <x v="0"/>
    <n v="13"/>
    <n v="1.6299999999999999E-2"/>
    <x v="0"/>
    <x v="4"/>
    <n v="50"/>
    <x v="2"/>
    <n v="0"/>
    <n v="0"/>
    <m/>
    <n v="1"/>
    <n v="1"/>
    <n v="0"/>
    <x v="1"/>
    <n v="1"/>
    <m/>
    <s v="machine-readable"/>
    <n v="50"/>
    <n v="50"/>
  </r>
  <r>
    <s v="NO-4-aid-type"/>
    <x v="38"/>
    <s v="NO-4"/>
    <x v="0"/>
    <s v="aid-type"/>
    <x v="8"/>
    <x v="0"/>
    <x v="1"/>
    <x v="1"/>
    <n v="22"/>
    <n v="1.8599999999999998E-2"/>
    <x v="0"/>
    <x v="0"/>
    <n v="0"/>
    <x v="0"/>
    <n v="0"/>
    <n v="0"/>
    <m/>
    <n v="1"/>
    <n v="1"/>
    <n v="0"/>
    <x v="0"/>
    <n v="0"/>
    <m/>
    <m/>
    <n v="0"/>
    <n v="0"/>
  </r>
  <r>
    <s v="NO-4-collaboration-type"/>
    <x v="38"/>
    <s v="NO-4"/>
    <x v="12"/>
    <s v="collaboration-type"/>
    <x v="9"/>
    <x v="0"/>
    <x v="1"/>
    <x v="1"/>
    <n v="20"/>
    <n v="1.8599999999999998E-2"/>
    <x v="0"/>
    <x v="4"/>
    <n v="50"/>
    <x v="2"/>
    <n v="0"/>
    <n v="0"/>
    <m/>
    <n v="1"/>
    <n v="1"/>
    <n v="0"/>
    <x v="1"/>
    <n v="1"/>
    <m/>
    <s v="machine-readable"/>
    <n v="50"/>
    <n v="50"/>
  </r>
  <r>
    <s v="NO-4-finance-type"/>
    <x v="38"/>
    <s v="NO-4"/>
    <x v="0"/>
    <s v="finance-type"/>
    <x v="10"/>
    <x v="0"/>
    <x v="1"/>
    <x v="1"/>
    <n v="23"/>
    <n v="1.8599999999999998E-2"/>
    <x v="0"/>
    <x v="1"/>
    <n v="0"/>
    <x v="0"/>
    <n v="0"/>
    <n v="0"/>
    <m/>
    <n v="1"/>
    <n v="1"/>
    <n v="0"/>
    <x v="2"/>
    <n v="0"/>
    <m/>
    <s v="website"/>
    <n v="33.33"/>
    <n v="0"/>
  </r>
  <r>
    <s v="NO-4-flow-type"/>
    <x v="38"/>
    <s v="NO-4"/>
    <x v="0"/>
    <s v="flow-type"/>
    <x v="11"/>
    <x v="0"/>
    <x v="1"/>
    <x v="1"/>
    <n v="21"/>
    <n v="1.8599999999999998E-2"/>
    <x v="0"/>
    <x v="1"/>
    <n v="0"/>
    <x v="0"/>
    <n v="0"/>
    <n v="0"/>
    <m/>
    <n v="1"/>
    <n v="1"/>
    <n v="0"/>
    <x v="2"/>
    <n v="0"/>
    <m/>
    <s v="website"/>
    <n v="33.33"/>
    <n v="0"/>
  </r>
  <r>
    <s v="NO-4-sector"/>
    <x v="38"/>
    <s v="NO-4"/>
    <x v="12"/>
    <s v="sector"/>
    <x v="12"/>
    <x v="0"/>
    <x v="1"/>
    <x v="1"/>
    <n v="24"/>
    <n v="1.8599999999999998E-2"/>
    <x v="0"/>
    <x v="4"/>
    <n v="50"/>
    <x v="2"/>
    <n v="0"/>
    <n v="0"/>
    <m/>
    <n v="1"/>
    <n v="1"/>
    <n v="0"/>
    <x v="1"/>
    <n v="1"/>
    <m/>
    <s v="machine-readable"/>
    <n v="50"/>
    <n v="50"/>
  </r>
  <r>
    <s v="NO-4-location"/>
    <x v="38"/>
    <s v="NO-4"/>
    <x v="0"/>
    <s v="location"/>
    <x v="13"/>
    <x v="0"/>
    <x v="1"/>
    <x v="1"/>
    <n v="25"/>
    <n v="1.8599999999999998E-2"/>
    <x v="0"/>
    <x v="1"/>
    <n v="0"/>
    <x v="0"/>
    <n v="0"/>
    <n v="0"/>
    <m/>
    <n v="1"/>
    <n v="1"/>
    <n v="0"/>
    <x v="2"/>
    <n v="0"/>
    <m/>
    <s v="website"/>
    <n v="33.33"/>
    <n v="0"/>
  </r>
  <r>
    <s v="NO-4-tied-aid-status"/>
    <x v="38"/>
    <s v="NO-4"/>
    <x v="0"/>
    <s v="tied-aid-status"/>
    <x v="14"/>
    <x v="0"/>
    <x v="1"/>
    <x v="1"/>
    <n v="26"/>
    <n v="1.8599999999999998E-2"/>
    <x v="0"/>
    <x v="0"/>
    <n v="0"/>
    <x v="0"/>
    <n v="0"/>
    <n v="0"/>
    <m/>
    <n v="1"/>
    <n v="1"/>
    <n v="0"/>
    <x v="0"/>
    <n v="0"/>
    <m/>
    <m/>
    <n v="0"/>
    <n v="0"/>
  </r>
  <r>
    <s v="NO-4-expenditure-actual"/>
    <x v="38"/>
    <s v="NO-4"/>
    <x v="0"/>
    <s v="expenditure-actual"/>
    <x v="15"/>
    <x v="0"/>
    <x v="2"/>
    <x v="2"/>
    <n v="35"/>
    <n v="3.2500000000000001E-2"/>
    <x v="0"/>
    <x v="0"/>
    <n v="0"/>
    <x v="0"/>
    <n v="0"/>
    <n v="0"/>
    <m/>
    <n v="1"/>
    <n v="1"/>
    <n v="0"/>
    <x v="0"/>
    <n v="0"/>
    <m/>
    <m/>
    <n v="0"/>
    <n v="0"/>
  </r>
  <r>
    <s v="NO-4-cost-overall"/>
    <x v="38"/>
    <s v="NO-4"/>
    <x v="14"/>
    <s v="cost-overall"/>
    <x v="16"/>
    <x v="0"/>
    <x v="2"/>
    <x v="2"/>
    <n v="33"/>
    <n v="3.2500000000000001E-2"/>
    <x v="0"/>
    <x v="4"/>
    <n v="50"/>
    <x v="2"/>
    <n v="0"/>
    <n v="0"/>
    <m/>
    <n v="1"/>
    <n v="1"/>
    <n v="0"/>
    <x v="1"/>
    <n v="1"/>
    <m/>
    <s v="machine-readable"/>
    <n v="50"/>
    <n v="50"/>
  </r>
  <r>
    <s v="NO-4-expenditure-planned"/>
    <x v="38"/>
    <s v="NO-4"/>
    <x v="14"/>
    <s v="expenditure-planned"/>
    <x v="17"/>
    <x v="0"/>
    <x v="2"/>
    <x v="2"/>
    <n v="34"/>
    <n v="3.2500000000000001E-2"/>
    <x v="0"/>
    <x v="4"/>
    <n v="50"/>
    <x v="2"/>
    <n v="0"/>
    <n v="0"/>
    <m/>
    <n v="1"/>
    <n v="1"/>
    <n v="0"/>
    <x v="1"/>
    <n v="1"/>
    <m/>
    <s v="machine-readable"/>
    <n v="50"/>
    <n v="50"/>
  </r>
  <r>
    <s v="NO-4-budget-identifier"/>
    <x v="38"/>
    <s v="NO-4"/>
    <x v="0"/>
    <s v="budget-identifier"/>
    <x v="18"/>
    <x v="0"/>
    <x v="2"/>
    <x v="2"/>
    <n v="36"/>
    <n v="3.2500000000000001E-2"/>
    <x v="0"/>
    <x v="0"/>
    <n v="0"/>
    <x v="0"/>
    <n v="0"/>
    <n v="0"/>
    <m/>
    <n v="1"/>
    <n v="1"/>
    <n v="0"/>
    <x v="0"/>
    <n v="0"/>
    <m/>
    <m/>
    <n v="0"/>
    <n v="0"/>
  </r>
  <r>
    <s v="NO-4-conditions"/>
    <x v="38"/>
    <s v="NO-4"/>
    <x v="0"/>
    <s v="conditions"/>
    <x v="19"/>
    <x v="0"/>
    <x v="3"/>
    <x v="3"/>
    <n v="39"/>
    <n v="4.3299999999999998E-2"/>
    <x v="0"/>
    <x v="2"/>
    <n v="0"/>
    <x v="0"/>
    <n v="0"/>
    <n v="0"/>
    <m/>
    <n v="1"/>
    <n v="1"/>
    <n v="0"/>
    <x v="0"/>
    <n v="0"/>
    <m/>
    <s v="document"/>
    <n v="50"/>
    <n v="0"/>
  </r>
  <r>
    <s v="NO-4-impact-appraisals"/>
    <x v="38"/>
    <s v="NO-4"/>
    <x v="0"/>
    <s v="impact-appraisals"/>
    <x v="20"/>
    <x v="0"/>
    <x v="3"/>
    <x v="3"/>
    <n v="38"/>
    <n v="4.3299999999999998E-2"/>
    <x v="0"/>
    <x v="2"/>
    <n v="0"/>
    <x v="0"/>
    <n v="0"/>
    <n v="0"/>
    <m/>
    <n v="1"/>
    <n v="1"/>
    <n v="0"/>
    <x v="0"/>
    <n v="0"/>
    <m/>
    <s v="document"/>
    <n v="50"/>
    <n v="0"/>
  </r>
  <r>
    <s v="NO-4-results"/>
    <x v="38"/>
    <s v="NO-4"/>
    <x v="0"/>
    <s v="results"/>
    <x v="21"/>
    <x v="0"/>
    <x v="3"/>
    <x v="3"/>
    <n v="37"/>
    <n v="4.3299999999999998E-2"/>
    <x v="0"/>
    <x v="3"/>
    <n v="0"/>
    <x v="0"/>
    <n v="0"/>
    <n v="0"/>
    <m/>
    <n v="1"/>
    <n v="1"/>
    <n v="0"/>
    <x v="2"/>
    <n v="0"/>
    <m/>
    <s v="pdf"/>
    <n v="16.664999999999999"/>
    <n v="0"/>
  </r>
  <r>
    <s v="NO-4-budget"/>
    <x v="38"/>
    <s v="NO-4"/>
    <x v="0"/>
    <s v="budget"/>
    <x v="22"/>
    <x v="0"/>
    <x v="4"/>
    <x v="4"/>
    <n v="30"/>
    <n v="2.1700000000000001E-2"/>
    <x v="0"/>
    <x v="2"/>
    <n v="0"/>
    <x v="0"/>
    <n v="0"/>
    <n v="0"/>
    <m/>
    <n v="1"/>
    <n v="1"/>
    <n v="0"/>
    <x v="0"/>
    <n v="0"/>
    <m/>
    <s v="document"/>
    <n v="50"/>
    <n v="0"/>
  </r>
  <r>
    <s v="NO-4-contracts"/>
    <x v="38"/>
    <s v="NO-4"/>
    <x v="0"/>
    <s v="contracts"/>
    <x v="23"/>
    <x v="0"/>
    <x v="4"/>
    <x v="4"/>
    <n v="31"/>
    <n v="2.1700000000000001E-2"/>
    <x v="0"/>
    <x v="2"/>
    <n v="0"/>
    <x v="0"/>
    <n v="0"/>
    <n v="0"/>
    <m/>
    <n v="1"/>
    <n v="1"/>
    <n v="0"/>
    <x v="0"/>
    <n v="0"/>
    <m/>
    <s v="document"/>
    <n v="50"/>
    <n v="0"/>
  </r>
  <r>
    <s v="NO-4-evaluations"/>
    <x v="38"/>
    <s v="NO-4"/>
    <x v="3"/>
    <s v="evaluations"/>
    <x v="24"/>
    <x v="0"/>
    <x v="4"/>
    <x v="4"/>
    <n v="28"/>
    <n v="2.1700000000000001E-2"/>
    <x v="0"/>
    <x v="2"/>
    <n v="50"/>
    <x v="2"/>
    <n v="0"/>
    <n v="0"/>
    <m/>
    <n v="1"/>
    <n v="1"/>
    <n v="0"/>
    <x v="1"/>
    <n v="1"/>
    <m/>
    <s v="document"/>
    <n v="50"/>
    <n v="50"/>
  </r>
  <r>
    <s v="NO-4-mou"/>
    <x v="38"/>
    <s v="NO-4"/>
    <x v="0"/>
    <s v="mou"/>
    <x v="25"/>
    <x v="0"/>
    <x v="4"/>
    <x v="4"/>
    <n v="27"/>
    <n v="2.1700000000000001E-2"/>
    <x v="0"/>
    <x v="2"/>
    <n v="0"/>
    <x v="0"/>
    <n v="0"/>
    <n v="0"/>
    <m/>
    <n v="1"/>
    <n v="1"/>
    <n v="0"/>
    <x v="2"/>
    <n v="0"/>
    <m/>
    <s v="document"/>
    <n v="50"/>
    <n v="0"/>
  </r>
  <r>
    <s v="NO-4-objectives"/>
    <x v="38"/>
    <s v="NO-4"/>
    <x v="3"/>
    <s v="objectives"/>
    <x v="26"/>
    <x v="0"/>
    <x v="4"/>
    <x v="4"/>
    <n v="29"/>
    <n v="2.1700000000000001E-2"/>
    <x v="0"/>
    <x v="2"/>
    <n v="50"/>
    <x v="2"/>
    <n v="0"/>
    <n v="0"/>
    <m/>
    <n v="1"/>
    <n v="1"/>
    <n v="0"/>
    <x v="1"/>
    <n v="1"/>
    <m/>
    <s v="document"/>
    <n v="50"/>
    <n v="50"/>
  </r>
  <r>
    <s v="NO-4-tenders"/>
    <x v="38"/>
    <s v="NO-4"/>
    <x v="3"/>
    <s v="tenders"/>
    <x v="27"/>
    <x v="0"/>
    <x v="4"/>
    <x v="4"/>
    <n v="32"/>
    <n v="2.1700000000000001E-2"/>
    <x v="0"/>
    <x v="2"/>
    <n v="50"/>
    <x v="2"/>
    <n v="0"/>
    <n v="0"/>
    <m/>
    <n v="1"/>
    <n v="1"/>
    <n v="0"/>
    <x v="1"/>
    <n v="1"/>
    <m/>
    <s v="document"/>
    <n v="50"/>
    <n v="50"/>
  </r>
  <r>
    <s v="NO-4-audit"/>
    <x v="38"/>
    <s v="NO-4"/>
    <x v="4"/>
    <s v="audit"/>
    <x v="28"/>
    <x v="1"/>
    <x v="2"/>
    <x v="5"/>
    <n v="11"/>
    <n v="4.1700000000000001E-2"/>
    <x v="0"/>
    <x v="2"/>
    <n v="50"/>
    <x v="2"/>
    <n v="0"/>
    <n v="0"/>
    <m/>
    <n v="1"/>
    <n v="1"/>
    <n v="0"/>
    <x v="1"/>
    <n v="1"/>
    <m/>
    <s v="document"/>
    <n v="50"/>
    <n v="50"/>
  </r>
  <r>
    <s v="NO-4-total-budget"/>
    <x v="38"/>
    <s v="NO-4"/>
    <x v="5"/>
    <s v="total-budget"/>
    <x v="29"/>
    <x v="1"/>
    <x v="2"/>
    <x v="5"/>
    <n v="9"/>
    <n v="4.1700000000000001E-2"/>
    <x v="0"/>
    <x v="1"/>
    <n v="11.11"/>
    <x v="3"/>
    <n v="0"/>
    <n v="0"/>
    <m/>
    <n v="1"/>
    <n v="1"/>
    <n v="0"/>
    <x v="3"/>
    <n v="0"/>
    <n v="1"/>
    <s v="website"/>
    <n v="33.33"/>
    <n v="11.11"/>
  </r>
  <r>
    <s v="NO-4-disaggregated-budgets"/>
    <x v="38"/>
    <s v="NO-4"/>
    <x v="0"/>
    <s v="disaggregated-budgets"/>
    <x v="30"/>
    <x v="1"/>
    <x v="2"/>
    <x v="5"/>
    <n v="10"/>
    <n v="4.1700000000000001E-2"/>
    <x v="0"/>
    <x v="0"/>
    <n v="0"/>
    <x v="0"/>
    <n v="0"/>
    <n v="0"/>
    <m/>
    <n v="1"/>
    <n v="1"/>
    <n v="0"/>
    <x v="3"/>
    <n v="0"/>
    <n v="0"/>
    <m/>
    <n v="0"/>
    <n v="0"/>
  </r>
  <r>
    <s v="NO-4-strategy"/>
    <x v="38"/>
    <s v="NO-4"/>
    <x v="6"/>
    <s v="strategy"/>
    <x v="31"/>
    <x v="1"/>
    <x v="5"/>
    <x v="6"/>
    <n v="4"/>
    <n v="2.5000000000000001E-2"/>
    <x v="0"/>
    <x v="2"/>
    <n v="50"/>
    <x v="2"/>
    <n v="0"/>
    <n v="0"/>
    <m/>
    <n v="1"/>
    <n v="1"/>
    <n v="0"/>
    <x v="1"/>
    <n v="1"/>
    <m/>
    <s v="document"/>
    <n v="50"/>
    <n v="50"/>
  </r>
  <r>
    <s v="NO-4-annual-report"/>
    <x v="38"/>
    <s v="NO-4"/>
    <x v="6"/>
    <s v="annual-report"/>
    <x v="32"/>
    <x v="1"/>
    <x v="5"/>
    <x v="6"/>
    <n v="5"/>
    <n v="2.5000000000000001E-2"/>
    <x v="0"/>
    <x v="2"/>
    <n v="50"/>
    <x v="2"/>
    <n v="0"/>
    <n v="0"/>
    <m/>
    <n v="1"/>
    <n v="1"/>
    <n v="0"/>
    <x v="1"/>
    <n v="1"/>
    <m/>
    <s v="document"/>
    <n v="50"/>
    <n v="50"/>
  </r>
  <r>
    <s v="NO-4-allocation"/>
    <x v="38"/>
    <s v="NO-4"/>
    <x v="6"/>
    <s v="allocation"/>
    <x v="33"/>
    <x v="1"/>
    <x v="5"/>
    <x v="6"/>
    <n v="6"/>
    <n v="2.5000000000000001E-2"/>
    <x v="0"/>
    <x v="2"/>
    <n v="50"/>
    <x v="2"/>
    <n v="0"/>
    <n v="0"/>
    <m/>
    <n v="1"/>
    <n v="1"/>
    <n v="0"/>
    <x v="1"/>
    <n v="1"/>
    <m/>
    <s v="document"/>
    <n v="50"/>
    <n v="50"/>
  </r>
  <r>
    <s v="NO-4-procurement-policy"/>
    <x v="38"/>
    <s v="NO-4"/>
    <x v="6"/>
    <s v="procurement-policy"/>
    <x v="34"/>
    <x v="1"/>
    <x v="5"/>
    <x v="6"/>
    <n v="7"/>
    <n v="2.5000000000000001E-2"/>
    <x v="0"/>
    <x v="2"/>
    <n v="50"/>
    <x v="2"/>
    <n v="0"/>
    <n v="0"/>
    <m/>
    <n v="1"/>
    <n v="1"/>
    <n v="0"/>
    <x v="1"/>
    <n v="1"/>
    <m/>
    <s v="document"/>
    <n v="50"/>
    <n v="50"/>
  </r>
  <r>
    <s v="NO-4-country-strategy"/>
    <x v="38"/>
    <s v="NO-4"/>
    <x v="6"/>
    <s v="country-strategy"/>
    <x v="35"/>
    <x v="1"/>
    <x v="5"/>
    <x v="6"/>
    <n v="8"/>
    <n v="2.5000000000000001E-2"/>
    <x v="0"/>
    <x v="2"/>
    <n v="50"/>
    <x v="2"/>
    <n v="0"/>
    <n v="0"/>
    <m/>
    <n v="1"/>
    <n v="1"/>
    <n v="0"/>
    <x v="1"/>
    <n v="1"/>
    <m/>
    <s v="document"/>
    <n v="50"/>
    <n v="50"/>
  </r>
  <r>
    <s v="NO-4-foia"/>
    <x v="38"/>
    <s v="NO-4"/>
    <x v="15"/>
    <s v="foia"/>
    <x v="36"/>
    <x v="2"/>
    <x v="6"/>
    <x v="7"/>
    <n v="1"/>
    <n v="3.3300000000000003E-2"/>
    <x v="0"/>
    <x v="5"/>
    <n v="66.66"/>
    <x v="6"/>
    <n v="0"/>
    <n v="0"/>
    <m/>
    <n v="1"/>
    <n v="1"/>
    <n v="0"/>
    <x v="3"/>
    <n v="0"/>
    <n v="66.66"/>
    <m/>
    <n v="0"/>
    <n v="66.66"/>
  </r>
  <r>
    <s v="NO-4-accessibility"/>
    <x v="38"/>
    <s v="NO-4"/>
    <x v="10"/>
    <s v="accessibility"/>
    <x v="37"/>
    <x v="2"/>
    <x v="6"/>
    <x v="7"/>
    <n v="3"/>
    <n v="3.3300000000000003E-2"/>
    <x v="0"/>
    <x v="5"/>
    <n v="100"/>
    <x v="5"/>
    <n v="0"/>
    <n v="0"/>
    <m/>
    <n v="1"/>
    <n v="1"/>
    <n v="0"/>
    <x v="3"/>
    <n v="0"/>
    <n v="100"/>
    <m/>
    <n v="0"/>
    <n v="100"/>
  </r>
  <r>
    <s v="NO-4-implementation-schedules"/>
    <x v="38"/>
    <s v="NO-4"/>
    <x v="209"/>
    <s v="implementation-schedules"/>
    <x v="38"/>
    <x v="2"/>
    <x v="6"/>
    <x v="7"/>
    <n v="2"/>
    <n v="3.3300000000000003E-2"/>
    <x v="0"/>
    <x v="5"/>
    <n v="34"/>
    <x v="166"/>
    <n v="0"/>
    <n v="0"/>
    <m/>
    <n v="1"/>
    <n v="1"/>
    <n v="0"/>
    <x v="3"/>
    <n v="0"/>
    <n v="34"/>
    <m/>
    <n v="0"/>
    <n v="34"/>
  </r>
  <r>
    <s v="NL-1-total-budget"/>
    <x v="39"/>
    <s v="NL-1"/>
    <x v="69"/>
    <s v="total-budget"/>
    <x v="29"/>
    <x v="1"/>
    <x v="2"/>
    <x v="5"/>
    <n v="9"/>
    <n v="4.1700000000000001E-2"/>
    <x v="1"/>
    <x v="6"/>
    <n v="50"/>
    <x v="41"/>
    <n v="33.333333333299997"/>
    <n v="16.666666666699999"/>
    <s v="monthly"/>
    <n v="1"/>
    <n v="1"/>
    <n v="16.666666666699999"/>
    <x v="3"/>
    <m/>
    <m/>
    <m/>
    <m/>
    <n v="0"/>
  </r>
  <r>
    <s v="NL-1-disaggregated-budgets"/>
    <x v="39"/>
    <s v="NL-1"/>
    <x v="210"/>
    <s v="disaggregated-budgets"/>
    <x v="30"/>
    <x v="1"/>
    <x v="2"/>
    <x v="5"/>
    <n v="10"/>
    <n v="4.1700000000000001E-2"/>
    <x v="1"/>
    <x v="6"/>
    <n v="50"/>
    <x v="167"/>
    <n v="30.620312391100001"/>
    <n v="15.310156195499999"/>
    <s v="monthly"/>
    <n v="1"/>
    <n v="1"/>
    <n v="15.310156195499999"/>
    <x v="3"/>
    <m/>
    <m/>
    <m/>
    <m/>
    <n v="0"/>
  </r>
  <r>
    <s v="NL-1-dates-actual"/>
    <x v="39"/>
    <s v="NL-1"/>
    <x v="46"/>
    <s v="dates-actual"/>
    <x v="0"/>
    <x v="0"/>
    <x v="0"/>
    <x v="0"/>
    <n v="17"/>
    <n v="1.6299999999999999E-2"/>
    <x v="1"/>
    <x v="6"/>
    <n v="50"/>
    <x v="5"/>
    <n v="100"/>
    <n v="50"/>
    <s v="monthly"/>
    <n v="1"/>
    <n v="1"/>
    <n v="50"/>
    <x v="3"/>
    <m/>
    <m/>
    <m/>
    <m/>
    <n v="0"/>
  </r>
  <r>
    <s v="NL-1-current-status"/>
    <x v="39"/>
    <s v="NL-1"/>
    <x v="46"/>
    <s v="current-status"/>
    <x v="2"/>
    <x v="0"/>
    <x v="0"/>
    <x v="0"/>
    <n v="18"/>
    <n v="1.6299999999999999E-2"/>
    <x v="1"/>
    <x v="6"/>
    <n v="50"/>
    <x v="5"/>
    <n v="100"/>
    <n v="50"/>
    <s v="monthly"/>
    <n v="1"/>
    <n v="1"/>
    <n v="50"/>
    <x v="3"/>
    <m/>
    <m/>
    <m/>
    <m/>
    <n v="0"/>
  </r>
  <r>
    <s v="NL-1-description"/>
    <x v="39"/>
    <s v="NL-1"/>
    <x v="211"/>
    <s v="description"/>
    <x v="3"/>
    <x v="0"/>
    <x v="0"/>
    <x v="0"/>
    <n v="15"/>
    <n v="1.6299999999999999E-2"/>
    <x v="1"/>
    <x v="6"/>
    <n v="50"/>
    <x v="168"/>
    <n v="82.275309054499999"/>
    <n v="41.137654527199999"/>
    <s v="monthly"/>
    <n v="1"/>
    <n v="1"/>
    <n v="41.137654527199999"/>
    <x v="3"/>
    <m/>
    <m/>
    <m/>
    <m/>
    <n v="0"/>
  </r>
  <r>
    <s v="NL-1-implementer"/>
    <x v="39"/>
    <s v="NL-1"/>
    <x v="46"/>
    <s v="implementer"/>
    <x v="4"/>
    <x v="0"/>
    <x v="0"/>
    <x v="0"/>
    <n v="12"/>
    <n v="1.6299999999999999E-2"/>
    <x v="1"/>
    <x v="6"/>
    <n v="50"/>
    <x v="5"/>
    <n v="100"/>
    <n v="50"/>
    <s v="monthly"/>
    <n v="1"/>
    <n v="1"/>
    <n v="50"/>
    <x v="3"/>
    <m/>
    <m/>
    <m/>
    <m/>
    <n v="0"/>
  </r>
  <r>
    <s v="NL-1-dates-planned"/>
    <x v="39"/>
    <s v="NL-1"/>
    <x v="46"/>
    <s v="dates-planned"/>
    <x v="5"/>
    <x v="0"/>
    <x v="0"/>
    <x v="0"/>
    <n v="16"/>
    <n v="1.6299999999999999E-2"/>
    <x v="1"/>
    <x v="6"/>
    <n v="50"/>
    <x v="5"/>
    <n v="100"/>
    <n v="50"/>
    <s v="monthly"/>
    <n v="1"/>
    <n v="1"/>
    <n v="50"/>
    <x v="3"/>
    <m/>
    <m/>
    <m/>
    <m/>
    <n v="0"/>
  </r>
  <r>
    <s v="NL-1-title"/>
    <x v="39"/>
    <s v="NL-1"/>
    <x v="212"/>
    <s v="title"/>
    <x v="6"/>
    <x v="0"/>
    <x v="0"/>
    <x v="0"/>
    <n v="14"/>
    <n v="1.6299999999999999E-2"/>
    <x v="1"/>
    <x v="6"/>
    <n v="50"/>
    <x v="169"/>
    <n v="97.143334447000001"/>
    <n v="48.5716672235"/>
    <s v="monthly"/>
    <n v="1"/>
    <n v="1"/>
    <n v="48.5716672235"/>
    <x v="3"/>
    <m/>
    <m/>
    <m/>
    <m/>
    <n v="0"/>
  </r>
  <r>
    <s v="NL-1-unique-id"/>
    <x v="39"/>
    <s v="NL-1"/>
    <x v="46"/>
    <s v="unique-id"/>
    <x v="7"/>
    <x v="0"/>
    <x v="0"/>
    <x v="0"/>
    <n v="13"/>
    <n v="1.6299999999999999E-2"/>
    <x v="1"/>
    <x v="6"/>
    <n v="50"/>
    <x v="5"/>
    <n v="100"/>
    <n v="50"/>
    <s v="monthly"/>
    <n v="1"/>
    <n v="1"/>
    <n v="50"/>
    <x v="3"/>
    <m/>
    <m/>
    <m/>
    <m/>
    <n v="0"/>
  </r>
  <r>
    <s v="NL-1-aid-type"/>
    <x v="39"/>
    <s v="NL-1"/>
    <x v="47"/>
    <s v="aid-type"/>
    <x v="8"/>
    <x v="0"/>
    <x v="1"/>
    <x v="1"/>
    <n v="22"/>
    <n v="1.8599999999999998E-2"/>
    <x v="1"/>
    <x v="6"/>
    <n v="50"/>
    <x v="5"/>
    <n v="100"/>
    <n v="50"/>
    <s v="monthly"/>
    <n v="1"/>
    <n v="1"/>
    <n v="50"/>
    <x v="3"/>
    <m/>
    <m/>
    <m/>
    <m/>
    <n v="0"/>
  </r>
  <r>
    <s v="NL-1-collaboration-type"/>
    <x v="39"/>
    <s v="NL-1"/>
    <x v="47"/>
    <s v="collaboration-type"/>
    <x v="9"/>
    <x v="0"/>
    <x v="1"/>
    <x v="1"/>
    <n v="20"/>
    <n v="1.8599999999999998E-2"/>
    <x v="1"/>
    <x v="6"/>
    <n v="50"/>
    <x v="5"/>
    <n v="100"/>
    <n v="50"/>
    <s v="monthly"/>
    <n v="1"/>
    <n v="1"/>
    <n v="50"/>
    <x v="3"/>
    <m/>
    <m/>
    <m/>
    <m/>
    <n v="0"/>
  </r>
  <r>
    <s v="NL-1-finance-type"/>
    <x v="39"/>
    <s v="NL-1"/>
    <x v="47"/>
    <s v="finance-type"/>
    <x v="10"/>
    <x v="0"/>
    <x v="1"/>
    <x v="1"/>
    <n v="23"/>
    <n v="1.8599999999999998E-2"/>
    <x v="1"/>
    <x v="6"/>
    <n v="50"/>
    <x v="5"/>
    <n v="100"/>
    <n v="50"/>
    <s v="monthly"/>
    <n v="1"/>
    <n v="1"/>
    <n v="50"/>
    <x v="3"/>
    <m/>
    <m/>
    <m/>
    <m/>
    <n v="0"/>
  </r>
  <r>
    <s v="NL-1-flow-type"/>
    <x v="39"/>
    <s v="NL-1"/>
    <x v="47"/>
    <s v="flow-type"/>
    <x v="11"/>
    <x v="0"/>
    <x v="1"/>
    <x v="1"/>
    <n v="21"/>
    <n v="1.8599999999999998E-2"/>
    <x v="1"/>
    <x v="6"/>
    <n v="50"/>
    <x v="5"/>
    <n v="100"/>
    <n v="50"/>
    <s v="monthly"/>
    <n v="1"/>
    <n v="1"/>
    <n v="50"/>
    <x v="3"/>
    <m/>
    <m/>
    <m/>
    <m/>
    <n v="0"/>
  </r>
  <r>
    <s v="NL-1-sector"/>
    <x v="39"/>
    <s v="NL-1"/>
    <x v="213"/>
    <s v="sector"/>
    <x v="12"/>
    <x v="0"/>
    <x v="1"/>
    <x v="1"/>
    <n v="24"/>
    <n v="1.8599999999999998E-2"/>
    <x v="1"/>
    <x v="6"/>
    <n v="50"/>
    <x v="170"/>
    <n v="99.966588707"/>
    <n v="49.9832943535"/>
    <s v="monthly"/>
    <n v="1"/>
    <n v="1"/>
    <n v="49.9832943535"/>
    <x v="3"/>
    <m/>
    <m/>
    <m/>
    <m/>
    <n v="0"/>
  </r>
  <r>
    <s v="NL-1-location"/>
    <x v="39"/>
    <s v="NL-1"/>
    <x v="214"/>
    <s v="location"/>
    <x v="13"/>
    <x v="0"/>
    <x v="1"/>
    <x v="1"/>
    <n v="25"/>
    <n v="1.8599999999999998E-2"/>
    <x v="1"/>
    <x v="6"/>
    <n v="50"/>
    <x v="171"/>
    <n v="12.2338015406"/>
    <n v="6.11690077028"/>
    <s v="monthly"/>
    <n v="1"/>
    <n v="1"/>
    <n v="6.11690077028"/>
    <x v="3"/>
    <m/>
    <m/>
    <m/>
    <m/>
    <n v="0"/>
  </r>
  <r>
    <s v="NL-1-tied-aid-status"/>
    <x v="39"/>
    <s v="NL-1"/>
    <x v="215"/>
    <s v="tied-aid-status"/>
    <x v="14"/>
    <x v="0"/>
    <x v="1"/>
    <x v="1"/>
    <n v="26"/>
    <n v="1.8599999999999998E-2"/>
    <x v="1"/>
    <x v="6"/>
    <n v="50"/>
    <x v="172"/>
    <n v="98.412963581699998"/>
    <n v="49.206481790799998"/>
    <s v="monthly"/>
    <n v="1"/>
    <n v="1"/>
    <n v="49.206481790799998"/>
    <x v="3"/>
    <m/>
    <m/>
    <m/>
    <m/>
    <n v="0"/>
  </r>
  <r>
    <s v="NL-1-expenditure-actual"/>
    <x v="39"/>
    <s v="NL-1"/>
    <x v="216"/>
    <s v="expenditure-actual"/>
    <x v="15"/>
    <x v="0"/>
    <x v="2"/>
    <x v="2"/>
    <n v="35"/>
    <n v="3.2500000000000001E-2"/>
    <x v="1"/>
    <x v="6"/>
    <n v="50"/>
    <x v="173"/>
    <n v="97.7948546609"/>
    <n v="48.897427330399999"/>
    <s v="monthly"/>
    <n v="1"/>
    <n v="1"/>
    <n v="48.897427330399999"/>
    <x v="3"/>
    <m/>
    <m/>
    <m/>
    <m/>
    <n v="0"/>
  </r>
  <r>
    <s v="NL-1-cost-overall"/>
    <x v="39"/>
    <s v="NL-1"/>
    <x v="217"/>
    <s v="cost-overall"/>
    <x v="16"/>
    <x v="0"/>
    <x v="2"/>
    <x v="2"/>
    <n v="33"/>
    <n v="3.2500000000000001E-2"/>
    <x v="1"/>
    <x v="6"/>
    <n v="50"/>
    <x v="30"/>
    <n v="50"/>
    <n v="25"/>
    <s v="monthly"/>
    <n v="1"/>
    <n v="1"/>
    <n v="25"/>
    <x v="3"/>
    <m/>
    <m/>
    <m/>
    <m/>
    <n v="0"/>
  </r>
  <r>
    <s v="NL-1-expenditure-planned"/>
    <x v="39"/>
    <s v="NL-1"/>
    <x v="218"/>
    <s v="expenditure-planned"/>
    <x v="17"/>
    <x v="0"/>
    <x v="2"/>
    <x v="2"/>
    <n v="34"/>
    <n v="3.2500000000000001E-2"/>
    <x v="1"/>
    <x v="6"/>
    <n v="50"/>
    <x v="174"/>
    <n v="99.665887069799993"/>
    <n v="49.832943534899997"/>
    <s v="monthly"/>
    <n v="1"/>
    <n v="1"/>
    <n v="49.832943534899997"/>
    <x v="3"/>
    <m/>
    <m/>
    <m/>
    <m/>
    <n v="0"/>
  </r>
  <r>
    <s v="NL-1-audit"/>
    <x v="39"/>
    <s v="NL-1"/>
    <x v="0"/>
    <s v="audit"/>
    <x v="28"/>
    <x v="1"/>
    <x v="2"/>
    <x v="5"/>
    <n v="11"/>
    <n v="4.1700000000000001E-2"/>
    <x v="0"/>
    <x v="2"/>
    <n v="0"/>
    <x v="0"/>
    <n v="0"/>
    <n v="0"/>
    <s v="monthly"/>
    <n v="1"/>
    <n v="1"/>
    <n v="0"/>
    <x v="0"/>
    <n v="0"/>
    <m/>
    <s v="document"/>
    <n v="50"/>
    <n v="0"/>
  </r>
  <r>
    <s v="NL-1-strategy"/>
    <x v="39"/>
    <s v="NL-1"/>
    <x v="6"/>
    <s v="strategy"/>
    <x v="31"/>
    <x v="1"/>
    <x v="5"/>
    <x v="6"/>
    <n v="4"/>
    <n v="2.5000000000000001E-2"/>
    <x v="0"/>
    <x v="2"/>
    <n v="50"/>
    <x v="2"/>
    <n v="0"/>
    <n v="0"/>
    <s v="monthly"/>
    <n v="1"/>
    <n v="1"/>
    <n v="0"/>
    <x v="1"/>
    <n v="1"/>
    <m/>
    <s v="document"/>
    <n v="50"/>
    <n v="50"/>
  </r>
  <r>
    <s v="NL-1-annual-report"/>
    <x v="39"/>
    <s v="NL-1"/>
    <x v="6"/>
    <s v="annual-report"/>
    <x v="32"/>
    <x v="1"/>
    <x v="5"/>
    <x v="6"/>
    <n v="5"/>
    <n v="2.5000000000000001E-2"/>
    <x v="0"/>
    <x v="2"/>
    <n v="50"/>
    <x v="2"/>
    <n v="0"/>
    <n v="0"/>
    <s v="monthly"/>
    <n v="1"/>
    <n v="1"/>
    <n v="0"/>
    <x v="1"/>
    <n v="1"/>
    <m/>
    <s v="document"/>
    <n v="50"/>
    <n v="50"/>
  </r>
  <r>
    <s v="NL-1-contact-details"/>
    <x v="39"/>
    <s v="NL-1"/>
    <x v="1"/>
    <s v="contact-details"/>
    <x v="1"/>
    <x v="0"/>
    <x v="0"/>
    <x v="0"/>
    <n v="19"/>
    <n v="1.6299999999999999E-2"/>
    <x v="0"/>
    <x v="1"/>
    <n v="33.33"/>
    <x v="1"/>
    <n v="0"/>
    <n v="0"/>
    <s v="monthly"/>
    <n v="1"/>
    <n v="1"/>
    <n v="0"/>
    <x v="1"/>
    <n v="1"/>
    <m/>
    <s v="website"/>
    <n v="33.33"/>
    <n v="33.33"/>
  </r>
  <r>
    <s v="NL-1-procurement-policy"/>
    <x v="39"/>
    <s v="NL-1"/>
    <x v="6"/>
    <s v="procurement-policy"/>
    <x v="34"/>
    <x v="1"/>
    <x v="5"/>
    <x v="6"/>
    <n v="7"/>
    <n v="2.5000000000000001E-2"/>
    <x v="0"/>
    <x v="2"/>
    <n v="50"/>
    <x v="2"/>
    <n v="0"/>
    <n v="0"/>
    <s v="monthly"/>
    <n v="1"/>
    <n v="1"/>
    <n v="0"/>
    <x v="1"/>
    <n v="1"/>
    <m/>
    <s v="document"/>
    <n v="50"/>
    <n v="50"/>
  </r>
  <r>
    <s v="NL-1-country-strategy"/>
    <x v="39"/>
    <s v="NL-1"/>
    <x v="6"/>
    <s v="country-strategy"/>
    <x v="35"/>
    <x v="1"/>
    <x v="5"/>
    <x v="6"/>
    <n v="8"/>
    <n v="2.5000000000000001E-2"/>
    <x v="0"/>
    <x v="2"/>
    <n v="50"/>
    <x v="2"/>
    <n v="0"/>
    <n v="0"/>
    <s v="monthly"/>
    <n v="1"/>
    <n v="1"/>
    <n v="0"/>
    <x v="1"/>
    <n v="1"/>
    <m/>
    <s v="document"/>
    <n v="50"/>
    <n v="50"/>
  </r>
  <r>
    <s v="NL-1-allocation"/>
    <x v="39"/>
    <s v="NL-1"/>
    <x v="6"/>
    <s v="allocation"/>
    <x v="33"/>
    <x v="1"/>
    <x v="5"/>
    <x v="6"/>
    <n v="6"/>
    <n v="2.5000000000000001E-2"/>
    <x v="0"/>
    <x v="2"/>
    <n v="50"/>
    <x v="2"/>
    <n v="0"/>
    <n v="0"/>
    <s v="monthly"/>
    <n v="1"/>
    <n v="1"/>
    <n v="0"/>
    <x v="1"/>
    <n v="1"/>
    <m/>
    <s v="document"/>
    <n v="50"/>
    <n v="50"/>
  </r>
  <r>
    <s v="NL-1-budget-identifier"/>
    <x v="39"/>
    <s v="NL-1"/>
    <x v="0"/>
    <s v="budget-identifier"/>
    <x v="18"/>
    <x v="0"/>
    <x v="2"/>
    <x v="2"/>
    <n v="36"/>
    <n v="3.2500000000000001E-2"/>
    <x v="0"/>
    <x v="0"/>
    <n v="0"/>
    <x v="0"/>
    <n v="0"/>
    <n v="0"/>
    <s v="monthly"/>
    <n v="1"/>
    <n v="1"/>
    <n v="0"/>
    <x v="0"/>
    <n v="0"/>
    <m/>
    <m/>
    <n v="0"/>
    <n v="0"/>
  </r>
  <r>
    <s v="NL-1-conditions"/>
    <x v="39"/>
    <s v="NL-1"/>
    <x v="0"/>
    <s v="conditions"/>
    <x v="19"/>
    <x v="0"/>
    <x v="3"/>
    <x v="3"/>
    <n v="39"/>
    <n v="4.3299999999999998E-2"/>
    <x v="0"/>
    <x v="2"/>
    <n v="0"/>
    <x v="0"/>
    <n v="0"/>
    <n v="0"/>
    <s v="monthly"/>
    <n v="1"/>
    <n v="1"/>
    <n v="0"/>
    <x v="0"/>
    <n v="0"/>
    <m/>
    <s v="document"/>
    <n v="50"/>
    <n v="0"/>
  </r>
  <r>
    <s v="NL-1-impact-appraisals"/>
    <x v="39"/>
    <s v="NL-1"/>
    <x v="0"/>
    <s v="impact-appraisals"/>
    <x v="20"/>
    <x v="0"/>
    <x v="3"/>
    <x v="3"/>
    <n v="38"/>
    <n v="4.3299999999999998E-2"/>
    <x v="0"/>
    <x v="2"/>
    <n v="0"/>
    <x v="0"/>
    <n v="0"/>
    <n v="0"/>
    <s v="monthly"/>
    <n v="1"/>
    <n v="1"/>
    <n v="0"/>
    <x v="0"/>
    <n v="0"/>
    <m/>
    <s v="document"/>
    <n v="50"/>
    <n v="0"/>
  </r>
  <r>
    <s v="NL-1-results"/>
    <x v="39"/>
    <s v="NL-1"/>
    <x v="0"/>
    <s v="results"/>
    <x v="21"/>
    <x v="0"/>
    <x v="3"/>
    <x v="3"/>
    <n v="37"/>
    <n v="4.3299999999999998E-2"/>
    <x v="0"/>
    <x v="3"/>
    <n v="0"/>
    <x v="0"/>
    <n v="0"/>
    <n v="0"/>
    <s v="monthly"/>
    <n v="1"/>
    <n v="1"/>
    <n v="0"/>
    <x v="2"/>
    <n v="0"/>
    <m/>
    <s v="pdf"/>
    <n v="16.664999999999999"/>
    <n v="0"/>
  </r>
  <r>
    <s v="NL-1-budget"/>
    <x v="39"/>
    <s v="NL-1"/>
    <x v="0"/>
    <s v="budget"/>
    <x v="22"/>
    <x v="0"/>
    <x v="4"/>
    <x v="4"/>
    <n v="30"/>
    <n v="2.1700000000000001E-2"/>
    <x v="0"/>
    <x v="2"/>
    <n v="0"/>
    <x v="0"/>
    <n v="0"/>
    <n v="0"/>
    <s v="monthly"/>
    <n v="1"/>
    <n v="1"/>
    <n v="0"/>
    <x v="0"/>
    <n v="0"/>
    <m/>
    <s v="document"/>
    <n v="50"/>
    <n v="0"/>
  </r>
  <r>
    <s v="NL-1-contracts"/>
    <x v="39"/>
    <s v="NL-1"/>
    <x v="0"/>
    <s v="contracts"/>
    <x v="23"/>
    <x v="0"/>
    <x v="4"/>
    <x v="4"/>
    <n v="31"/>
    <n v="2.1700000000000001E-2"/>
    <x v="0"/>
    <x v="2"/>
    <n v="0"/>
    <x v="0"/>
    <n v="0"/>
    <n v="0"/>
    <s v="monthly"/>
    <n v="1"/>
    <n v="1"/>
    <n v="0"/>
    <x v="0"/>
    <n v="0"/>
    <m/>
    <s v="document"/>
    <n v="50"/>
    <n v="0"/>
  </r>
  <r>
    <s v="NL-1-evaluations"/>
    <x v="39"/>
    <s v="NL-1"/>
    <x v="3"/>
    <s v="evaluations"/>
    <x v="24"/>
    <x v="0"/>
    <x v="4"/>
    <x v="4"/>
    <n v="28"/>
    <n v="2.1700000000000001E-2"/>
    <x v="0"/>
    <x v="2"/>
    <n v="50"/>
    <x v="2"/>
    <n v="0"/>
    <n v="0"/>
    <s v="monthly"/>
    <n v="1"/>
    <n v="1"/>
    <n v="0"/>
    <x v="1"/>
    <n v="1"/>
    <m/>
    <s v="document"/>
    <n v="50"/>
    <n v="50"/>
  </r>
  <r>
    <s v="NL-1-mou"/>
    <x v="39"/>
    <s v="NL-1"/>
    <x v="0"/>
    <s v="mou"/>
    <x v="25"/>
    <x v="0"/>
    <x v="4"/>
    <x v="4"/>
    <n v="27"/>
    <n v="2.1700000000000001E-2"/>
    <x v="0"/>
    <x v="2"/>
    <n v="0"/>
    <x v="0"/>
    <n v="0"/>
    <n v="0"/>
    <s v="monthly"/>
    <n v="1"/>
    <n v="1"/>
    <n v="0"/>
    <x v="0"/>
    <n v="0"/>
    <m/>
    <s v="document"/>
    <n v="50"/>
    <n v="0"/>
  </r>
  <r>
    <s v="NL-1-objectives"/>
    <x v="39"/>
    <s v="NL-1"/>
    <x v="0"/>
    <s v="objectives"/>
    <x v="26"/>
    <x v="0"/>
    <x v="4"/>
    <x v="4"/>
    <n v="29"/>
    <n v="2.1700000000000001E-2"/>
    <x v="0"/>
    <x v="2"/>
    <n v="0"/>
    <x v="0"/>
    <n v="0"/>
    <n v="0"/>
    <s v="monthly"/>
    <n v="1"/>
    <n v="1"/>
    <n v="0"/>
    <x v="0"/>
    <n v="0"/>
    <m/>
    <s v="document"/>
    <n v="50"/>
    <n v="0"/>
  </r>
  <r>
    <s v="NL-1-tenders"/>
    <x v="39"/>
    <s v="NL-1"/>
    <x v="3"/>
    <s v="tenders"/>
    <x v="27"/>
    <x v="0"/>
    <x v="4"/>
    <x v="4"/>
    <n v="32"/>
    <n v="2.1700000000000001E-2"/>
    <x v="0"/>
    <x v="2"/>
    <n v="50"/>
    <x v="2"/>
    <n v="0"/>
    <n v="0"/>
    <s v="monthly"/>
    <n v="1"/>
    <n v="1"/>
    <n v="0"/>
    <x v="1"/>
    <n v="1"/>
    <m/>
    <s v="document"/>
    <n v="50"/>
    <n v="50"/>
  </r>
  <r>
    <s v="NL-1-foia"/>
    <x v="39"/>
    <s v="NL-1"/>
    <x v="15"/>
    <s v="foia"/>
    <x v="36"/>
    <x v="2"/>
    <x v="6"/>
    <x v="7"/>
    <n v="1"/>
    <n v="3.3300000000000003E-2"/>
    <x v="0"/>
    <x v="5"/>
    <n v="66.66"/>
    <x v="6"/>
    <n v="0"/>
    <n v="0"/>
    <s v="monthly"/>
    <n v="1"/>
    <n v="1"/>
    <n v="0"/>
    <x v="3"/>
    <n v="0"/>
    <n v="66.66"/>
    <m/>
    <n v="0"/>
    <n v="66.66"/>
  </r>
  <r>
    <s v="NL-1-accessibility"/>
    <x v="39"/>
    <s v="NL-1"/>
    <x v="15"/>
    <s v="accessibility"/>
    <x v="37"/>
    <x v="2"/>
    <x v="6"/>
    <x v="7"/>
    <n v="3"/>
    <n v="3.3300000000000003E-2"/>
    <x v="0"/>
    <x v="5"/>
    <n v="66.66"/>
    <x v="6"/>
    <n v="0"/>
    <n v="0"/>
    <s v="monthly"/>
    <n v="1"/>
    <n v="1"/>
    <n v="0"/>
    <x v="3"/>
    <n v="0"/>
    <n v="66.66"/>
    <m/>
    <n v="0"/>
    <n v="66.66"/>
  </r>
  <r>
    <s v="NL-1-implementation-schedules"/>
    <x v="39"/>
    <s v="NL-1"/>
    <x v="219"/>
    <s v="implementation-schedules"/>
    <x v="38"/>
    <x v="2"/>
    <x v="6"/>
    <x v="7"/>
    <n v="2"/>
    <n v="3.3300000000000003E-2"/>
    <x v="0"/>
    <x v="5"/>
    <n v="76"/>
    <x v="175"/>
    <n v="0"/>
    <n v="0"/>
    <s v="monthly"/>
    <n v="1"/>
    <n v="1"/>
    <n v="0"/>
    <x v="3"/>
    <n v="0"/>
    <n v="76"/>
    <m/>
    <n v="0"/>
    <n v="76"/>
  </r>
  <r>
    <s v="LU-1-dates-actual"/>
    <x v="40"/>
    <s v="LU-1"/>
    <x v="0"/>
    <s v="dates-actual"/>
    <x v="0"/>
    <x v="0"/>
    <x v="0"/>
    <x v="0"/>
    <n v="17"/>
    <n v="1.6299999999999999E-2"/>
    <x v="0"/>
    <x v="0"/>
    <n v="0"/>
    <x v="0"/>
    <n v="0"/>
    <n v="0"/>
    <m/>
    <n v="1"/>
    <n v="1"/>
    <n v="0"/>
    <x v="0"/>
    <n v="0"/>
    <m/>
    <m/>
    <n v="0"/>
    <n v="0"/>
  </r>
  <r>
    <s v="LU-1-contact-details"/>
    <x v="40"/>
    <s v="LU-1"/>
    <x v="1"/>
    <s v="contact-details"/>
    <x v="1"/>
    <x v="0"/>
    <x v="0"/>
    <x v="0"/>
    <n v="19"/>
    <n v="1.6299999999999999E-2"/>
    <x v="0"/>
    <x v="1"/>
    <n v="33.33"/>
    <x v="1"/>
    <n v="0"/>
    <n v="0"/>
    <m/>
    <n v="1"/>
    <n v="1"/>
    <n v="0"/>
    <x v="1"/>
    <n v="1"/>
    <m/>
    <s v="website"/>
    <n v="33.33"/>
    <n v="33.33"/>
  </r>
  <r>
    <s v="LU-1-current-status"/>
    <x v="40"/>
    <s v="LU-1"/>
    <x v="0"/>
    <s v="current-status"/>
    <x v="2"/>
    <x v="0"/>
    <x v="0"/>
    <x v="0"/>
    <n v="18"/>
    <n v="1.6299999999999999E-2"/>
    <x v="0"/>
    <x v="0"/>
    <n v="0"/>
    <x v="0"/>
    <n v="0"/>
    <n v="0"/>
    <m/>
    <n v="1"/>
    <n v="1"/>
    <n v="0"/>
    <x v="0"/>
    <n v="0"/>
    <m/>
    <m/>
    <n v="0"/>
    <n v="0"/>
  </r>
  <r>
    <s v="LU-1-description"/>
    <x v="40"/>
    <s v="LU-1"/>
    <x v="1"/>
    <s v="description"/>
    <x v="3"/>
    <x v="0"/>
    <x v="0"/>
    <x v="0"/>
    <n v="15"/>
    <n v="1.6299999999999999E-2"/>
    <x v="0"/>
    <x v="1"/>
    <n v="33.33"/>
    <x v="1"/>
    <n v="0"/>
    <n v="0"/>
    <m/>
    <n v="1"/>
    <n v="1"/>
    <n v="0"/>
    <x v="1"/>
    <n v="1"/>
    <m/>
    <s v="website"/>
    <n v="33.33"/>
    <n v="33.33"/>
  </r>
  <r>
    <s v="LU-1-implementer"/>
    <x v="40"/>
    <s v="LU-1"/>
    <x v="1"/>
    <s v="implementer"/>
    <x v="4"/>
    <x v="0"/>
    <x v="0"/>
    <x v="0"/>
    <n v="12"/>
    <n v="1.6299999999999999E-2"/>
    <x v="0"/>
    <x v="1"/>
    <n v="33.33"/>
    <x v="1"/>
    <n v="0"/>
    <n v="0"/>
    <m/>
    <n v="1"/>
    <n v="1"/>
    <n v="0"/>
    <x v="1"/>
    <n v="1"/>
    <m/>
    <s v="website"/>
    <n v="33.33"/>
    <n v="33.33"/>
  </r>
  <r>
    <s v="LU-1-dates-planned"/>
    <x v="40"/>
    <s v="LU-1"/>
    <x v="1"/>
    <s v="dates-planned"/>
    <x v="5"/>
    <x v="0"/>
    <x v="0"/>
    <x v="0"/>
    <n v="16"/>
    <n v="1.6299999999999999E-2"/>
    <x v="0"/>
    <x v="1"/>
    <n v="33.33"/>
    <x v="1"/>
    <n v="0"/>
    <n v="0"/>
    <m/>
    <n v="1"/>
    <n v="1"/>
    <n v="0"/>
    <x v="1"/>
    <n v="1"/>
    <m/>
    <s v="website"/>
    <n v="33.33"/>
    <n v="33.33"/>
  </r>
  <r>
    <s v="LU-1-title"/>
    <x v="40"/>
    <s v="LU-1"/>
    <x v="1"/>
    <s v="title"/>
    <x v="6"/>
    <x v="0"/>
    <x v="0"/>
    <x v="0"/>
    <n v="14"/>
    <n v="1.6299999999999999E-2"/>
    <x v="0"/>
    <x v="1"/>
    <n v="33.33"/>
    <x v="1"/>
    <n v="0"/>
    <n v="0"/>
    <m/>
    <n v="1"/>
    <n v="1"/>
    <n v="0"/>
    <x v="1"/>
    <n v="1"/>
    <m/>
    <s v="website"/>
    <n v="33.33"/>
    <n v="33.33"/>
  </r>
  <r>
    <s v="LU-1-unique-id"/>
    <x v="40"/>
    <s v="LU-1"/>
    <x v="1"/>
    <s v="unique-id"/>
    <x v="7"/>
    <x v="0"/>
    <x v="0"/>
    <x v="0"/>
    <n v="13"/>
    <n v="1.6299999999999999E-2"/>
    <x v="0"/>
    <x v="1"/>
    <n v="33.33"/>
    <x v="1"/>
    <n v="0"/>
    <n v="0"/>
    <m/>
    <n v="1"/>
    <n v="1"/>
    <n v="0"/>
    <x v="1"/>
    <n v="1"/>
    <m/>
    <s v="website"/>
    <n v="33.33"/>
    <n v="33.33"/>
  </r>
  <r>
    <s v="LU-1-aid-type"/>
    <x v="40"/>
    <s v="LU-1"/>
    <x v="0"/>
    <s v="aid-type"/>
    <x v="8"/>
    <x v="0"/>
    <x v="1"/>
    <x v="1"/>
    <n v="22"/>
    <n v="1.8599999999999998E-2"/>
    <x v="0"/>
    <x v="0"/>
    <n v="0"/>
    <x v="0"/>
    <n v="0"/>
    <n v="0"/>
    <m/>
    <n v="1"/>
    <n v="1"/>
    <n v="0"/>
    <x v="0"/>
    <n v="0"/>
    <m/>
    <m/>
    <n v="0"/>
    <n v="0"/>
  </r>
  <r>
    <s v="LU-1-collaboration-type"/>
    <x v="40"/>
    <s v="LU-1"/>
    <x v="8"/>
    <s v="collaboration-type"/>
    <x v="9"/>
    <x v="0"/>
    <x v="1"/>
    <x v="1"/>
    <n v="20"/>
    <n v="1.8599999999999998E-2"/>
    <x v="0"/>
    <x v="1"/>
    <n v="33.33"/>
    <x v="1"/>
    <n v="0"/>
    <n v="0"/>
    <m/>
    <n v="1"/>
    <n v="1"/>
    <n v="0"/>
    <x v="1"/>
    <n v="1"/>
    <m/>
    <s v="website"/>
    <n v="33.33"/>
    <n v="33.33"/>
  </r>
  <r>
    <s v="LU-1-finance-type"/>
    <x v="40"/>
    <s v="LU-1"/>
    <x v="0"/>
    <s v="finance-type"/>
    <x v="10"/>
    <x v="0"/>
    <x v="1"/>
    <x v="1"/>
    <n v="23"/>
    <n v="1.8599999999999998E-2"/>
    <x v="0"/>
    <x v="0"/>
    <n v="0"/>
    <x v="0"/>
    <n v="0"/>
    <n v="0"/>
    <m/>
    <n v="1"/>
    <n v="1"/>
    <n v="0"/>
    <x v="0"/>
    <n v="0"/>
    <m/>
    <m/>
    <n v="0"/>
    <n v="0"/>
  </r>
  <r>
    <s v="LU-1-flow-type"/>
    <x v="40"/>
    <s v="LU-1"/>
    <x v="0"/>
    <s v="flow-type"/>
    <x v="11"/>
    <x v="0"/>
    <x v="1"/>
    <x v="1"/>
    <n v="21"/>
    <n v="1.8599999999999998E-2"/>
    <x v="0"/>
    <x v="3"/>
    <n v="0"/>
    <x v="0"/>
    <n v="0"/>
    <n v="0"/>
    <m/>
    <n v="1"/>
    <n v="1"/>
    <n v="0"/>
    <x v="0"/>
    <n v="0"/>
    <m/>
    <s v="pdf"/>
    <n v="16.664999999999999"/>
    <n v="0"/>
  </r>
  <r>
    <s v="LU-1-sector"/>
    <x v="40"/>
    <s v="LU-1"/>
    <x v="8"/>
    <s v="sector"/>
    <x v="12"/>
    <x v="0"/>
    <x v="1"/>
    <x v="1"/>
    <n v="24"/>
    <n v="1.8599999999999998E-2"/>
    <x v="0"/>
    <x v="1"/>
    <n v="33.33"/>
    <x v="1"/>
    <n v="0"/>
    <n v="0"/>
    <m/>
    <n v="1"/>
    <n v="1"/>
    <n v="0"/>
    <x v="1"/>
    <n v="1"/>
    <m/>
    <s v="website"/>
    <n v="33.33"/>
    <n v="33.33"/>
  </r>
  <r>
    <s v="LU-1-location"/>
    <x v="40"/>
    <s v="LU-1"/>
    <x v="0"/>
    <s v="location"/>
    <x v="13"/>
    <x v="0"/>
    <x v="1"/>
    <x v="1"/>
    <n v="25"/>
    <n v="1.8599999999999998E-2"/>
    <x v="0"/>
    <x v="1"/>
    <n v="0"/>
    <x v="0"/>
    <n v="0"/>
    <n v="0"/>
    <m/>
    <n v="1"/>
    <n v="1"/>
    <n v="0"/>
    <x v="2"/>
    <n v="0"/>
    <m/>
    <s v="website"/>
    <n v="33.33"/>
    <n v="0"/>
  </r>
  <r>
    <s v="LU-1-tied-aid-status"/>
    <x v="40"/>
    <s v="LU-1"/>
    <x v="0"/>
    <s v="tied-aid-status"/>
    <x v="14"/>
    <x v="0"/>
    <x v="1"/>
    <x v="1"/>
    <n v="26"/>
    <n v="1.8599999999999998E-2"/>
    <x v="0"/>
    <x v="0"/>
    <n v="0"/>
    <x v="0"/>
    <n v="0"/>
    <n v="0"/>
    <m/>
    <n v="1"/>
    <n v="1"/>
    <n v="0"/>
    <x v="0"/>
    <n v="0"/>
    <m/>
    <m/>
    <n v="0"/>
    <n v="0"/>
  </r>
  <r>
    <s v="LU-1-expenditure-actual"/>
    <x v="40"/>
    <s v="LU-1"/>
    <x v="0"/>
    <s v="expenditure-actual"/>
    <x v="15"/>
    <x v="0"/>
    <x v="2"/>
    <x v="2"/>
    <n v="35"/>
    <n v="3.2500000000000001E-2"/>
    <x v="0"/>
    <x v="0"/>
    <n v="0"/>
    <x v="0"/>
    <n v="0"/>
    <n v="0"/>
    <m/>
    <n v="1"/>
    <n v="1"/>
    <n v="0"/>
    <x v="0"/>
    <n v="0"/>
    <m/>
    <m/>
    <n v="0"/>
    <n v="0"/>
  </r>
  <r>
    <s v="LU-1-cost-overall"/>
    <x v="40"/>
    <s v="LU-1"/>
    <x v="0"/>
    <s v="cost-overall"/>
    <x v="16"/>
    <x v="0"/>
    <x v="2"/>
    <x v="2"/>
    <n v="33"/>
    <n v="3.2500000000000001E-2"/>
    <x v="0"/>
    <x v="0"/>
    <n v="0"/>
    <x v="0"/>
    <n v="0"/>
    <n v="0"/>
    <m/>
    <n v="1"/>
    <n v="1"/>
    <n v="0"/>
    <x v="0"/>
    <n v="0"/>
    <m/>
    <m/>
    <n v="0"/>
    <n v="0"/>
  </r>
  <r>
    <s v="LU-1-expenditure-planned"/>
    <x v="40"/>
    <s v="LU-1"/>
    <x v="2"/>
    <s v="expenditure-planned"/>
    <x v="17"/>
    <x v="0"/>
    <x v="2"/>
    <x v="2"/>
    <n v="34"/>
    <n v="3.2500000000000001E-2"/>
    <x v="0"/>
    <x v="1"/>
    <n v="33.33"/>
    <x v="1"/>
    <n v="0"/>
    <n v="0"/>
    <m/>
    <n v="1"/>
    <n v="1"/>
    <n v="0"/>
    <x v="1"/>
    <n v="1"/>
    <m/>
    <s v="website"/>
    <n v="33.33"/>
    <n v="33.33"/>
  </r>
  <r>
    <s v="LU-1-budget-identifier"/>
    <x v="40"/>
    <s v="LU-1"/>
    <x v="0"/>
    <s v="budget-identifier"/>
    <x v="18"/>
    <x v="0"/>
    <x v="2"/>
    <x v="2"/>
    <n v="36"/>
    <n v="3.2500000000000001E-2"/>
    <x v="0"/>
    <x v="0"/>
    <n v="0"/>
    <x v="0"/>
    <n v="0"/>
    <n v="0"/>
    <m/>
    <n v="1"/>
    <n v="1"/>
    <n v="0"/>
    <x v="0"/>
    <n v="0"/>
    <m/>
    <m/>
    <n v="0"/>
    <n v="0"/>
  </r>
  <r>
    <s v="LU-1-conditions"/>
    <x v="40"/>
    <s v="LU-1"/>
    <x v="0"/>
    <s v="conditions"/>
    <x v="19"/>
    <x v="0"/>
    <x v="3"/>
    <x v="3"/>
    <n v="39"/>
    <n v="4.3299999999999998E-2"/>
    <x v="0"/>
    <x v="2"/>
    <n v="0"/>
    <x v="0"/>
    <n v="0"/>
    <n v="0"/>
    <m/>
    <n v="1"/>
    <n v="1"/>
    <n v="0"/>
    <x v="0"/>
    <n v="0"/>
    <m/>
    <s v="document"/>
    <n v="50"/>
    <n v="0"/>
  </r>
  <r>
    <s v="LU-1-impact-appraisals"/>
    <x v="40"/>
    <s v="LU-1"/>
    <x v="0"/>
    <s v="impact-appraisals"/>
    <x v="20"/>
    <x v="0"/>
    <x v="3"/>
    <x v="3"/>
    <n v="38"/>
    <n v="4.3299999999999998E-2"/>
    <x v="0"/>
    <x v="2"/>
    <n v="0"/>
    <x v="0"/>
    <n v="0"/>
    <n v="0"/>
    <m/>
    <n v="1"/>
    <n v="1"/>
    <n v="0"/>
    <x v="0"/>
    <n v="0"/>
    <m/>
    <s v="document"/>
    <n v="50"/>
    <n v="0"/>
  </r>
  <r>
    <s v="LU-1-results"/>
    <x v="40"/>
    <s v="LU-1"/>
    <x v="0"/>
    <s v="results"/>
    <x v="21"/>
    <x v="0"/>
    <x v="3"/>
    <x v="3"/>
    <n v="37"/>
    <n v="4.3299999999999998E-2"/>
    <x v="0"/>
    <x v="0"/>
    <n v="0"/>
    <x v="0"/>
    <n v="0"/>
    <n v="0"/>
    <m/>
    <n v="1"/>
    <n v="1"/>
    <n v="0"/>
    <x v="0"/>
    <n v="0"/>
    <m/>
    <m/>
    <n v="0"/>
    <n v="0"/>
  </r>
  <r>
    <s v="LU-1-budget"/>
    <x v="40"/>
    <s v="LU-1"/>
    <x v="0"/>
    <s v="budget"/>
    <x v="22"/>
    <x v="0"/>
    <x v="4"/>
    <x v="4"/>
    <n v="30"/>
    <n v="2.1700000000000001E-2"/>
    <x v="0"/>
    <x v="2"/>
    <n v="0"/>
    <x v="0"/>
    <n v="0"/>
    <n v="0"/>
    <m/>
    <n v="1"/>
    <n v="1"/>
    <n v="0"/>
    <x v="0"/>
    <n v="0"/>
    <m/>
    <s v="document"/>
    <n v="50"/>
    <n v="0"/>
  </r>
  <r>
    <s v="LU-1-contracts"/>
    <x v="40"/>
    <s v="LU-1"/>
    <x v="3"/>
    <s v="contracts"/>
    <x v="23"/>
    <x v="0"/>
    <x v="4"/>
    <x v="4"/>
    <n v="31"/>
    <n v="2.1700000000000001E-2"/>
    <x v="0"/>
    <x v="2"/>
    <n v="50"/>
    <x v="2"/>
    <n v="0"/>
    <n v="0"/>
    <m/>
    <n v="1"/>
    <n v="1"/>
    <n v="0"/>
    <x v="1"/>
    <n v="1"/>
    <m/>
    <s v="document"/>
    <n v="50"/>
    <n v="50"/>
  </r>
  <r>
    <s v="LU-1-evaluations"/>
    <x v="40"/>
    <s v="LU-1"/>
    <x v="3"/>
    <s v="evaluations"/>
    <x v="24"/>
    <x v="0"/>
    <x v="4"/>
    <x v="4"/>
    <n v="28"/>
    <n v="2.1700000000000001E-2"/>
    <x v="0"/>
    <x v="2"/>
    <n v="50"/>
    <x v="2"/>
    <n v="0"/>
    <n v="0"/>
    <m/>
    <n v="1"/>
    <n v="1"/>
    <n v="0"/>
    <x v="1"/>
    <n v="1"/>
    <m/>
    <s v="document"/>
    <n v="50"/>
    <n v="50"/>
  </r>
  <r>
    <s v="LU-1-mou"/>
    <x v="40"/>
    <s v="LU-1"/>
    <x v="0"/>
    <s v="mou"/>
    <x v="25"/>
    <x v="0"/>
    <x v="4"/>
    <x v="4"/>
    <n v="27"/>
    <n v="2.1700000000000001E-2"/>
    <x v="0"/>
    <x v="2"/>
    <n v="0"/>
    <x v="0"/>
    <n v="0"/>
    <n v="0"/>
    <m/>
    <n v="1"/>
    <n v="1"/>
    <n v="0"/>
    <x v="2"/>
    <n v="0"/>
    <m/>
    <s v="document"/>
    <n v="50"/>
    <n v="0"/>
  </r>
  <r>
    <s v="LU-1-objectives"/>
    <x v="40"/>
    <s v="LU-1"/>
    <x v="3"/>
    <s v="objectives"/>
    <x v="26"/>
    <x v="0"/>
    <x v="4"/>
    <x v="4"/>
    <n v="29"/>
    <n v="2.1700000000000001E-2"/>
    <x v="0"/>
    <x v="2"/>
    <n v="50"/>
    <x v="2"/>
    <n v="0"/>
    <n v="0"/>
    <m/>
    <n v="1"/>
    <n v="1"/>
    <n v="0"/>
    <x v="1"/>
    <n v="1"/>
    <m/>
    <s v="document"/>
    <n v="50"/>
    <n v="50"/>
  </r>
  <r>
    <s v="LU-1-tenders"/>
    <x v="40"/>
    <s v="LU-1"/>
    <x v="3"/>
    <s v="tenders"/>
    <x v="27"/>
    <x v="0"/>
    <x v="4"/>
    <x v="4"/>
    <n v="32"/>
    <n v="2.1700000000000001E-2"/>
    <x v="0"/>
    <x v="2"/>
    <n v="50"/>
    <x v="2"/>
    <n v="0"/>
    <n v="0"/>
    <m/>
    <n v="1"/>
    <n v="1"/>
    <n v="0"/>
    <x v="1"/>
    <n v="1"/>
    <m/>
    <s v="document"/>
    <n v="50"/>
    <n v="50"/>
  </r>
  <r>
    <s v="LU-1-audit"/>
    <x v="40"/>
    <s v="LU-1"/>
    <x v="4"/>
    <s v="audit"/>
    <x v="28"/>
    <x v="1"/>
    <x v="2"/>
    <x v="5"/>
    <n v="11"/>
    <n v="4.1700000000000001E-2"/>
    <x v="0"/>
    <x v="2"/>
    <n v="50"/>
    <x v="2"/>
    <n v="0"/>
    <n v="0"/>
    <m/>
    <n v="1"/>
    <n v="1"/>
    <n v="0"/>
    <x v="1"/>
    <n v="1"/>
    <m/>
    <s v="document"/>
    <n v="50"/>
    <n v="50"/>
  </r>
  <r>
    <s v="LU-1-total-budget"/>
    <x v="40"/>
    <s v="LU-1"/>
    <x v="0"/>
    <s v="total-budget"/>
    <x v="29"/>
    <x v="1"/>
    <x v="2"/>
    <x v="5"/>
    <n v="9"/>
    <n v="4.1700000000000001E-2"/>
    <x v="0"/>
    <x v="0"/>
    <n v="0"/>
    <x v="0"/>
    <n v="0"/>
    <n v="0"/>
    <m/>
    <n v="1"/>
    <n v="1"/>
    <n v="0"/>
    <x v="3"/>
    <n v="0"/>
    <n v="0"/>
    <m/>
    <n v="0"/>
    <n v="0"/>
  </r>
  <r>
    <s v="LU-1-disaggregated-budgets"/>
    <x v="40"/>
    <s v="LU-1"/>
    <x v="23"/>
    <s v="disaggregated-budgets"/>
    <x v="30"/>
    <x v="1"/>
    <x v="2"/>
    <x v="5"/>
    <n v="10"/>
    <n v="4.1700000000000001E-2"/>
    <x v="0"/>
    <x v="4"/>
    <n v="16.666666666699999"/>
    <x v="9"/>
    <n v="0"/>
    <n v="0"/>
    <m/>
    <n v="1"/>
    <n v="1"/>
    <n v="0"/>
    <x v="3"/>
    <n v="0"/>
    <n v="1"/>
    <s v="machine-readable"/>
    <n v="50"/>
    <n v="16.666666666699999"/>
  </r>
  <r>
    <s v="LU-1-strategy"/>
    <x v="40"/>
    <s v="LU-1"/>
    <x v="6"/>
    <s v="strategy"/>
    <x v="31"/>
    <x v="1"/>
    <x v="5"/>
    <x v="6"/>
    <n v="4"/>
    <n v="2.5000000000000001E-2"/>
    <x v="0"/>
    <x v="2"/>
    <n v="50"/>
    <x v="2"/>
    <n v="0"/>
    <n v="0"/>
    <m/>
    <n v="1"/>
    <n v="1"/>
    <n v="0"/>
    <x v="1"/>
    <n v="1"/>
    <m/>
    <s v="document"/>
    <n v="50"/>
    <n v="50"/>
  </r>
  <r>
    <s v="LU-1-annual-report"/>
    <x v="40"/>
    <s v="LU-1"/>
    <x v="6"/>
    <s v="annual-report"/>
    <x v="32"/>
    <x v="1"/>
    <x v="5"/>
    <x v="6"/>
    <n v="5"/>
    <n v="2.5000000000000001E-2"/>
    <x v="0"/>
    <x v="2"/>
    <n v="50"/>
    <x v="2"/>
    <n v="0"/>
    <n v="0"/>
    <m/>
    <n v="1"/>
    <n v="1"/>
    <n v="0"/>
    <x v="1"/>
    <n v="1"/>
    <m/>
    <s v="document"/>
    <n v="50"/>
    <n v="50"/>
  </r>
  <r>
    <s v="LU-1-allocation"/>
    <x v="40"/>
    <s v="LU-1"/>
    <x v="0"/>
    <s v="allocation"/>
    <x v="33"/>
    <x v="1"/>
    <x v="5"/>
    <x v="6"/>
    <n v="6"/>
    <n v="2.5000000000000001E-2"/>
    <x v="0"/>
    <x v="2"/>
    <n v="0"/>
    <x v="0"/>
    <n v="0"/>
    <n v="0"/>
    <m/>
    <n v="1"/>
    <n v="1"/>
    <n v="0"/>
    <x v="2"/>
    <n v="0"/>
    <m/>
    <s v="document"/>
    <n v="50"/>
    <n v="0"/>
  </r>
  <r>
    <s v="LU-1-procurement-policy"/>
    <x v="40"/>
    <s v="LU-1"/>
    <x v="6"/>
    <s v="procurement-policy"/>
    <x v="34"/>
    <x v="1"/>
    <x v="5"/>
    <x v="6"/>
    <n v="7"/>
    <n v="2.5000000000000001E-2"/>
    <x v="0"/>
    <x v="2"/>
    <n v="50"/>
    <x v="2"/>
    <n v="0"/>
    <n v="0"/>
    <m/>
    <n v="1"/>
    <n v="1"/>
    <n v="0"/>
    <x v="1"/>
    <n v="1"/>
    <m/>
    <s v="document"/>
    <n v="50"/>
    <n v="50"/>
  </r>
  <r>
    <s v="LU-1-country-strategy"/>
    <x v="40"/>
    <s v="LU-1"/>
    <x v="6"/>
    <s v="country-strategy"/>
    <x v="35"/>
    <x v="1"/>
    <x v="5"/>
    <x v="6"/>
    <n v="8"/>
    <n v="2.5000000000000001E-2"/>
    <x v="0"/>
    <x v="2"/>
    <n v="50"/>
    <x v="2"/>
    <n v="0"/>
    <n v="0"/>
    <m/>
    <n v="1"/>
    <n v="1"/>
    <n v="0"/>
    <x v="1"/>
    <n v="1"/>
    <m/>
    <s v="document"/>
    <n v="50"/>
    <n v="50"/>
  </r>
  <r>
    <s v="LU-1-foia"/>
    <x v="40"/>
    <s v="LU-1"/>
    <x v="0"/>
    <s v="foia"/>
    <x v="36"/>
    <x v="2"/>
    <x v="6"/>
    <x v="7"/>
    <n v="1"/>
    <n v="3.3300000000000003E-2"/>
    <x v="0"/>
    <x v="5"/>
    <n v="0"/>
    <x v="0"/>
    <n v="0"/>
    <n v="0"/>
    <m/>
    <n v="1"/>
    <n v="1"/>
    <n v="0"/>
    <x v="3"/>
    <n v="0"/>
    <n v="0"/>
    <m/>
    <n v="0"/>
    <n v="0"/>
  </r>
  <r>
    <s v="LU-1-accessibility"/>
    <x v="40"/>
    <s v="LU-1"/>
    <x v="7"/>
    <s v="accessibility"/>
    <x v="37"/>
    <x v="2"/>
    <x v="6"/>
    <x v="7"/>
    <n v="3"/>
    <n v="3.3300000000000003E-2"/>
    <x v="0"/>
    <x v="5"/>
    <n v="33.33"/>
    <x v="1"/>
    <n v="0"/>
    <n v="0"/>
    <m/>
    <n v="1"/>
    <n v="1"/>
    <n v="0"/>
    <x v="3"/>
    <n v="0"/>
    <n v="33.33"/>
    <m/>
    <n v="0"/>
    <n v="33.33"/>
  </r>
  <r>
    <s v="LU-1-implementation-schedules"/>
    <x v="40"/>
    <s v="LU-1"/>
    <x v="0"/>
    <s v="implementation-schedules"/>
    <x v="38"/>
    <x v="2"/>
    <x v="6"/>
    <x v="7"/>
    <n v="2"/>
    <n v="3.3300000000000003E-2"/>
    <x v="0"/>
    <x v="5"/>
    <n v="0"/>
    <x v="0"/>
    <n v="0"/>
    <n v="0"/>
    <m/>
    <n v="1"/>
    <n v="1"/>
    <n v="0"/>
    <x v="3"/>
    <n v="0"/>
    <n v="0"/>
    <m/>
    <n v="0"/>
    <n v="0"/>
  </r>
  <r>
    <s v="BG-1-dates-actual"/>
    <x v="41"/>
    <s v="BG-1"/>
    <x v="0"/>
    <s v="dates-actual"/>
    <x v="0"/>
    <x v="0"/>
    <x v="0"/>
    <x v="0"/>
    <n v="17"/>
    <n v="1.6299999999999999E-2"/>
    <x v="0"/>
    <x v="0"/>
    <n v="0"/>
    <x v="0"/>
    <n v="0"/>
    <n v="0"/>
    <m/>
    <n v="1"/>
    <n v="1"/>
    <n v="0"/>
    <x v="0"/>
    <n v="0"/>
    <m/>
    <m/>
    <n v="0"/>
    <n v="0"/>
  </r>
  <r>
    <s v="BG-1-contact-details"/>
    <x v="41"/>
    <s v="BG-1"/>
    <x v="0"/>
    <s v="contact-details"/>
    <x v="1"/>
    <x v="0"/>
    <x v="0"/>
    <x v="0"/>
    <n v="19"/>
    <n v="1.6299999999999999E-2"/>
    <x v="0"/>
    <x v="0"/>
    <n v="0"/>
    <x v="0"/>
    <n v="0"/>
    <n v="0"/>
    <m/>
    <n v="1"/>
    <n v="1"/>
    <n v="0"/>
    <x v="0"/>
    <n v="0"/>
    <m/>
    <m/>
    <n v="0"/>
    <n v="0"/>
  </r>
  <r>
    <s v="BG-1-current-status"/>
    <x v="41"/>
    <s v="BG-1"/>
    <x v="0"/>
    <s v="current-status"/>
    <x v="2"/>
    <x v="0"/>
    <x v="0"/>
    <x v="0"/>
    <n v="18"/>
    <n v="1.6299999999999999E-2"/>
    <x v="0"/>
    <x v="0"/>
    <n v="0"/>
    <x v="0"/>
    <n v="0"/>
    <n v="0"/>
    <m/>
    <n v="1"/>
    <n v="1"/>
    <n v="0"/>
    <x v="0"/>
    <n v="0"/>
    <m/>
    <m/>
    <n v="0"/>
    <n v="0"/>
  </r>
  <r>
    <s v="BG-1-description"/>
    <x v="41"/>
    <s v="BG-1"/>
    <x v="0"/>
    <s v="description"/>
    <x v="3"/>
    <x v="0"/>
    <x v="0"/>
    <x v="0"/>
    <n v="15"/>
    <n v="1.6299999999999999E-2"/>
    <x v="0"/>
    <x v="0"/>
    <n v="0"/>
    <x v="0"/>
    <n v="0"/>
    <n v="0"/>
    <m/>
    <n v="1"/>
    <n v="1"/>
    <n v="0"/>
    <x v="0"/>
    <n v="0"/>
    <m/>
    <m/>
    <n v="0"/>
    <n v="0"/>
  </r>
  <r>
    <s v="BG-1-implementer"/>
    <x v="41"/>
    <s v="BG-1"/>
    <x v="0"/>
    <s v="implementer"/>
    <x v="4"/>
    <x v="0"/>
    <x v="0"/>
    <x v="0"/>
    <n v="12"/>
    <n v="1.6299999999999999E-2"/>
    <x v="0"/>
    <x v="0"/>
    <n v="0"/>
    <x v="0"/>
    <n v="0"/>
    <n v="0"/>
    <m/>
    <n v="1"/>
    <n v="1"/>
    <n v="0"/>
    <x v="0"/>
    <n v="0"/>
    <m/>
    <m/>
    <n v="0"/>
    <n v="0"/>
  </r>
  <r>
    <s v="BG-1-dates-planned"/>
    <x v="41"/>
    <s v="BG-1"/>
    <x v="0"/>
    <s v="dates-planned"/>
    <x v="5"/>
    <x v="0"/>
    <x v="0"/>
    <x v="0"/>
    <n v="16"/>
    <n v="1.6299999999999999E-2"/>
    <x v="0"/>
    <x v="0"/>
    <n v="0"/>
    <x v="0"/>
    <n v="0"/>
    <n v="0"/>
    <m/>
    <n v="1"/>
    <n v="1"/>
    <n v="0"/>
    <x v="0"/>
    <n v="0"/>
    <m/>
    <m/>
    <n v="0"/>
    <n v="0"/>
  </r>
  <r>
    <s v="BG-1-title"/>
    <x v="41"/>
    <s v="BG-1"/>
    <x v="0"/>
    <s v="title"/>
    <x v="6"/>
    <x v="0"/>
    <x v="0"/>
    <x v="0"/>
    <n v="14"/>
    <n v="1.6299999999999999E-2"/>
    <x v="0"/>
    <x v="0"/>
    <n v="0"/>
    <x v="0"/>
    <n v="0"/>
    <n v="0"/>
    <m/>
    <n v="1"/>
    <n v="1"/>
    <n v="0"/>
    <x v="0"/>
    <n v="0"/>
    <m/>
    <m/>
    <n v="0"/>
    <n v="0"/>
  </r>
  <r>
    <s v="BG-1-unique-id"/>
    <x v="41"/>
    <s v="BG-1"/>
    <x v="0"/>
    <s v="unique-id"/>
    <x v="7"/>
    <x v="0"/>
    <x v="0"/>
    <x v="0"/>
    <n v="13"/>
    <n v="1.6299999999999999E-2"/>
    <x v="0"/>
    <x v="0"/>
    <n v="0"/>
    <x v="0"/>
    <n v="0"/>
    <n v="0"/>
    <m/>
    <n v="1"/>
    <n v="1"/>
    <n v="0"/>
    <x v="0"/>
    <n v="0"/>
    <m/>
    <m/>
    <n v="0"/>
    <n v="0"/>
  </r>
  <r>
    <s v="BG-1-aid-type"/>
    <x v="41"/>
    <s v="BG-1"/>
    <x v="0"/>
    <s v="aid-type"/>
    <x v="8"/>
    <x v="0"/>
    <x v="1"/>
    <x v="1"/>
    <n v="22"/>
    <n v="1.8599999999999998E-2"/>
    <x v="0"/>
    <x v="0"/>
    <n v="0"/>
    <x v="0"/>
    <n v="0"/>
    <n v="0"/>
    <m/>
    <n v="1"/>
    <n v="1"/>
    <n v="0"/>
    <x v="0"/>
    <n v="0"/>
    <m/>
    <m/>
    <n v="0"/>
    <n v="0"/>
  </r>
  <r>
    <s v="BG-1-collaboration-type"/>
    <x v="41"/>
    <s v="BG-1"/>
    <x v="0"/>
    <s v="collaboration-type"/>
    <x v="9"/>
    <x v="0"/>
    <x v="1"/>
    <x v="1"/>
    <n v="20"/>
    <n v="1.8599999999999998E-2"/>
    <x v="0"/>
    <x v="0"/>
    <n v="0"/>
    <x v="0"/>
    <n v="0"/>
    <n v="0"/>
    <m/>
    <n v="1"/>
    <n v="1"/>
    <n v="0"/>
    <x v="0"/>
    <n v="0"/>
    <m/>
    <m/>
    <n v="0"/>
    <n v="0"/>
  </r>
  <r>
    <s v="BG-1-finance-type"/>
    <x v="41"/>
    <s v="BG-1"/>
    <x v="0"/>
    <s v="finance-type"/>
    <x v="10"/>
    <x v="0"/>
    <x v="1"/>
    <x v="1"/>
    <n v="23"/>
    <n v="1.8599999999999998E-2"/>
    <x v="0"/>
    <x v="0"/>
    <n v="0"/>
    <x v="0"/>
    <n v="0"/>
    <n v="0"/>
    <m/>
    <n v="1"/>
    <n v="1"/>
    <n v="0"/>
    <x v="0"/>
    <n v="0"/>
    <m/>
    <m/>
    <n v="0"/>
    <n v="0"/>
  </r>
  <r>
    <s v="BG-1-flow-type"/>
    <x v="41"/>
    <s v="BG-1"/>
    <x v="0"/>
    <s v="flow-type"/>
    <x v="11"/>
    <x v="0"/>
    <x v="1"/>
    <x v="1"/>
    <n v="21"/>
    <n v="1.8599999999999998E-2"/>
    <x v="0"/>
    <x v="0"/>
    <n v="0"/>
    <x v="0"/>
    <n v="0"/>
    <n v="0"/>
    <m/>
    <n v="1"/>
    <n v="1"/>
    <n v="0"/>
    <x v="0"/>
    <n v="0"/>
    <m/>
    <m/>
    <n v="0"/>
    <n v="0"/>
  </r>
  <r>
    <s v="BG-1-sector"/>
    <x v="41"/>
    <s v="BG-1"/>
    <x v="0"/>
    <s v="sector"/>
    <x v="12"/>
    <x v="0"/>
    <x v="1"/>
    <x v="1"/>
    <n v="24"/>
    <n v="1.8599999999999998E-2"/>
    <x v="0"/>
    <x v="0"/>
    <n v="0"/>
    <x v="0"/>
    <n v="0"/>
    <n v="0"/>
    <m/>
    <n v="1"/>
    <n v="1"/>
    <n v="0"/>
    <x v="0"/>
    <n v="0"/>
    <m/>
    <m/>
    <n v="0"/>
    <n v="0"/>
  </r>
  <r>
    <s v="BG-1-location"/>
    <x v="41"/>
    <s v="BG-1"/>
    <x v="0"/>
    <s v="location"/>
    <x v="13"/>
    <x v="0"/>
    <x v="1"/>
    <x v="1"/>
    <n v="25"/>
    <n v="1.8599999999999998E-2"/>
    <x v="0"/>
    <x v="0"/>
    <n v="0"/>
    <x v="0"/>
    <n v="0"/>
    <n v="0"/>
    <m/>
    <n v="1"/>
    <n v="1"/>
    <n v="0"/>
    <x v="0"/>
    <n v="0"/>
    <m/>
    <m/>
    <n v="0"/>
    <n v="0"/>
  </r>
  <r>
    <s v="BG-1-tied-aid-status"/>
    <x v="41"/>
    <s v="BG-1"/>
    <x v="0"/>
    <s v="tied-aid-status"/>
    <x v="14"/>
    <x v="0"/>
    <x v="1"/>
    <x v="1"/>
    <n v="26"/>
    <n v="1.8599999999999998E-2"/>
    <x v="0"/>
    <x v="0"/>
    <n v="0"/>
    <x v="0"/>
    <n v="0"/>
    <n v="0"/>
    <m/>
    <n v="1"/>
    <n v="1"/>
    <n v="0"/>
    <x v="0"/>
    <n v="0"/>
    <m/>
    <m/>
    <n v="0"/>
    <n v="0"/>
  </r>
  <r>
    <s v="BG-1-expenditure-actual"/>
    <x v="41"/>
    <s v="BG-1"/>
    <x v="0"/>
    <s v="expenditure-actual"/>
    <x v="15"/>
    <x v="0"/>
    <x v="2"/>
    <x v="2"/>
    <n v="35"/>
    <n v="3.2500000000000001E-2"/>
    <x v="0"/>
    <x v="0"/>
    <n v="0"/>
    <x v="0"/>
    <n v="0"/>
    <n v="0"/>
    <m/>
    <n v="1"/>
    <n v="1"/>
    <n v="0"/>
    <x v="0"/>
    <n v="0"/>
    <m/>
    <m/>
    <n v="0"/>
    <n v="0"/>
  </r>
  <r>
    <s v="BG-1-cost-overall"/>
    <x v="41"/>
    <s v="BG-1"/>
    <x v="0"/>
    <s v="cost-overall"/>
    <x v="16"/>
    <x v="0"/>
    <x v="2"/>
    <x v="2"/>
    <n v="33"/>
    <n v="3.2500000000000001E-2"/>
    <x v="0"/>
    <x v="0"/>
    <n v="0"/>
    <x v="0"/>
    <n v="0"/>
    <n v="0"/>
    <m/>
    <n v="1"/>
    <n v="1"/>
    <n v="0"/>
    <x v="0"/>
    <n v="0"/>
    <m/>
    <m/>
    <n v="0"/>
    <n v="0"/>
  </r>
  <r>
    <s v="BG-1-expenditure-planned"/>
    <x v="41"/>
    <s v="BG-1"/>
    <x v="0"/>
    <s v="expenditure-planned"/>
    <x v="17"/>
    <x v="0"/>
    <x v="2"/>
    <x v="2"/>
    <n v="34"/>
    <n v="3.2500000000000001E-2"/>
    <x v="0"/>
    <x v="0"/>
    <n v="0"/>
    <x v="0"/>
    <n v="0"/>
    <n v="0"/>
    <m/>
    <n v="1"/>
    <n v="1"/>
    <n v="0"/>
    <x v="0"/>
    <n v="0"/>
    <m/>
    <m/>
    <n v="0"/>
    <n v="0"/>
  </r>
  <r>
    <s v="BG-1-budget-identifier"/>
    <x v="41"/>
    <s v="BG-1"/>
    <x v="0"/>
    <s v="budget-identifier"/>
    <x v="18"/>
    <x v="0"/>
    <x v="2"/>
    <x v="2"/>
    <n v="36"/>
    <n v="3.2500000000000001E-2"/>
    <x v="0"/>
    <x v="0"/>
    <n v="0"/>
    <x v="0"/>
    <n v="0"/>
    <n v="0"/>
    <m/>
    <n v="1"/>
    <n v="1"/>
    <n v="0"/>
    <x v="0"/>
    <n v="0"/>
    <m/>
    <m/>
    <n v="0"/>
    <n v="0"/>
  </r>
  <r>
    <s v="BG-1-conditions"/>
    <x v="41"/>
    <s v="BG-1"/>
    <x v="0"/>
    <s v="conditions"/>
    <x v="19"/>
    <x v="0"/>
    <x v="3"/>
    <x v="3"/>
    <n v="39"/>
    <n v="4.3299999999999998E-2"/>
    <x v="0"/>
    <x v="2"/>
    <n v="0"/>
    <x v="0"/>
    <n v="0"/>
    <n v="0"/>
    <m/>
    <n v="1"/>
    <n v="1"/>
    <n v="0"/>
    <x v="0"/>
    <n v="0"/>
    <m/>
    <s v="document"/>
    <n v="50"/>
    <n v="0"/>
  </r>
  <r>
    <s v="BG-1-impact-appraisals"/>
    <x v="41"/>
    <s v="BG-1"/>
    <x v="0"/>
    <s v="impact-appraisals"/>
    <x v="20"/>
    <x v="0"/>
    <x v="3"/>
    <x v="3"/>
    <n v="38"/>
    <n v="4.3299999999999998E-2"/>
    <x v="0"/>
    <x v="2"/>
    <n v="0"/>
    <x v="0"/>
    <n v="0"/>
    <n v="0"/>
    <m/>
    <n v="1"/>
    <n v="1"/>
    <n v="0"/>
    <x v="0"/>
    <n v="0"/>
    <m/>
    <s v="document"/>
    <n v="50"/>
    <n v="0"/>
  </r>
  <r>
    <s v="BG-1-results"/>
    <x v="41"/>
    <s v="BG-1"/>
    <x v="0"/>
    <s v="results"/>
    <x v="21"/>
    <x v="0"/>
    <x v="3"/>
    <x v="3"/>
    <n v="37"/>
    <n v="4.3299999999999998E-2"/>
    <x v="0"/>
    <x v="0"/>
    <n v="0"/>
    <x v="0"/>
    <n v="0"/>
    <n v="0"/>
    <m/>
    <n v="1"/>
    <n v="1"/>
    <n v="0"/>
    <x v="0"/>
    <n v="0"/>
    <m/>
    <m/>
    <n v="0"/>
    <n v="0"/>
  </r>
  <r>
    <s v="BG-1-budget"/>
    <x v="41"/>
    <s v="BG-1"/>
    <x v="0"/>
    <s v="budget"/>
    <x v="22"/>
    <x v="0"/>
    <x v="4"/>
    <x v="4"/>
    <n v="30"/>
    <n v="2.1700000000000001E-2"/>
    <x v="0"/>
    <x v="2"/>
    <n v="0"/>
    <x v="0"/>
    <n v="0"/>
    <n v="0"/>
    <m/>
    <n v="1"/>
    <n v="1"/>
    <n v="0"/>
    <x v="0"/>
    <n v="0"/>
    <m/>
    <s v="document"/>
    <n v="50"/>
    <n v="0"/>
  </r>
  <r>
    <s v="BG-1-contracts"/>
    <x v="41"/>
    <s v="BG-1"/>
    <x v="0"/>
    <s v="contracts"/>
    <x v="23"/>
    <x v="0"/>
    <x v="4"/>
    <x v="4"/>
    <n v="31"/>
    <n v="2.1700000000000001E-2"/>
    <x v="0"/>
    <x v="2"/>
    <n v="0"/>
    <x v="0"/>
    <n v="0"/>
    <n v="0"/>
    <m/>
    <n v="1"/>
    <n v="1"/>
    <n v="0"/>
    <x v="0"/>
    <n v="0"/>
    <m/>
    <s v="document"/>
    <n v="50"/>
    <n v="0"/>
  </r>
  <r>
    <s v="BG-1-evaluations"/>
    <x v="41"/>
    <s v="BG-1"/>
    <x v="0"/>
    <s v="evaluations"/>
    <x v="24"/>
    <x v="0"/>
    <x v="4"/>
    <x v="4"/>
    <n v="28"/>
    <n v="2.1700000000000001E-2"/>
    <x v="0"/>
    <x v="2"/>
    <n v="0"/>
    <x v="0"/>
    <n v="0"/>
    <n v="0"/>
    <m/>
    <n v="1"/>
    <n v="1"/>
    <n v="0"/>
    <x v="0"/>
    <n v="0"/>
    <m/>
    <s v="document"/>
    <n v="50"/>
    <n v="0"/>
  </r>
  <r>
    <s v="BG-1-mou"/>
    <x v="41"/>
    <s v="BG-1"/>
    <x v="0"/>
    <s v="mou"/>
    <x v="25"/>
    <x v="0"/>
    <x v="4"/>
    <x v="4"/>
    <n v="27"/>
    <n v="2.1700000000000001E-2"/>
    <x v="0"/>
    <x v="2"/>
    <n v="0"/>
    <x v="0"/>
    <n v="0"/>
    <n v="0"/>
    <m/>
    <n v="1"/>
    <n v="1"/>
    <n v="0"/>
    <x v="0"/>
    <n v="0"/>
    <m/>
    <s v="document"/>
    <n v="50"/>
    <n v="0"/>
  </r>
  <r>
    <s v="BG-1-objectives"/>
    <x v="41"/>
    <s v="BG-1"/>
    <x v="0"/>
    <s v="objectives"/>
    <x v="26"/>
    <x v="0"/>
    <x v="4"/>
    <x v="4"/>
    <n v="29"/>
    <n v="2.1700000000000001E-2"/>
    <x v="0"/>
    <x v="2"/>
    <n v="0"/>
    <x v="0"/>
    <n v="0"/>
    <n v="0"/>
    <m/>
    <n v="1"/>
    <n v="1"/>
    <n v="0"/>
    <x v="0"/>
    <n v="0"/>
    <m/>
    <s v="document"/>
    <n v="50"/>
    <n v="0"/>
  </r>
  <r>
    <s v="BG-1-tenders"/>
    <x v="41"/>
    <s v="BG-1"/>
    <x v="3"/>
    <s v="tenders"/>
    <x v="27"/>
    <x v="0"/>
    <x v="4"/>
    <x v="4"/>
    <n v="32"/>
    <n v="2.1700000000000001E-2"/>
    <x v="0"/>
    <x v="2"/>
    <n v="50"/>
    <x v="2"/>
    <n v="0"/>
    <n v="0"/>
    <m/>
    <n v="1"/>
    <n v="1"/>
    <n v="0"/>
    <x v="1"/>
    <n v="1"/>
    <m/>
    <s v="document"/>
    <n v="50"/>
    <n v="50"/>
  </r>
  <r>
    <s v="BG-1-audit"/>
    <x v="41"/>
    <s v="BG-1"/>
    <x v="0"/>
    <s v="audit"/>
    <x v="28"/>
    <x v="1"/>
    <x v="2"/>
    <x v="5"/>
    <n v="11"/>
    <n v="4.1700000000000001E-2"/>
    <x v="0"/>
    <x v="2"/>
    <n v="0"/>
    <x v="0"/>
    <n v="0"/>
    <n v="0"/>
    <m/>
    <n v="1"/>
    <n v="1"/>
    <n v="0"/>
    <x v="0"/>
    <n v="0"/>
    <m/>
    <s v="document"/>
    <n v="50"/>
    <n v="0"/>
  </r>
  <r>
    <s v="BG-1-total-budget"/>
    <x v="41"/>
    <s v="BG-1"/>
    <x v="0"/>
    <s v="total-budget"/>
    <x v="29"/>
    <x v="1"/>
    <x v="2"/>
    <x v="5"/>
    <n v="9"/>
    <n v="4.1700000000000001E-2"/>
    <x v="0"/>
    <x v="0"/>
    <n v="0"/>
    <x v="0"/>
    <n v="0"/>
    <n v="0"/>
    <m/>
    <n v="1"/>
    <n v="1"/>
    <n v="0"/>
    <x v="3"/>
    <n v="0"/>
    <n v="0"/>
    <m/>
    <n v="0"/>
    <n v="0"/>
  </r>
  <r>
    <s v="BG-1-disaggregated-budgets"/>
    <x v="41"/>
    <s v="BG-1"/>
    <x v="0"/>
    <s v="disaggregated-budgets"/>
    <x v="30"/>
    <x v="1"/>
    <x v="2"/>
    <x v="5"/>
    <n v="10"/>
    <n v="4.1700000000000001E-2"/>
    <x v="0"/>
    <x v="0"/>
    <n v="0"/>
    <x v="0"/>
    <n v="0"/>
    <n v="0"/>
    <m/>
    <n v="1"/>
    <n v="1"/>
    <n v="0"/>
    <x v="3"/>
    <n v="0"/>
    <n v="0"/>
    <m/>
    <n v="0"/>
    <n v="0"/>
  </r>
  <r>
    <s v="BG-1-strategy"/>
    <x v="41"/>
    <s v="BG-1"/>
    <x v="6"/>
    <s v="strategy"/>
    <x v="31"/>
    <x v="1"/>
    <x v="5"/>
    <x v="6"/>
    <n v="4"/>
    <n v="2.5000000000000001E-2"/>
    <x v="0"/>
    <x v="2"/>
    <n v="50"/>
    <x v="2"/>
    <n v="0"/>
    <n v="0"/>
    <m/>
    <n v="1"/>
    <n v="1"/>
    <n v="0"/>
    <x v="1"/>
    <n v="1"/>
    <m/>
    <s v="document"/>
    <n v="50"/>
    <n v="50"/>
  </r>
  <r>
    <s v="BG-1-annual-report"/>
    <x v="41"/>
    <s v="BG-1"/>
    <x v="0"/>
    <s v="annual-report"/>
    <x v="32"/>
    <x v="1"/>
    <x v="5"/>
    <x v="6"/>
    <n v="5"/>
    <n v="2.5000000000000001E-2"/>
    <x v="0"/>
    <x v="2"/>
    <n v="0"/>
    <x v="0"/>
    <n v="0"/>
    <n v="0"/>
    <m/>
    <n v="1"/>
    <n v="1"/>
    <n v="0"/>
    <x v="0"/>
    <n v="0"/>
    <m/>
    <s v="document"/>
    <n v="50"/>
    <n v="0"/>
  </r>
  <r>
    <s v="BG-1-allocation"/>
    <x v="41"/>
    <s v="BG-1"/>
    <x v="6"/>
    <s v="allocation"/>
    <x v="33"/>
    <x v="1"/>
    <x v="5"/>
    <x v="6"/>
    <n v="6"/>
    <n v="2.5000000000000001E-2"/>
    <x v="0"/>
    <x v="2"/>
    <n v="50"/>
    <x v="2"/>
    <n v="0"/>
    <n v="0"/>
    <m/>
    <n v="1"/>
    <n v="1"/>
    <n v="0"/>
    <x v="1"/>
    <n v="1"/>
    <m/>
    <s v="document"/>
    <n v="50"/>
    <n v="50"/>
  </r>
  <r>
    <s v="BG-1-procurement-policy"/>
    <x v="41"/>
    <s v="BG-1"/>
    <x v="6"/>
    <s v="procurement-policy"/>
    <x v="34"/>
    <x v="1"/>
    <x v="5"/>
    <x v="6"/>
    <n v="7"/>
    <n v="2.5000000000000001E-2"/>
    <x v="0"/>
    <x v="2"/>
    <n v="50"/>
    <x v="2"/>
    <n v="0"/>
    <n v="0"/>
    <m/>
    <n v="1"/>
    <n v="1"/>
    <n v="0"/>
    <x v="1"/>
    <n v="1"/>
    <m/>
    <s v="document"/>
    <n v="50"/>
    <n v="50"/>
  </r>
  <r>
    <s v="BG-1-country-strategy"/>
    <x v="41"/>
    <s v="BG-1"/>
    <x v="0"/>
    <s v="country-strategy"/>
    <x v="35"/>
    <x v="1"/>
    <x v="5"/>
    <x v="6"/>
    <n v="8"/>
    <n v="2.5000000000000001E-2"/>
    <x v="0"/>
    <x v="2"/>
    <n v="0"/>
    <x v="0"/>
    <n v="0"/>
    <n v="0"/>
    <m/>
    <n v="1"/>
    <n v="1"/>
    <n v="0"/>
    <x v="0"/>
    <n v="0"/>
    <m/>
    <s v="document"/>
    <n v="50"/>
    <n v="0"/>
  </r>
  <r>
    <s v="BG-1-foia"/>
    <x v="41"/>
    <s v="BG-1"/>
    <x v="10"/>
    <s v="foia"/>
    <x v="36"/>
    <x v="2"/>
    <x v="6"/>
    <x v="7"/>
    <n v="1"/>
    <n v="3.3300000000000003E-2"/>
    <x v="0"/>
    <x v="5"/>
    <n v="100"/>
    <x v="5"/>
    <n v="0"/>
    <n v="0"/>
    <m/>
    <n v="1"/>
    <n v="1"/>
    <n v="0"/>
    <x v="3"/>
    <n v="0"/>
    <n v="100"/>
    <m/>
    <n v="0"/>
    <n v="100"/>
  </r>
  <r>
    <s v="BG-1-accessibility"/>
    <x v="41"/>
    <s v="BG-1"/>
    <x v="0"/>
    <s v="accessibility"/>
    <x v="37"/>
    <x v="2"/>
    <x v="6"/>
    <x v="7"/>
    <n v="3"/>
    <n v="3.3300000000000003E-2"/>
    <x v="0"/>
    <x v="5"/>
    <n v="0"/>
    <x v="0"/>
    <n v="0"/>
    <n v="0"/>
    <m/>
    <n v="1"/>
    <n v="1"/>
    <n v="0"/>
    <x v="3"/>
    <n v="0"/>
    <n v="0"/>
    <m/>
    <n v="0"/>
    <n v="0"/>
  </r>
  <r>
    <s v="BG-1-implementation-schedules"/>
    <x v="41"/>
    <s v="BG-1"/>
    <x v="0"/>
    <s v="implementation-schedules"/>
    <x v="38"/>
    <x v="2"/>
    <x v="6"/>
    <x v="7"/>
    <n v="2"/>
    <n v="3.3300000000000003E-2"/>
    <x v="0"/>
    <x v="5"/>
    <n v="0"/>
    <x v="0"/>
    <n v="0"/>
    <n v="0"/>
    <m/>
    <n v="1"/>
    <n v="1"/>
    <n v="0"/>
    <x v="3"/>
    <n v="0"/>
    <n v="0"/>
    <m/>
    <n v="0"/>
    <n v="0"/>
  </r>
  <r>
    <s v="FI-3-total-budget"/>
    <x v="42"/>
    <s v="FI-3"/>
    <x v="69"/>
    <s v="total-budget"/>
    <x v="29"/>
    <x v="1"/>
    <x v="2"/>
    <x v="5"/>
    <n v="9"/>
    <n v="4.1700000000000001E-2"/>
    <x v="1"/>
    <x v="6"/>
    <n v="50"/>
    <x v="41"/>
    <n v="33.333333333299997"/>
    <n v="16.666666666699999"/>
    <s v="quarterly"/>
    <n v="0.9"/>
    <n v="1"/>
    <n v="16.666666666699999"/>
    <x v="3"/>
    <m/>
    <m/>
    <m/>
    <m/>
    <n v="0"/>
  </r>
  <r>
    <s v="FI-3-description"/>
    <x v="42"/>
    <s v="FI-3"/>
    <x v="220"/>
    <s v="description"/>
    <x v="3"/>
    <x v="0"/>
    <x v="0"/>
    <x v="0"/>
    <n v="15"/>
    <n v="1.6299999999999999E-2"/>
    <x v="1"/>
    <x v="6"/>
    <n v="50"/>
    <x v="176"/>
    <n v="95.3646477132"/>
    <n v="47.6823238566"/>
    <s v="quarterly"/>
    <n v="0.9"/>
    <n v="0.9"/>
    <n v="42.914091470999999"/>
    <x v="3"/>
    <m/>
    <m/>
    <m/>
    <m/>
    <n v="0"/>
  </r>
  <r>
    <s v="FI-3-implementer"/>
    <x v="42"/>
    <s v="FI-3"/>
    <x v="26"/>
    <s v="implementer"/>
    <x v="4"/>
    <x v="0"/>
    <x v="0"/>
    <x v="0"/>
    <n v="12"/>
    <n v="1.6299999999999999E-2"/>
    <x v="1"/>
    <x v="6"/>
    <n v="50"/>
    <x v="12"/>
    <n v="100"/>
    <n v="50"/>
    <s v="quarterly"/>
    <n v="0.9"/>
    <n v="0.9"/>
    <n v="45"/>
    <x v="3"/>
    <m/>
    <m/>
    <m/>
    <m/>
    <n v="0"/>
  </r>
  <r>
    <s v="FI-3-dates-planned"/>
    <x v="42"/>
    <s v="FI-3"/>
    <x v="26"/>
    <s v="dates-planned"/>
    <x v="5"/>
    <x v="0"/>
    <x v="0"/>
    <x v="0"/>
    <n v="16"/>
    <n v="1.6299999999999999E-2"/>
    <x v="1"/>
    <x v="6"/>
    <n v="50"/>
    <x v="12"/>
    <n v="100"/>
    <n v="50"/>
    <s v="quarterly"/>
    <n v="0.9"/>
    <n v="0.9"/>
    <n v="45"/>
    <x v="3"/>
    <m/>
    <m/>
    <m/>
    <m/>
    <n v="0"/>
  </r>
  <r>
    <s v="FI-3-title"/>
    <x v="42"/>
    <s v="FI-3"/>
    <x v="221"/>
    <s v="title"/>
    <x v="6"/>
    <x v="0"/>
    <x v="0"/>
    <x v="0"/>
    <n v="14"/>
    <n v="1.6299999999999999E-2"/>
    <x v="1"/>
    <x v="6"/>
    <n v="50"/>
    <x v="177"/>
    <n v="99.78368356"/>
    <n v="49.89184178"/>
    <s v="quarterly"/>
    <n v="0.9"/>
    <n v="0.9"/>
    <n v="44.902657601999998"/>
    <x v="3"/>
    <m/>
    <m/>
    <m/>
    <m/>
    <n v="0"/>
  </r>
  <r>
    <s v="FI-3-unique-id"/>
    <x v="42"/>
    <s v="FI-3"/>
    <x v="28"/>
    <s v="unique-id"/>
    <x v="7"/>
    <x v="0"/>
    <x v="0"/>
    <x v="0"/>
    <n v="13"/>
    <n v="1.6299999999999999E-2"/>
    <x v="1"/>
    <x v="6"/>
    <n v="50"/>
    <x v="14"/>
    <n v="50"/>
    <n v="25"/>
    <s v="quarterly"/>
    <n v="0.9"/>
    <n v="0.9"/>
    <n v="22.5"/>
    <x v="3"/>
    <m/>
    <m/>
    <m/>
    <m/>
    <n v="0"/>
  </r>
  <r>
    <s v="FI-3-aid-type"/>
    <x v="42"/>
    <s v="FI-3"/>
    <x v="29"/>
    <s v="aid-type"/>
    <x v="8"/>
    <x v="0"/>
    <x v="1"/>
    <x v="1"/>
    <n v="22"/>
    <n v="1.8599999999999998E-2"/>
    <x v="1"/>
    <x v="6"/>
    <n v="50"/>
    <x v="12"/>
    <n v="100"/>
    <n v="50"/>
    <s v="quarterly"/>
    <n v="0.9"/>
    <n v="0.9"/>
    <n v="45"/>
    <x v="3"/>
    <m/>
    <m/>
    <m/>
    <m/>
    <n v="0"/>
  </r>
  <r>
    <s v="FI-3-collaboration-type"/>
    <x v="42"/>
    <s v="FI-3"/>
    <x v="29"/>
    <s v="collaboration-type"/>
    <x v="9"/>
    <x v="0"/>
    <x v="1"/>
    <x v="1"/>
    <n v="20"/>
    <n v="1.8599999999999998E-2"/>
    <x v="1"/>
    <x v="6"/>
    <n v="50"/>
    <x v="12"/>
    <n v="100"/>
    <n v="50"/>
    <s v="quarterly"/>
    <n v="0.9"/>
    <n v="0.9"/>
    <n v="45"/>
    <x v="3"/>
    <m/>
    <m/>
    <m/>
    <m/>
    <n v="0"/>
  </r>
  <r>
    <s v="FI-3-finance-type"/>
    <x v="42"/>
    <s v="FI-3"/>
    <x v="29"/>
    <s v="finance-type"/>
    <x v="10"/>
    <x v="0"/>
    <x v="1"/>
    <x v="1"/>
    <n v="23"/>
    <n v="1.8599999999999998E-2"/>
    <x v="1"/>
    <x v="6"/>
    <n v="50"/>
    <x v="12"/>
    <n v="100"/>
    <n v="50"/>
    <s v="quarterly"/>
    <n v="0.9"/>
    <n v="0.9"/>
    <n v="45"/>
    <x v="3"/>
    <m/>
    <m/>
    <m/>
    <m/>
    <n v="0"/>
  </r>
  <r>
    <s v="FI-3-flow-type"/>
    <x v="42"/>
    <s v="FI-3"/>
    <x v="29"/>
    <s v="flow-type"/>
    <x v="11"/>
    <x v="0"/>
    <x v="1"/>
    <x v="1"/>
    <n v="21"/>
    <n v="1.8599999999999998E-2"/>
    <x v="1"/>
    <x v="6"/>
    <n v="50"/>
    <x v="12"/>
    <n v="100"/>
    <n v="50"/>
    <s v="quarterly"/>
    <n v="0.9"/>
    <n v="0.9"/>
    <n v="45"/>
    <x v="3"/>
    <m/>
    <m/>
    <m/>
    <m/>
    <n v="0"/>
  </r>
  <r>
    <s v="FI-3-sector"/>
    <x v="42"/>
    <s v="FI-3"/>
    <x v="29"/>
    <s v="sector"/>
    <x v="12"/>
    <x v="0"/>
    <x v="1"/>
    <x v="1"/>
    <n v="24"/>
    <n v="1.8599999999999998E-2"/>
    <x v="1"/>
    <x v="6"/>
    <n v="50"/>
    <x v="12"/>
    <n v="100"/>
    <n v="50"/>
    <s v="quarterly"/>
    <n v="0.9"/>
    <n v="0.9"/>
    <n v="45"/>
    <x v="3"/>
    <m/>
    <m/>
    <m/>
    <m/>
    <n v="0"/>
  </r>
  <r>
    <s v="FI-3-tied-aid-status"/>
    <x v="42"/>
    <s v="FI-3"/>
    <x v="222"/>
    <s v="tied-aid-status"/>
    <x v="14"/>
    <x v="0"/>
    <x v="1"/>
    <x v="1"/>
    <n v="26"/>
    <n v="1.8599999999999998E-2"/>
    <x v="1"/>
    <x v="6"/>
    <n v="50"/>
    <x v="178"/>
    <n v="97.404202719400004"/>
    <n v="48.702101359700002"/>
    <s v="quarterly"/>
    <n v="0.9"/>
    <n v="0.9"/>
    <n v="43.831891223699998"/>
    <x v="3"/>
    <m/>
    <m/>
    <m/>
    <m/>
    <n v="0"/>
  </r>
  <r>
    <s v="FI-3-expenditure-actual"/>
    <x v="42"/>
    <s v="FI-3"/>
    <x v="60"/>
    <s v="expenditure-actual"/>
    <x v="15"/>
    <x v="0"/>
    <x v="2"/>
    <x v="2"/>
    <n v="35"/>
    <n v="3.2500000000000001E-2"/>
    <x v="1"/>
    <x v="6"/>
    <n v="50"/>
    <x v="12"/>
    <n v="100"/>
    <n v="50"/>
    <s v="quarterly"/>
    <n v="0.9"/>
    <n v="0.9"/>
    <n v="45"/>
    <x v="3"/>
    <m/>
    <m/>
    <m/>
    <m/>
    <n v="0"/>
  </r>
  <r>
    <s v="FI-3-expenditure-planned"/>
    <x v="42"/>
    <s v="FI-3"/>
    <x v="60"/>
    <s v="expenditure-planned"/>
    <x v="17"/>
    <x v="0"/>
    <x v="2"/>
    <x v="2"/>
    <n v="34"/>
    <n v="3.2500000000000001E-2"/>
    <x v="1"/>
    <x v="6"/>
    <n v="50"/>
    <x v="12"/>
    <n v="100"/>
    <n v="50"/>
    <s v="quarterly"/>
    <n v="0.9"/>
    <n v="0.9"/>
    <n v="45"/>
    <x v="3"/>
    <m/>
    <m/>
    <m/>
    <m/>
    <n v="0"/>
  </r>
  <r>
    <s v="FI-3-dates-actual"/>
    <x v="42"/>
    <s v="FI-3"/>
    <x v="0"/>
    <s v="dates-actual"/>
    <x v="0"/>
    <x v="0"/>
    <x v="0"/>
    <x v="0"/>
    <n v="17"/>
    <n v="1.6299999999999999E-2"/>
    <x v="0"/>
    <x v="1"/>
    <n v="0"/>
    <x v="0"/>
    <n v="0"/>
    <n v="0"/>
    <s v="quarterly"/>
    <n v="0.9"/>
    <n v="1"/>
    <n v="0"/>
    <x v="2"/>
    <n v="0"/>
    <m/>
    <s v="website"/>
    <n v="33.33"/>
    <n v="0"/>
  </r>
  <r>
    <s v="FI-3-contact-details"/>
    <x v="42"/>
    <s v="FI-3"/>
    <x v="1"/>
    <s v="contact-details"/>
    <x v="1"/>
    <x v="0"/>
    <x v="0"/>
    <x v="0"/>
    <n v="19"/>
    <n v="1.6299999999999999E-2"/>
    <x v="0"/>
    <x v="1"/>
    <n v="33.33"/>
    <x v="1"/>
    <n v="0"/>
    <n v="0"/>
    <s v="quarterly"/>
    <n v="0.9"/>
    <n v="1"/>
    <n v="0"/>
    <x v="1"/>
    <n v="1"/>
    <m/>
    <s v="website"/>
    <n v="33.33"/>
    <n v="33.33"/>
  </r>
  <r>
    <s v="FI-3-current-status"/>
    <x v="42"/>
    <s v="FI-3"/>
    <x v="0"/>
    <s v="current-status"/>
    <x v="2"/>
    <x v="0"/>
    <x v="0"/>
    <x v="0"/>
    <n v="18"/>
    <n v="1.6299999999999999E-2"/>
    <x v="0"/>
    <x v="0"/>
    <n v="0"/>
    <x v="0"/>
    <n v="0"/>
    <n v="0"/>
    <s v="quarterly"/>
    <n v="0.9"/>
    <n v="1"/>
    <n v="0"/>
    <x v="0"/>
    <n v="0"/>
    <m/>
    <m/>
    <n v="0"/>
    <n v="0"/>
  </r>
  <r>
    <s v="FI-3-location"/>
    <x v="42"/>
    <s v="FI-3"/>
    <x v="0"/>
    <s v="location"/>
    <x v="13"/>
    <x v="0"/>
    <x v="1"/>
    <x v="1"/>
    <n v="25"/>
    <n v="1.8599999999999998E-2"/>
    <x v="0"/>
    <x v="1"/>
    <n v="0"/>
    <x v="0"/>
    <n v="0"/>
    <n v="0"/>
    <s v="quarterly"/>
    <n v="0.9"/>
    <n v="1"/>
    <n v="0"/>
    <x v="2"/>
    <n v="0"/>
    <m/>
    <s v="website"/>
    <n v="33.33"/>
    <n v="0"/>
  </r>
  <r>
    <s v="FI-3-cost-overall"/>
    <x v="42"/>
    <s v="FI-3"/>
    <x v="2"/>
    <s v="cost-overall"/>
    <x v="16"/>
    <x v="0"/>
    <x v="2"/>
    <x v="2"/>
    <n v="33"/>
    <n v="3.2500000000000001E-2"/>
    <x v="0"/>
    <x v="1"/>
    <n v="33.33"/>
    <x v="1"/>
    <n v="0"/>
    <n v="0"/>
    <s v="quarterly"/>
    <n v="0.9"/>
    <n v="1"/>
    <n v="0"/>
    <x v="1"/>
    <n v="1"/>
    <m/>
    <s v="website"/>
    <n v="33.33"/>
    <n v="33.33"/>
  </r>
  <r>
    <s v="FI-3-budget-identifier"/>
    <x v="42"/>
    <s v="FI-3"/>
    <x v="0"/>
    <s v="budget-identifier"/>
    <x v="18"/>
    <x v="0"/>
    <x v="2"/>
    <x v="2"/>
    <n v="36"/>
    <n v="3.2500000000000001E-2"/>
    <x v="0"/>
    <x v="0"/>
    <n v="0"/>
    <x v="0"/>
    <n v="0"/>
    <n v="0"/>
    <s v="quarterly"/>
    <n v="0.9"/>
    <n v="1"/>
    <n v="0"/>
    <x v="0"/>
    <n v="0"/>
    <m/>
    <m/>
    <n v="0"/>
    <n v="0"/>
  </r>
  <r>
    <s v="FI-3-conditions"/>
    <x v="42"/>
    <s v="FI-3"/>
    <x v="0"/>
    <s v="conditions"/>
    <x v="19"/>
    <x v="0"/>
    <x v="3"/>
    <x v="3"/>
    <n v="39"/>
    <n v="4.3299999999999998E-2"/>
    <x v="0"/>
    <x v="2"/>
    <n v="0"/>
    <x v="0"/>
    <n v="0"/>
    <n v="0"/>
    <s v="quarterly"/>
    <n v="0.9"/>
    <n v="1"/>
    <n v="0"/>
    <x v="0"/>
    <n v="0"/>
    <m/>
    <s v="document"/>
    <n v="50"/>
    <n v="0"/>
  </r>
  <r>
    <s v="FI-3-impact-appraisals"/>
    <x v="42"/>
    <s v="FI-3"/>
    <x v="0"/>
    <s v="impact-appraisals"/>
    <x v="20"/>
    <x v="0"/>
    <x v="3"/>
    <x v="3"/>
    <n v="38"/>
    <n v="4.3299999999999998E-2"/>
    <x v="0"/>
    <x v="2"/>
    <n v="0"/>
    <x v="0"/>
    <n v="0"/>
    <n v="0"/>
    <s v="quarterly"/>
    <n v="0.9"/>
    <n v="1"/>
    <n v="0"/>
    <x v="0"/>
    <n v="0"/>
    <m/>
    <s v="document"/>
    <n v="50"/>
    <n v="0"/>
  </r>
  <r>
    <s v="FI-3-results"/>
    <x v="42"/>
    <s v="FI-3"/>
    <x v="0"/>
    <s v="results"/>
    <x v="21"/>
    <x v="0"/>
    <x v="3"/>
    <x v="3"/>
    <n v="37"/>
    <n v="4.3299999999999998E-2"/>
    <x v="0"/>
    <x v="3"/>
    <n v="0"/>
    <x v="0"/>
    <n v="0"/>
    <n v="0"/>
    <s v="quarterly"/>
    <n v="0.9"/>
    <n v="1"/>
    <n v="0"/>
    <x v="2"/>
    <n v="0"/>
    <m/>
    <s v="pdf"/>
    <n v="16.664999999999999"/>
    <n v="0"/>
  </r>
  <r>
    <s v="FI-3-budget"/>
    <x v="42"/>
    <s v="FI-3"/>
    <x v="0"/>
    <s v="budget"/>
    <x v="22"/>
    <x v="0"/>
    <x v="4"/>
    <x v="4"/>
    <n v="30"/>
    <n v="2.1700000000000001E-2"/>
    <x v="0"/>
    <x v="2"/>
    <n v="0"/>
    <x v="0"/>
    <n v="0"/>
    <n v="0"/>
    <s v="quarterly"/>
    <n v="0.9"/>
    <n v="1"/>
    <n v="0"/>
    <x v="0"/>
    <n v="0"/>
    <m/>
    <s v="document"/>
    <n v="50"/>
    <n v="0"/>
  </r>
  <r>
    <s v="FI-3-contracts"/>
    <x v="42"/>
    <s v="FI-3"/>
    <x v="3"/>
    <s v="contracts"/>
    <x v="23"/>
    <x v="0"/>
    <x v="4"/>
    <x v="4"/>
    <n v="31"/>
    <n v="2.1700000000000001E-2"/>
    <x v="0"/>
    <x v="2"/>
    <n v="50"/>
    <x v="2"/>
    <n v="0"/>
    <n v="0"/>
    <s v="quarterly"/>
    <n v="0.9"/>
    <n v="1"/>
    <n v="0"/>
    <x v="1"/>
    <n v="1"/>
    <m/>
    <s v="document"/>
    <n v="50"/>
    <n v="50"/>
  </r>
  <r>
    <s v="FI-3-evaluations"/>
    <x v="42"/>
    <s v="FI-3"/>
    <x v="3"/>
    <s v="evaluations"/>
    <x v="24"/>
    <x v="0"/>
    <x v="4"/>
    <x v="4"/>
    <n v="28"/>
    <n v="2.1700000000000001E-2"/>
    <x v="0"/>
    <x v="2"/>
    <n v="50"/>
    <x v="2"/>
    <n v="0"/>
    <n v="0"/>
    <s v="quarterly"/>
    <n v="0.9"/>
    <n v="1"/>
    <n v="0"/>
    <x v="1"/>
    <n v="1"/>
    <m/>
    <s v="document"/>
    <n v="50"/>
    <n v="50"/>
  </r>
  <r>
    <s v="FI-3-mou"/>
    <x v="42"/>
    <s v="FI-3"/>
    <x v="0"/>
    <s v="mou"/>
    <x v="25"/>
    <x v="0"/>
    <x v="4"/>
    <x v="4"/>
    <n v="27"/>
    <n v="2.1700000000000001E-2"/>
    <x v="0"/>
    <x v="2"/>
    <n v="0"/>
    <x v="0"/>
    <n v="0"/>
    <n v="0"/>
    <s v="quarterly"/>
    <n v="0.9"/>
    <n v="1"/>
    <n v="0"/>
    <x v="2"/>
    <n v="0"/>
    <m/>
    <s v="document"/>
    <n v="50"/>
    <n v="0"/>
  </r>
  <r>
    <s v="FI-3-objectives"/>
    <x v="42"/>
    <s v="FI-3"/>
    <x v="0"/>
    <s v="objectives"/>
    <x v="26"/>
    <x v="0"/>
    <x v="4"/>
    <x v="4"/>
    <n v="29"/>
    <n v="2.1700000000000001E-2"/>
    <x v="0"/>
    <x v="2"/>
    <n v="0"/>
    <x v="0"/>
    <n v="0"/>
    <n v="0"/>
    <s v="quarterly"/>
    <n v="0.9"/>
    <n v="1"/>
    <n v="0"/>
    <x v="2"/>
    <n v="0"/>
    <m/>
    <s v="document"/>
    <n v="50"/>
    <n v="0"/>
  </r>
  <r>
    <s v="FI-3-tenders"/>
    <x v="42"/>
    <s v="FI-3"/>
    <x v="3"/>
    <s v="tenders"/>
    <x v="27"/>
    <x v="0"/>
    <x v="4"/>
    <x v="4"/>
    <n v="32"/>
    <n v="2.1700000000000001E-2"/>
    <x v="0"/>
    <x v="2"/>
    <n v="50"/>
    <x v="2"/>
    <n v="0"/>
    <n v="0"/>
    <s v="quarterly"/>
    <n v="0.9"/>
    <n v="1"/>
    <n v="0"/>
    <x v="1"/>
    <n v="1"/>
    <m/>
    <s v="document"/>
    <n v="50"/>
    <n v="50"/>
  </r>
  <r>
    <s v="FI-3-audit"/>
    <x v="42"/>
    <s v="FI-3"/>
    <x v="4"/>
    <s v="audit"/>
    <x v="28"/>
    <x v="1"/>
    <x v="2"/>
    <x v="5"/>
    <n v="11"/>
    <n v="4.1700000000000001E-2"/>
    <x v="0"/>
    <x v="2"/>
    <n v="50"/>
    <x v="2"/>
    <n v="0"/>
    <n v="0"/>
    <s v="quarterly"/>
    <n v="0.9"/>
    <n v="1"/>
    <n v="0"/>
    <x v="1"/>
    <n v="1"/>
    <m/>
    <s v="document"/>
    <n v="50"/>
    <n v="50"/>
  </r>
  <r>
    <s v="FI-3-disaggregated-budgets"/>
    <x v="42"/>
    <s v="FI-3"/>
    <x v="4"/>
    <s v="disaggregated-budgets"/>
    <x v="30"/>
    <x v="1"/>
    <x v="2"/>
    <x v="5"/>
    <n v="10"/>
    <n v="4.1700000000000001E-2"/>
    <x v="0"/>
    <x v="4"/>
    <n v="50"/>
    <x v="2"/>
    <n v="0"/>
    <n v="0"/>
    <s v="quarterly"/>
    <n v="0.9"/>
    <n v="1"/>
    <n v="0"/>
    <x v="3"/>
    <n v="0"/>
    <n v="3"/>
    <s v="machine-readable"/>
    <n v="50"/>
    <n v="50"/>
  </r>
  <r>
    <s v="FI-3-strategy"/>
    <x v="42"/>
    <s v="FI-3"/>
    <x v="6"/>
    <s v="strategy"/>
    <x v="31"/>
    <x v="1"/>
    <x v="5"/>
    <x v="6"/>
    <n v="4"/>
    <n v="2.5000000000000001E-2"/>
    <x v="0"/>
    <x v="2"/>
    <n v="50"/>
    <x v="2"/>
    <n v="0"/>
    <n v="0"/>
    <s v="quarterly"/>
    <n v="0.9"/>
    <n v="1"/>
    <n v="0"/>
    <x v="1"/>
    <n v="1"/>
    <m/>
    <s v="document"/>
    <n v="50"/>
    <n v="50"/>
  </r>
  <r>
    <s v="FI-3-annual-report"/>
    <x v="42"/>
    <s v="FI-3"/>
    <x v="6"/>
    <s v="annual-report"/>
    <x v="32"/>
    <x v="1"/>
    <x v="5"/>
    <x v="6"/>
    <n v="5"/>
    <n v="2.5000000000000001E-2"/>
    <x v="0"/>
    <x v="2"/>
    <n v="50"/>
    <x v="2"/>
    <n v="0"/>
    <n v="0"/>
    <s v="quarterly"/>
    <n v="0.9"/>
    <n v="1"/>
    <n v="0"/>
    <x v="1"/>
    <n v="1"/>
    <m/>
    <s v="document"/>
    <n v="50"/>
    <n v="50"/>
  </r>
  <r>
    <s v="FI-3-allocation"/>
    <x v="42"/>
    <s v="FI-3"/>
    <x v="6"/>
    <s v="allocation"/>
    <x v="33"/>
    <x v="1"/>
    <x v="5"/>
    <x v="6"/>
    <n v="6"/>
    <n v="2.5000000000000001E-2"/>
    <x v="0"/>
    <x v="2"/>
    <n v="50"/>
    <x v="2"/>
    <n v="0"/>
    <n v="0"/>
    <s v="quarterly"/>
    <n v="0.9"/>
    <n v="1"/>
    <n v="0"/>
    <x v="1"/>
    <n v="1"/>
    <m/>
    <s v="document"/>
    <n v="50"/>
    <n v="50"/>
  </r>
  <r>
    <s v="FI-3-procurement-policy"/>
    <x v="42"/>
    <s v="FI-3"/>
    <x v="6"/>
    <s v="procurement-policy"/>
    <x v="34"/>
    <x v="1"/>
    <x v="5"/>
    <x v="6"/>
    <n v="7"/>
    <n v="2.5000000000000001E-2"/>
    <x v="0"/>
    <x v="2"/>
    <n v="50"/>
    <x v="2"/>
    <n v="0"/>
    <n v="0"/>
    <s v="quarterly"/>
    <n v="0.9"/>
    <n v="1"/>
    <n v="0"/>
    <x v="1"/>
    <n v="1"/>
    <m/>
    <s v="document"/>
    <n v="50"/>
    <n v="50"/>
  </r>
  <r>
    <s v="FI-3-country-strategy"/>
    <x v="42"/>
    <s v="FI-3"/>
    <x v="6"/>
    <s v="country-strategy"/>
    <x v="35"/>
    <x v="1"/>
    <x v="5"/>
    <x v="6"/>
    <n v="8"/>
    <n v="2.5000000000000001E-2"/>
    <x v="0"/>
    <x v="2"/>
    <n v="50"/>
    <x v="2"/>
    <n v="0"/>
    <n v="0"/>
    <s v="quarterly"/>
    <n v="0.9"/>
    <n v="1"/>
    <n v="0"/>
    <x v="1"/>
    <n v="1"/>
    <m/>
    <s v="document"/>
    <n v="50"/>
    <n v="50"/>
  </r>
  <r>
    <s v="FI-3-foia"/>
    <x v="42"/>
    <s v="FI-3"/>
    <x v="10"/>
    <s v="foia"/>
    <x v="36"/>
    <x v="2"/>
    <x v="6"/>
    <x v="7"/>
    <n v="1"/>
    <n v="3.3300000000000003E-2"/>
    <x v="0"/>
    <x v="5"/>
    <n v="100"/>
    <x v="5"/>
    <n v="0"/>
    <n v="0"/>
    <s v="quarterly"/>
    <n v="0.9"/>
    <n v="1"/>
    <n v="0"/>
    <x v="3"/>
    <n v="0"/>
    <n v="100"/>
    <m/>
    <n v="0"/>
    <n v="100"/>
  </r>
  <r>
    <s v="FI-3-accessibility"/>
    <x v="42"/>
    <s v="FI-3"/>
    <x v="0"/>
    <s v="accessibility"/>
    <x v="37"/>
    <x v="2"/>
    <x v="6"/>
    <x v="7"/>
    <n v="3"/>
    <n v="3.3300000000000003E-2"/>
    <x v="0"/>
    <x v="5"/>
    <n v="0"/>
    <x v="0"/>
    <n v="0"/>
    <n v="0"/>
    <s v="quarterly"/>
    <n v="0.9"/>
    <n v="1"/>
    <n v="0"/>
    <x v="3"/>
    <n v="0"/>
    <n v="0"/>
    <m/>
    <n v="0"/>
    <n v="0"/>
  </r>
  <r>
    <s v="FI-3-implementation-schedules"/>
    <x v="42"/>
    <s v="FI-3"/>
    <x v="223"/>
    <s v="implementation-schedules"/>
    <x v="38"/>
    <x v="2"/>
    <x v="6"/>
    <x v="7"/>
    <n v="2"/>
    <n v="3.3300000000000003E-2"/>
    <x v="0"/>
    <x v="5"/>
    <n v="23"/>
    <x v="179"/>
    <n v="0"/>
    <n v="0"/>
    <s v="quarterly"/>
    <n v="0.9"/>
    <n v="1"/>
    <n v="0"/>
    <x v="3"/>
    <n v="0"/>
    <n v="23"/>
    <m/>
    <n v="0"/>
    <n v="23"/>
  </r>
  <r>
    <s v="BE-10-dates-actual"/>
    <x v="43"/>
    <s v="BE-10"/>
    <x v="0"/>
    <s v="dates-actual"/>
    <x v="0"/>
    <x v="0"/>
    <x v="0"/>
    <x v="0"/>
    <n v="17"/>
    <n v="1.6299999999999999E-2"/>
    <x v="0"/>
    <x v="0"/>
    <n v="0"/>
    <x v="0"/>
    <n v="0"/>
    <n v="0"/>
    <m/>
    <n v="1"/>
    <n v="1"/>
    <n v="0"/>
    <x v="0"/>
    <n v="0"/>
    <m/>
    <m/>
    <n v="0"/>
    <n v="0"/>
  </r>
  <r>
    <s v="BE-10-contact-details"/>
    <x v="43"/>
    <s v="BE-10"/>
    <x v="1"/>
    <s v="contact-details"/>
    <x v="1"/>
    <x v="0"/>
    <x v="0"/>
    <x v="0"/>
    <n v="19"/>
    <n v="1.6299999999999999E-2"/>
    <x v="0"/>
    <x v="1"/>
    <n v="33.33"/>
    <x v="1"/>
    <n v="0"/>
    <n v="0"/>
    <m/>
    <n v="1"/>
    <n v="1"/>
    <n v="0"/>
    <x v="1"/>
    <n v="1"/>
    <m/>
    <s v="website"/>
    <n v="33.33"/>
    <n v="33.33"/>
  </r>
  <r>
    <s v="BE-10-current-status"/>
    <x v="43"/>
    <s v="BE-10"/>
    <x v="0"/>
    <s v="current-status"/>
    <x v="2"/>
    <x v="0"/>
    <x v="0"/>
    <x v="0"/>
    <n v="18"/>
    <n v="1.6299999999999999E-2"/>
    <x v="0"/>
    <x v="0"/>
    <n v="0"/>
    <x v="0"/>
    <n v="0"/>
    <n v="0"/>
    <m/>
    <n v="1"/>
    <n v="1"/>
    <n v="0"/>
    <x v="0"/>
    <n v="0"/>
    <m/>
    <m/>
    <n v="0"/>
    <n v="0"/>
  </r>
  <r>
    <s v="BE-10-description"/>
    <x v="43"/>
    <s v="BE-10"/>
    <x v="1"/>
    <s v="description"/>
    <x v="3"/>
    <x v="0"/>
    <x v="0"/>
    <x v="0"/>
    <n v="15"/>
    <n v="1.6299999999999999E-2"/>
    <x v="0"/>
    <x v="1"/>
    <n v="33.33"/>
    <x v="1"/>
    <n v="0"/>
    <n v="0"/>
    <m/>
    <n v="1"/>
    <n v="1"/>
    <n v="0"/>
    <x v="1"/>
    <n v="1"/>
    <m/>
    <s v="website"/>
    <n v="33.33"/>
    <n v="33.33"/>
  </r>
  <r>
    <s v="BE-10-implementer"/>
    <x v="43"/>
    <s v="BE-10"/>
    <x v="0"/>
    <s v="implementer"/>
    <x v="4"/>
    <x v="0"/>
    <x v="0"/>
    <x v="0"/>
    <n v="12"/>
    <n v="1.6299999999999999E-2"/>
    <x v="0"/>
    <x v="1"/>
    <n v="0"/>
    <x v="0"/>
    <n v="0"/>
    <n v="0"/>
    <m/>
    <n v="1"/>
    <n v="1"/>
    <n v="0"/>
    <x v="2"/>
    <n v="0"/>
    <m/>
    <s v="website"/>
    <n v="33.33"/>
    <n v="0"/>
  </r>
  <r>
    <s v="BE-10-dates-planned"/>
    <x v="43"/>
    <s v="BE-10"/>
    <x v="0"/>
    <s v="dates-planned"/>
    <x v="5"/>
    <x v="0"/>
    <x v="0"/>
    <x v="0"/>
    <n v="16"/>
    <n v="1.6299999999999999E-2"/>
    <x v="0"/>
    <x v="1"/>
    <n v="0"/>
    <x v="0"/>
    <n v="0"/>
    <n v="0"/>
    <m/>
    <n v="1"/>
    <n v="1"/>
    <n v="0"/>
    <x v="0"/>
    <n v="0"/>
    <m/>
    <s v="website"/>
    <n v="33.33"/>
    <n v="0"/>
  </r>
  <r>
    <s v="BE-10-title"/>
    <x v="43"/>
    <s v="BE-10"/>
    <x v="1"/>
    <s v="title"/>
    <x v="6"/>
    <x v="0"/>
    <x v="0"/>
    <x v="0"/>
    <n v="14"/>
    <n v="1.6299999999999999E-2"/>
    <x v="0"/>
    <x v="1"/>
    <n v="33.33"/>
    <x v="1"/>
    <n v="0"/>
    <n v="0"/>
    <m/>
    <n v="1"/>
    <n v="1"/>
    <n v="0"/>
    <x v="1"/>
    <n v="1"/>
    <m/>
    <s v="website"/>
    <n v="33.33"/>
    <n v="33.33"/>
  </r>
  <r>
    <s v="BE-10-unique-id"/>
    <x v="43"/>
    <s v="BE-10"/>
    <x v="0"/>
    <s v="unique-id"/>
    <x v="7"/>
    <x v="0"/>
    <x v="0"/>
    <x v="0"/>
    <n v="13"/>
    <n v="1.6299999999999999E-2"/>
    <x v="0"/>
    <x v="0"/>
    <n v="0"/>
    <x v="0"/>
    <n v="0"/>
    <n v="0"/>
    <m/>
    <n v="1"/>
    <n v="1"/>
    <n v="0"/>
    <x v="0"/>
    <n v="0"/>
    <m/>
    <m/>
    <n v="0"/>
    <n v="0"/>
  </r>
  <r>
    <s v="BE-10-aid-type"/>
    <x v="43"/>
    <s v="BE-10"/>
    <x v="0"/>
    <s v="aid-type"/>
    <x v="8"/>
    <x v="0"/>
    <x v="1"/>
    <x v="1"/>
    <n v="22"/>
    <n v="1.8599999999999998E-2"/>
    <x v="0"/>
    <x v="0"/>
    <n v="0"/>
    <x v="0"/>
    <n v="0"/>
    <n v="0"/>
    <m/>
    <n v="1"/>
    <n v="1"/>
    <n v="0"/>
    <x v="0"/>
    <n v="0"/>
    <m/>
    <m/>
    <n v="0"/>
    <n v="0"/>
  </r>
  <r>
    <s v="BE-10-collaboration-type"/>
    <x v="43"/>
    <s v="BE-10"/>
    <x v="0"/>
    <s v="collaboration-type"/>
    <x v="9"/>
    <x v="0"/>
    <x v="1"/>
    <x v="1"/>
    <n v="20"/>
    <n v="1.8599999999999998E-2"/>
    <x v="0"/>
    <x v="0"/>
    <n v="0"/>
    <x v="0"/>
    <n v="0"/>
    <n v="0"/>
    <m/>
    <n v="1"/>
    <n v="1"/>
    <n v="0"/>
    <x v="0"/>
    <n v="0"/>
    <m/>
    <m/>
    <n v="0"/>
    <n v="0"/>
  </r>
  <r>
    <s v="BE-10-finance-type"/>
    <x v="43"/>
    <s v="BE-10"/>
    <x v="0"/>
    <s v="finance-type"/>
    <x v="10"/>
    <x v="0"/>
    <x v="1"/>
    <x v="1"/>
    <n v="23"/>
    <n v="1.8599999999999998E-2"/>
    <x v="0"/>
    <x v="0"/>
    <n v="0"/>
    <x v="0"/>
    <n v="0"/>
    <n v="0"/>
    <m/>
    <n v="1"/>
    <n v="1"/>
    <n v="0"/>
    <x v="0"/>
    <n v="0"/>
    <m/>
    <m/>
    <n v="0"/>
    <n v="0"/>
  </r>
  <r>
    <s v="BE-10-flow-type"/>
    <x v="43"/>
    <s v="BE-10"/>
    <x v="0"/>
    <s v="flow-type"/>
    <x v="11"/>
    <x v="0"/>
    <x v="1"/>
    <x v="1"/>
    <n v="21"/>
    <n v="1.8599999999999998E-2"/>
    <x v="0"/>
    <x v="0"/>
    <n v="0"/>
    <x v="0"/>
    <n v="0"/>
    <n v="0"/>
    <m/>
    <n v="1"/>
    <n v="1"/>
    <n v="0"/>
    <x v="0"/>
    <n v="0"/>
    <m/>
    <m/>
    <n v="0"/>
    <n v="0"/>
  </r>
  <r>
    <s v="BE-10-sector"/>
    <x v="43"/>
    <s v="BE-10"/>
    <x v="8"/>
    <s v="sector"/>
    <x v="12"/>
    <x v="0"/>
    <x v="1"/>
    <x v="1"/>
    <n v="24"/>
    <n v="1.8599999999999998E-2"/>
    <x v="0"/>
    <x v="1"/>
    <n v="33.33"/>
    <x v="1"/>
    <n v="0"/>
    <n v="0"/>
    <m/>
    <n v="1"/>
    <n v="1"/>
    <n v="0"/>
    <x v="1"/>
    <n v="1"/>
    <m/>
    <s v="website"/>
    <n v="33.33"/>
    <n v="33.33"/>
  </r>
  <r>
    <s v="BE-10-location"/>
    <x v="43"/>
    <s v="BE-10"/>
    <x v="0"/>
    <s v="location"/>
    <x v="13"/>
    <x v="0"/>
    <x v="1"/>
    <x v="1"/>
    <n v="25"/>
    <n v="1.8599999999999998E-2"/>
    <x v="0"/>
    <x v="1"/>
    <n v="0"/>
    <x v="0"/>
    <n v="0"/>
    <n v="0"/>
    <m/>
    <n v="1"/>
    <n v="1"/>
    <n v="0"/>
    <x v="2"/>
    <n v="0"/>
    <m/>
    <s v="website"/>
    <n v="33.33"/>
    <n v="0"/>
  </r>
  <r>
    <s v="BE-10-tied-aid-status"/>
    <x v="43"/>
    <s v="BE-10"/>
    <x v="0"/>
    <s v="tied-aid-status"/>
    <x v="14"/>
    <x v="0"/>
    <x v="1"/>
    <x v="1"/>
    <n v="26"/>
    <n v="1.8599999999999998E-2"/>
    <x v="0"/>
    <x v="0"/>
    <n v="0"/>
    <x v="0"/>
    <n v="0"/>
    <n v="0"/>
    <m/>
    <n v="1"/>
    <n v="1"/>
    <n v="0"/>
    <x v="0"/>
    <n v="0"/>
    <m/>
    <m/>
    <n v="0"/>
    <n v="0"/>
  </r>
  <r>
    <s v="BE-10-expenditure-actual"/>
    <x v="43"/>
    <s v="BE-10"/>
    <x v="0"/>
    <s v="expenditure-actual"/>
    <x v="15"/>
    <x v="0"/>
    <x v="2"/>
    <x v="2"/>
    <n v="35"/>
    <n v="3.2500000000000001E-2"/>
    <x v="0"/>
    <x v="0"/>
    <n v="0"/>
    <x v="0"/>
    <n v="0"/>
    <n v="0"/>
    <m/>
    <n v="1"/>
    <n v="1"/>
    <n v="0"/>
    <x v="0"/>
    <n v="0"/>
    <m/>
    <m/>
    <n v="0"/>
    <n v="0"/>
  </r>
  <r>
    <s v="BE-10-cost-overall"/>
    <x v="43"/>
    <s v="BE-10"/>
    <x v="0"/>
    <s v="cost-overall"/>
    <x v="16"/>
    <x v="0"/>
    <x v="2"/>
    <x v="2"/>
    <n v="33"/>
    <n v="3.2500000000000001E-2"/>
    <x v="0"/>
    <x v="0"/>
    <n v="0"/>
    <x v="0"/>
    <n v="0"/>
    <n v="0"/>
    <m/>
    <n v="1"/>
    <n v="1"/>
    <n v="0"/>
    <x v="0"/>
    <n v="0"/>
    <m/>
    <m/>
    <n v="0"/>
    <n v="0"/>
  </r>
  <r>
    <s v="BE-10-expenditure-planned"/>
    <x v="43"/>
    <s v="BE-10"/>
    <x v="2"/>
    <s v="expenditure-planned"/>
    <x v="17"/>
    <x v="0"/>
    <x v="2"/>
    <x v="2"/>
    <n v="34"/>
    <n v="3.2500000000000001E-2"/>
    <x v="0"/>
    <x v="1"/>
    <n v="33.33"/>
    <x v="1"/>
    <n v="0"/>
    <n v="0"/>
    <m/>
    <n v="1"/>
    <n v="1"/>
    <n v="0"/>
    <x v="1"/>
    <n v="1"/>
    <m/>
    <s v="website"/>
    <n v="33.33"/>
    <n v="33.33"/>
  </r>
  <r>
    <s v="BE-10-budget-identifier"/>
    <x v="43"/>
    <s v="BE-10"/>
    <x v="0"/>
    <s v="budget-identifier"/>
    <x v="18"/>
    <x v="0"/>
    <x v="2"/>
    <x v="2"/>
    <n v="36"/>
    <n v="3.2500000000000001E-2"/>
    <x v="0"/>
    <x v="0"/>
    <n v="0"/>
    <x v="0"/>
    <n v="0"/>
    <n v="0"/>
    <m/>
    <n v="1"/>
    <n v="1"/>
    <n v="0"/>
    <x v="0"/>
    <n v="0"/>
    <m/>
    <m/>
    <n v="0"/>
    <n v="0"/>
  </r>
  <r>
    <s v="BE-10-conditions"/>
    <x v="43"/>
    <s v="BE-10"/>
    <x v="0"/>
    <s v="conditions"/>
    <x v="19"/>
    <x v="0"/>
    <x v="3"/>
    <x v="3"/>
    <n v="39"/>
    <n v="4.3299999999999998E-2"/>
    <x v="0"/>
    <x v="2"/>
    <n v="0"/>
    <x v="0"/>
    <n v="0"/>
    <n v="0"/>
    <m/>
    <n v="1"/>
    <n v="1"/>
    <n v="0"/>
    <x v="0"/>
    <n v="0"/>
    <m/>
    <s v="document"/>
    <n v="50"/>
    <n v="0"/>
  </r>
  <r>
    <s v="BE-10-impact-appraisals"/>
    <x v="43"/>
    <s v="BE-10"/>
    <x v="0"/>
    <s v="impact-appraisals"/>
    <x v="20"/>
    <x v="0"/>
    <x v="3"/>
    <x v="3"/>
    <n v="38"/>
    <n v="4.3299999999999998E-2"/>
    <x v="0"/>
    <x v="2"/>
    <n v="0"/>
    <x v="0"/>
    <n v="0"/>
    <n v="0"/>
    <m/>
    <n v="1"/>
    <n v="1"/>
    <n v="0"/>
    <x v="0"/>
    <n v="0"/>
    <m/>
    <s v="document"/>
    <n v="50"/>
    <n v="0"/>
  </r>
  <r>
    <s v="BE-10-results"/>
    <x v="43"/>
    <s v="BE-10"/>
    <x v="0"/>
    <s v="results"/>
    <x v="21"/>
    <x v="0"/>
    <x v="3"/>
    <x v="3"/>
    <n v="37"/>
    <n v="4.3299999999999998E-2"/>
    <x v="0"/>
    <x v="0"/>
    <n v="0"/>
    <x v="0"/>
    <n v="0"/>
    <n v="0"/>
    <m/>
    <n v="1"/>
    <n v="1"/>
    <n v="0"/>
    <x v="0"/>
    <n v="0"/>
    <m/>
    <m/>
    <n v="0"/>
    <n v="0"/>
  </r>
  <r>
    <s v="BE-10-budget"/>
    <x v="43"/>
    <s v="BE-10"/>
    <x v="0"/>
    <s v="budget"/>
    <x v="22"/>
    <x v="0"/>
    <x v="4"/>
    <x v="4"/>
    <n v="30"/>
    <n v="2.1700000000000001E-2"/>
    <x v="0"/>
    <x v="2"/>
    <n v="0"/>
    <x v="0"/>
    <n v="0"/>
    <n v="0"/>
    <m/>
    <n v="1"/>
    <n v="1"/>
    <n v="0"/>
    <x v="0"/>
    <n v="0"/>
    <m/>
    <s v="document"/>
    <n v="50"/>
    <n v="0"/>
  </r>
  <r>
    <s v="BE-10-contracts"/>
    <x v="43"/>
    <s v="BE-10"/>
    <x v="0"/>
    <s v="contracts"/>
    <x v="23"/>
    <x v="0"/>
    <x v="4"/>
    <x v="4"/>
    <n v="31"/>
    <n v="2.1700000000000001E-2"/>
    <x v="0"/>
    <x v="2"/>
    <n v="0"/>
    <x v="0"/>
    <n v="0"/>
    <n v="0"/>
    <m/>
    <n v="1"/>
    <n v="1"/>
    <n v="0"/>
    <x v="0"/>
    <n v="0"/>
    <m/>
    <s v="document"/>
    <n v="50"/>
    <n v="0"/>
  </r>
  <r>
    <s v="BE-10-evaluations"/>
    <x v="43"/>
    <s v="BE-10"/>
    <x v="0"/>
    <s v="evaluations"/>
    <x v="24"/>
    <x v="0"/>
    <x v="4"/>
    <x v="4"/>
    <n v="28"/>
    <n v="2.1700000000000001E-2"/>
    <x v="0"/>
    <x v="2"/>
    <n v="0"/>
    <x v="0"/>
    <n v="0"/>
    <n v="0"/>
    <m/>
    <n v="1"/>
    <n v="1"/>
    <n v="0"/>
    <x v="2"/>
    <n v="0"/>
    <m/>
    <s v="document"/>
    <n v="50"/>
    <n v="0"/>
  </r>
  <r>
    <s v="BE-10-mou"/>
    <x v="43"/>
    <s v="BE-10"/>
    <x v="0"/>
    <s v="mou"/>
    <x v="25"/>
    <x v="0"/>
    <x v="4"/>
    <x v="4"/>
    <n v="27"/>
    <n v="2.1700000000000001E-2"/>
    <x v="0"/>
    <x v="2"/>
    <n v="0"/>
    <x v="0"/>
    <n v="0"/>
    <n v="0"/>
    <m/>
    <n v="1"/>
    <n v="1"/>
    <n v="0"/>
    <x v="0"/>
    <n v="0"/>
    <m/>
    <s v="document"/>
    <n v="50"/>
    <n v="0"/>
  </r>
  <r>
    <s v="BE-10-objectives"/>
    <x v="43"/>
    <s v="BE-10"/>
    <x v="3"/>
    <s v="objectives"/>
    <x v="26"/>
    <x v="0"/>
    <x v="4"/>
    <x v="4"/>
    <n v="29"/>
    <n v="2.1700000000000001E-2"/>
    <x v="0"/>
    <x v="2"/>
    <n v="50"/>
    <x v="2"/>
    <n v="0"/>
    <n v="0"/>
    <m/>
    <n v="1"/>
    <n v="1"/>
    <n v="0"/>
    <x v="1"/>
    <n v="1"/>
    <m/>
    <s v="document"/>
    <n v="50"/>
    <n v="50"/>
  </r>
  <r>
    <s v="BE-10-tenders"/>
    <x v="43"/>
    <s v="BE-10"/>
    <x v="3"/>
    <s v="tenders"/>
    <x v="27"/>
    <x v="0"/>
    <x v="4"/>
    <x v="4"/>
    <n v="32"/>
    <n v="2.1700000000000001E-2"/>
    <x v="0"/>
    <x v="2"/>
    <n v="50"/>
    <x v="2"/>
    <n v="0"/>
    <n v="0"/>
    <m/>
    <n v="1"/>
    <n v="1"/>
    <n v="0"/>
    <x v="1"/>
    <n v="1"/>
    <m/>
    <s v="document"/>
    <n v="50"/>
    <n v="50"/>
  </r>
  <r>
    <s v="BE-10-audit"/>
    <x v="43"/>
    <s v="BE-10"/>
    <x v="4"/>
    <s v="audit"/>
    <x v="28"/>
    <x v="1"/>
    <x v="2"/>
    <x v="5"/>
    <n v="11"/>
    <n v="4.1700000000000001E-2"/>
    <x v="0"/>
    <x v="2"/>
    <n v="50"/>
    <x v="2"/>
    <n v="0"/>
    <n v="0"/>
    <m/>
    <n v="1"/>
    <n v="1"/>
    <n v="0"/>
    <x v="1"/>
    <n v="1"/>
    <m/>
    <s v="document"/>
    <n v="50"/>
    <n v="50"/>
  </r>
  <r>
    <s v="BE-10-total-budget"/>
    <x v="43"/>
    <s v="BE-10"/>
    <x v="0"/>
    <s v="total-budget"/>
    <x v="29"/>
    <x v="1"/>
    <x v="2"/>
    <x v="5"/>
    <n v="9"/>
    <n v="4.1700000000000001E-2"/>
    <x v="0"/>
    <x v="0"/>
    <n v="0"/>
    <x v="0"/>
    <n v="0"/>
    <n v="0"/>
    <m/>
    <n v="1"/>
    <n v="1"/>
    <n v="0"/>
    <x v="3"/>
    <n v="0"/>
    <n v="0"/>
    <m/>
    <n v="0"/>
    <n v="0"/>
  </r>
  <r>
    <s v="BE-10-disaggregated-budgets"/>
    <x v="43"/>
    <s v="BE-10"/>
    <x v="4"/>
    <s v="disaggregated-budgets"/>
    <x v="30"/>
    <x v="1"/>
    <x v="2"/>
    <x v="5"/>
    <n v="10"/>
    <n v="4.1700000000000001E-2"/>
    <x v="0"/>
    <x v="4"/>
    <n v="50"/>
    <x v="2"/>
    <n v="0"/>
    <n v="0"/>
    <m/>
    <n v="1"/>
    <n v="1"/>
    <n v="0"/>
    <x v="3"/>
    <n v="0"/>
    <n v="3"/>
    <s v="machine-readable"/>
    <n v="50"/>
    <n v="50"/>
  </r>
  <r>
    <s v="BE-10-strategy"/>
    <x v="43"/>
    <s v="BE-10"/>
    <x v="6"/>
    <s v="strategy"/>
    <x v="31"/>
    <x v="1"/>
    <x v="5"/>
    <x v="6"/>
    <n v="4"/>
    <n v="2.5000000000000001E-2"/>
    <x v="0"/>
    <x v="2"/>
    <n v="50"/>
    <x v="2"/>
    <n v="0"/>
    <n v="0"/>
    <m/>
    <n v="1"/>
    <n v="1"/>
    <n v="0"/>
    <x v="1"/>
    <n v="1"/>
    <m/>
    <s v="document"/>
    <n v="50"/>
    <n v="50"/>
  </r>
  <r>
    <s v="BE-10-annual-report"/>
    <x v="43"/>
    <s v="BE-10"/>
    <x v="6"/>
    <s v="annual-report"/>
    <x v="32"/>
    <x v="1"/>
    <x v="5"/>
    <x v="6"/>
    <n v="5"/>
    <n v="2.5000000000000001E-2"/>
    <x v="0"/>
    <x v="2"/>
    <n v="50"/>
    <x v="2"/>
    <n v="0"/>
    <n v="0"/>
    <m/>
    <n v="1"/>
    <n v="1"/>
    <n v="0"/>
    <x v="1"/>
    <n v="1"/>
    <m/>
    <s v="document"/>
    <n v="50"/>
    <n v="50"/>
  </r>
  <r>
    <s v="BE-10-allocation"/>
    <x v="43"/>
    <s v="BE-10"/>
    <x v="6"/>
    <s v="allocation"/>
    <x v="33"/>
    <x v="1"/>
    <x v="5"/>
    <x v="6"/>
    <n v="6"/>
    <n v="2.5000000000000001E-2"/>
    <x v="0"/>
    <x v="2"/>
    <n v="50"/>
    <x v="2"/>
    <n v="0"/>
    <n v="0"/>
    <m/>
    <n v="1"/>
    <n v="1"/>
    <n v="0"/>
    <x v="1"/>
    <n v="1"/>
    <m/>
    <s v="document"/>
    <n v="50"/>
    <n v="50"/>
  </r>
  <r>
    <s v="BE-10-procurement-policy"/>
    <x v="43"/>
    <s v="BE-10"/>
    <x v="6"/>
    <s v="procurement-policy"/>
    <x v="34"/>
    <x v="1"/>
    <x v="5"/>
    <x v="6"/>
    <n v="7"/>
    <n v="2.5000000000000001E-2"/>
    <x v="0"/>
    <x v="2"/>
    <n v="50"/>
    <x v="2"/>
    <n v="0"/>
    <n v="0"/>
    <m/>
    <n v="1"/>
    <n v="1"/>
    <n v="0"/>
    <x v="1"/>
    <n v="1"/>
    <m/>
    <s v="document"/>
    <n v="50"/>
    <n v="50"/>
  </r>
  <r>
    <s v="BE-10-country-strategy"/>
    <x v="43"/>
    <s v="BE-10"/>
    <x v="0"/>
    <s v="country-strategy"/>
    <x v="35"/>
    <x v="1"/>
    <x v="5"/>
    <x v="6"/>
    <n v="8"/>
    <n v="2.5000000000000001E-2"/>
    <x v="0"/>
    <x v="2"/>
    <n v="0"/>
    <x v="0"/>
    <n v="0"/>
    <n v="0"/>
    <m/>
    <n v="1"/>
    <n v="1"/>
    <n v="0"/>
    <x v="2"/>
    <n v="0"/>
    <m/>
    <s v="document"/>
    <n v="50"/>
    <n v="0"/>
  </r>
  <r>
    <s v="BE-10-foia"/>
    <x v="43"/>
    <s v="BE-10"/>
    <x v="7"/>
    <s v="foia"/>
    <x v="36"/>
    <x v="2"/>
    <x v="6"/>
    <x v="7"/>
    <n v="1"/>
    <n v="3.3300000000000003E-2"/>
    <x v="0"/>
    <x v="5"/>
    <n v="33.33"/>
    <x v="1"/>
    <n v="0"/>
    <n v="0"/>
    <m/>
    <n v="1"/>
    <n v="1"/>
    <n v="0"/>
    <x v="3"/>
    <n v="0"/>
    <n v="33.33"/>
    <m/>
    <n v="0"/>
    <n v="33.33"/>
  </r>
  <r>
    <s v="BE-10-accessibility"/>
    <x v="43"/>
    <s v="BE-10"/>
    <x v="0"/>
    <s v="accessibility"/>
    <x v="37"/>
    <x v="2"/>
    <x v="6"/>
    <x v="7"/>
    <n v="3"/>
    <n v="3.3300000000000003E-2"/>
    <x v="0"/>
    <x v="5"/>
    <n v="0"/>
    <x v="0"/>
    <n v="0"/>
    <n v="0"/>
    <m/>
    <n v="1"/>
    <n v="1"/>
    <n v="0"/>
    <x v="3"/>
    <n v="0"/>
    <n v="0"/>
    <m/>
    <n v="0"/>
    <n v="0"/>
  </r>
  <r>
    <s v="BE-10-implementation-schedules"/>
    <x v="43"/>
    <s v="BE-10"/>
    <x v="224"/>
    <s v="implementation-schedules"/>
    <x v="38"/>
    <x v="2"/>
    <x v="6"/>
    <x v="7"/>
    <n v="2"/>
    <n v="3.3300000000000003E-2"/>
    <x v="0"/>
    <x v="5"/>
    <n v="92"/>
    <x v="180"/>
    <n v="0"/>
    <n v="0"/>
    <m/>
    <n v="1"/>
    <n v="1"/>
    <n v="0"/>
    <x v="3"/>
    <n v="0"/>
    <n v="92"/>
    <m/>
    <n v="0"/>
    <n v="92"/>
  </r>
  <r>
    <s v="CY-1-dates-actual"/>
    <x v="44"/>
    <s v="CY-1"/>
    <x v="0"/>
    <s v="dates-actual"/>
    <x v="0"/>
    <x v="0"/>
    <x v="0"/>
    <x v="0"/>
    <n v="17"/>
    <n v="1.6299999999999999E-2"/>
    <x v="0"/>
    <x v="0"/>
    <n v="0"/>
    <x v="0"/>
    <n v="0"/>
    <n v="0"/>
    <m/>
    <n v="1"/>
    <n v="1"/>
    <n v="0"/>
    <x v="0"/>
    <n v="0"/>
    <m/>
    <m/>
    <n v="0"/>
    <n v="0"/>
  </r>
  <r>
    <s v="CY-1-contact-details"/>
    <x v="44"/>
    <s v="CY-1"/>
    <x v="0"/>
    <s v="contact-details"/>
    <x v="1"/>
    <x v="0"/>
    <x v="0"/>
    <x v="0"/>
    <n v="19"/>
    <n v="1.6299999999999999E-2"/>
    <x v="0"/>
    <x v="0"/>
    <n v="0"/>
    <x v="0"/>
    <n v="0"/>
    <n v="0"/>
    <m/>
    <n v="1"/>
    <n v="1"/>
    <n v="0"/>
    <x v="0"/>
    <n v="0"/>
    <m/>
    <m/>
    <n v="0"/>
    <n v="0"/>
  </r>
  <r>
    <s v="CY-1-current-status"/>
    <x v="44"/>
    <s v="CY-1"/>
    <x v="0"/>
    <s v="current-status"/>
    <x v="2"/>
    <x v="0"/>
    <x v="0"/>
    <x v="0"/>
    <n v="18"/>
    <n v="1.6299999999999999E-2"/>
    <x v="0"/>
    <x v="1"/>
    <n v="0"/>
    <x v="0"/>
    <n v="0"/>
    <n v="0"/>
    <m/>
    <n v="1"/>
    <n v="1"/>
    <n v="0"/>
    <x v="2"/>
    <n v="0"/>
    <m/>
    <s v="website"/>
    <n v="33.33"/>
    <n v="0"/>
  </r>
  <r>
    <s v="CY-1-description"/>
    <x v="44"/>
    <s v="CY-1"/>
    <x v="1"/>
    <s v="description"/>
    <x v="3"/>
    <x v="0"/>
    <x v="0"/>
    <x v="0"/>
    <n v="15"/>
    <n v="1.6299999999999999E-2"/>
    <x v="0"/>
    <x v="1"/>
    <n v="33.33"/>
    <x v="1"/>
    <n v="0"/>
    <n v="0"/>
    <m/>
    <n v="1"/>
    <n v="1"/>
    <n v="0"/>
    <x v="1"/>
    <n v="1"/>
    <m/>
    <s v="website"/>
    <n v="33.33"/>
    <n v="33.33"/>
  </r>
  <r>
    <s v="CY-1-implementer"/>
    <x v="44"/>
    <s v="CY-1"/>
    <x v="0"/>
    <s v="implementer"/>
    <x v="4"/>
    <x v="0"/>
    <x v="0"/>
    <x v="0"/>
    <n v="12"/>
    <n v="1.6299999999999999E-2"/>
    <x v="0"/>
    <x v="0"/>
    <n v="0"/>
    <x v="0"/>
    <n v="0"/>
    <n v="0"/>
    <m/>
    <n v="1"/>
    <n v="1"/>
    <n v="0"/>
    <x v="0"/>
    <n v="0"/>
    <m/>
    <m/>
    <n v="0"/>
    <n v="0"/>
  </r>
  <r>
    <s v="CY-1-dates-planned"/>
    <x v="44"/>
    <s v="CY-1"/>
    <x v="0"/>
    <s v="dates-planned"/>
    <x v="5"/>
    <x v="0"/>
    <x v="0"/>
    <x v="0"/>
    <n v="16"/>
    <n v="1.6299999999999999E-2"/>
    <x v="0"/>
    <x v="0"/>
    <n v="0"/>
    <x v="0"/>
    <n v="0"/>
    <n v="0"/>
    <m/>
    <n v="1"/>
    <n v="1"/>
    <n v="0"/>
    <x v="0"/>
    <n v="0"/>
    <m/>
    <m/>
    <n v="0"/>
    <n v="0"/>
  </r>
  <r>
    <s v="CY-1-title"/>
    <x v="44"/>
    <s v="CY-1"/>
    <x v="1"/>
    <s v="title"/>
    <x v="6"/>
    <x v="0"/>
    <x v="0"/>
    <x v="0"/>
    <n v="14"/>
    <n v="1.6299999999999999E-2"/>
    <x v="0"/>
    <x v="1"/>
    <n v="33.33"/>
    <x v="1"/>
    <n v="0"/>
    <n v="0"/>
    <m/>
    <n v="1"/>
    <n v="1"/>
    <n v="0"/>
    <x v="1"/>
    <n v="1"/>
    <m/>
    <s v="website"/>
    <n v="33.33"/>
    <n v="33.33"/>
  </r>
  <r>
    <s v="CY-1-unique-id"/>
    <x v="44"/>
    <s v="CY-1"/>
    <x v="0"/>
    <s v="unique-id"/>
    <x v="7"/>
    <x v="0"/>
    <x v="0"/>
    <x v="0"/>
    <n v="13"/>
    <n v="1.6299999999999999E-2"/>
    <x v="0"/>
    <x v="0"/>
    <n v="0"/>
    <x v="0"/>
    <n v="0"/>
    <n v="0"/>
    <m/>
    <n v="1"/>
    <n v="1"/>
    <n v="0"/>
    <x v="0"/>
    <n v="0"/>
    <m/>
    <m/>
    <n v="0"/>
    <n v="0"/>
  </r>
  <r>
    <s v="CY-1-aid-type"/>
    <x v="44"/>
    <s v="CY-1"/>
    <x v="0"/>
    <s v="aid-type"/>
    <x v="8"/>
    <x v="0"/>
    <x v="1"/>
    <x v="1"/>
    <n v="22"/>
    <n v="1.8599999999999998E-2"/>
    <x v="0"/>
    <x v="0"/>
    <n v="0"/>
    <x v="0"/>
    <n v="0"/>
    <n v="0"/>
    <m/>
    <n v="1"/>
    <n v="1"/>
    <n v="0"/>
    <x v="0"/>
    <n v="0"/>
    <m/>
    <m/>
    <n v="0"/>
    <n v="0"/>
  </r>
  <r>
    <s v="CY-1-collaboration-type"/>
    <x v="44"/>
    <s v="CY-1"/>
    <x v="8"/>
    <s v="collaboration-type"/>
    <x v="9"/>
    <x v="0"/>
    <x v="1"/>
    <x v="1"/>
    <n v="20"/>
    <n v="1.8599999999999998E-2"/>
    <x v="0"/>
    <x v="1"/>
    <n v="33.33"/>
    <x v="1"/>
    <n v="0"/>
    <n v="0"/>
    <m/>
    <n v="1"/>
    <n v="1"/>
    <n v="0"/>
    <x v="1"/>
    <n v="1"/>
    <m/>
    <s v="website"/>
    <n v="33.33"/>
    <n v="33.33"/>
  </r>
  <r>
    <s v="CY-1-finance-type"/>
    <x v="44"/>
    <s v="CY-1"/>
    <x v="0"/>
    <s v="finance-type"/>
    <x v="10"/>
    <x v="0"/>
    <x v="1"/>
    <x v="1"/>
    <n v="23"/>
    <n v="1.8599999999999998E-2"/>
    <x v="0"/>
    <x v="0"/>
    <n v="0"/>
    <x v="0"/>
    <n v="0"/>
    <n v="0"/>
    <m/>
    <n v="1"/>
    <n v="1"/>
    <n v="0"/>
    <x v="0"/>
    <n v="0"/>
    <m/>
    <m/>
    <n v="0"/>
    <n v="0"/>
  </r>
  <r>
    <s v="CY-1-flow-type"/>
    <x v="44"/>
    <s v="CY-1"/>
    <x v="8"/>
    <s v="flow-type"/>
    <x v="11"/>
    <x v="0"/>
    <x v="1"/>
    <x v="1"/>
    <n v="21"/>
    <n v="1.8599999999999998E-2"/>
    <x v="0"/>
    <x v="1"/>
    <n v="33.33"/>
    <x v="1"/>
    <n v="0"/>
    <n v="0"/>
    <m/>
    <n v="1"/>
    <n v="1"/>
    <n v="0"/>
    <x v="1"/>
    <n v="1"/>
    <m/>
    <s v="website"/>
    <n v="33.33"/>
    <n v="33.33"/>
  </r>
  <r>
    <s v="CY-1-sector"/>
    <x v="44"/>
    <s v="CY-1"/>
    <x v="0"/>
    <s v="sector"/>
    <x v="12"/>
    <x v="0"/>
    <x v="1"/>
    <x v="1"/>
    <n v="24"/>
    <n v="1.8599999999999998E-2"/>
    <x v="0"/>
    <x v="0"/>
    <n v="0"/>
    <x v="0"/>
    <n v="0"/>
    <n v="0"/>
    <m/>
    <n v="1"/>
    <n v="1"/>
    <n v="0"/>
    <x v="0"/>
    <n v="0"/>
    <m/>
    <m/>
    <n v="0"/>
    <n v="0"/>
  </r>
  <r>
    <s v="CY-1-location"/>
    <x v="44"/>
    <s v="CY-1"/>
    <x v="0"/>
    <s v="location"/>
    <x v="13"/>
    <x v="0"/>
    <x v="1"/>
    <x v="1"/>
    <n v="25"/>
    <n v="1.8599999999999998E-2"/>
    <x v="0"/>
    <x v="1"/>
    <n v="0"/>
    <x v="0"/>
    <n v="0"/>
    <n v="0"/>
    <m/>
    <n v="1"/>
    <n v="1"/>
    <n v="0"/>
    <x v="2"/>
    <n v="0"/>
    <m/>
    <s v="website"/>
    <n v="33.33"/>
    <n v="0"/>
  </r>
  <r>
    <s v="CY-1-tied-aid-status"/>
    <x v="44"/>
    <s v="CY-1"/>
    <x v="0"/>
    <s v="tied-aid-status"/>
    <x v="14"/>
    <x v="0"/>
    <x v="1"/>
    <x v="1"/>
    <n v="26"/>
    <n v="1.8599999999999998E-2"/>
    <x v="0"/>
    <x v="0"/>
    <n v="0"/>
    <x v="0"/>
    <n v="0"/>
    <n v="0"/>
    <m/>
    <n v="1"/>
    <n v="1"/>
    <n v="0"/>
    <x v="0"/>
    <n v="0"/>
    <m/>
    <m/>
    <n v="0"/>
    <n v="0"/>
  </r>
  <r>
    <s v="CY-1-expenditure-actual"/>
    <x v="44"/>
    <s v="CY-1"/>
    <x v="0"/>
    <s v="expenditure-actual"/>
    <x v="15"/>
    <x v="0"/>
    <x v="2"/>
    <x v="2"/>
    <n v="35"/>
    <n v="3.2500000000000001E-2"/>
    <x v="0"/>
    <x v="0"/>
    <n v="0"/>
    <x v="0"/>
    <n v="0"/>
    <n v="0"/>
    <m/>
    <n v="1"/>
    <n v="1"/>
    <n v="0"/>
    <x v="0"/>
    <n v="0"/>
    <m/>
    <m/>
    <n v="0"/>
    <n v="0"/>
  </r>
  <r>
    <s v="CY-1-cost-overall"/>
    <x v="44"/>
    <s v="CY-1"/>
    <x v="0"/>
    <s v="cost-overall"/>
    <x v="16"/>
    <x v="0"/>
    <x v="2"/>
    <x v="2"/>
    <n v="33"/>
    <n v="3.2500000000000001E-2"/>
    <x v="0"/>
    <x v="0"/>
    <n v="0"/>
    <x v="0"/>
    <n v="0"/>
    <n v="0"/>
    <m/>
    <n v="1"/>
    <n v="1"/>
    <n v="0"/>
    <x v="0"/>
    <n v="0"/>
    <m/>
    <m/>
    <n v="0"/>
    <n v="0"/>
  </r>
  <r>
    <s v="CY-1-expenditure-planned"/>
    <x v="44"/>
    <s v="CY-1"/>
    <x v="2"/>
    <s v="expenditure-planned"/>
    <x v="17"/>
    <x v="0"/>
    <x v="2"/>
    <x v="2"/>
    <n v="34"/>
    <n v="3.2500000000000001E-2"/>
    <x v="0"/>
    <x v="1"/>
    <n v="33.33"/>
    <x v="1"/>
    <n v="0"/>
    <n v="0"/>
    <m/>
    <n v="1"/>
    <n v="1"/>
    <n v="0"/>
    <x v="1"/>
    <n v="1"/>
    <m/>
    <s v="website"/>
    <n v="33.33"/>
    <n v="33.33"/>
  </r>
  <r>
    <s v="CY-1-budget-identifier"/>
    <x v="44"/>
    <s v="CY-1"/>
    <x v="0"/>
    <s v="budget-identifier"/>
    <x v="18"/>
    <x v="0"/>
    <x v="2"/>
    <x v="2"/>
    <n v="36"/>
    <n v="3.2500000000000001E-2"/>
    <x v="0"/>
    <x v="0"/>
    <n v="0"/>
    <x v="0"/>
    <n v="0"/>
    <n v="0"/>
    <m/>
    <n v="1"/>
    <n v="1"/>
    <n v="0"/>
    <x v="0"/>
    <n v="0"/>
    <m/>
    <m/>
    <n v="0"/>
    <n v="0"/>
  </r>
  <r>
    <s v="CY-1-conditions"/>
    <x v="44"/>
    <s v="CY-1"/>
    <x v="0"/>
    <s v="conditions"/>
    <x v="19"/>
    <x v="0"/>
    <x v="3"/>
    <x v="3"/>
    <n v="39"/>
    <n v="4.3299999999999998E-2"/>
    <x v="0"/>
    <x v="2"/>
    <n v="0"/>
    <x v="0"/>
    <n v="0"/>
    <n v="0"/>
    <m/>
    <n v="1"/>
    <n v="1"/>
    <n v="0"/>
    <x v="0"/>
    <n v="0"/>
    <m/>
    <s v="document"/>
    <n v="50"/>
    <n v="0"/>
  </r>
  <r>
    <s v="CY-1-impact-appraisals"/>
    <x v="44"/>
    <s v="CY-1"/>
    <x v="0"/>
    <s v="impact-appraisals"/>
    <x v="20"/>
    <x v="0"/>
    <x v="3"/>
    <x v="3"/>
    <n v="38"/>
    <n v="4.3299999999999998E-2"/>
    <x v="0"/>
    <x v="2"/>
    <n v="0"/>
    <x v="0"/>
    <n v="0"/>
    <n v="0"/>
    <m/>
    <n v="1"/>
    <n v="1"/>
    <n v="0"/>
    <x v="0"/>
    <n v="0"/>
    <m/>
    <s v="document"/>
    <n v="50"/>
    <n v="0"/>
  </r>
  <r>
    <s v="CY-1-results"/>
    <x v="44"/>
    <s v="CY-1"/>
    <x v="0"/>
    <s v="results"/>
    <x v="21"/>
    <x v="0"/>
    <x v="3"/>
    <x v="3"/>
    <n v="37"/>
    <n v="4.3299999999999998E-2"/>
    <x v="0"/>
    <x v="0"/>
    <n v="0"/>
    <x v="0"/>
    <n v="0"/>
    <n v="0"/>
    <m/>
    <n v="1"/>
    <n v="1"/>
    <n v="0"/>
    <x v="0"/>
    <n v="0"/>
    <m/>
    <m/>
    <n v="0"/>
    <n v="0"/>
  </r>
  <r>
    <s v="CY-1-budget"/>
    <x v="44"/>
    <s v="CY-1"/>
    <x v="0"/>
    <s v="budget"/>
    <x v="22"/>
    <x v="0"/>
    <x v="4"/>
    <x v="4"/>
    <n v="30"/>
    <n v="2.1700000000000001E-2"/>
    <x v="0"/>
    <x v="2"/>
    <n v="0"/>
    <x v="0"/>
    <n v="0"/>
    <n v="0"/>
    <m/>
    <n v="1"/>
    <n v="1"/>
    <n v="0"/>
    <x v="0"/>
    <n v="0"/>
    <m/>
    <s v="document"/>
    <n v="50"/>
    <n v="0"/>
  </r>
  <r>
    <s v="CY-1-contracts"/>
    <x v="44"/>
    <s v="CY-1"/>
    <x v="0"/>
    <s v="contracts"/>
    <x v="23"/>
    <x v="0"/>
    <x v="4"/>
    <x v="4"/>
    <n v="31"/>
    <n v="2.1700000000000001E-2"/>
    <x v="0"/>
    <x v="2"/>
    <n v="0"/>
    <x v="0"/>
    <n v="0"/>
    <n v="0"/>
    <m/>
    <n v="1"/>
    <n v="1"/>
    <n v="0"/>
    <x v="0"/>
    <n v="0"/>
    <m/>
    <s v="document"/>
    <n v="50"/>
    <n v="0"/>
  </r>
  <r>
    <s v="CY-1-evaluations"/>
    <x v="44"/>
    <s v="CY-1"/>
    <x v="0"/>
    <s v="evaluations"/>
    <x v="24"/>
    <x v="0"/>
    <x v="4"/>
    <x v="4"/>
    <n v="28"/>
    <n v="2.1700000000000001E-2"/>
    <x v="0"/>
    <x v="2"/>
    <n v="0"/>
    <x v="0"/>
    <n v="0"/>
    <n v="0"/>
    <m/>
    <n v="1"/>
    <n v="1"/>
    <n v="0"/>
    <x v="0"/>
    <n v="0"/>
    <m/>
    <s v="document"/>
    <n v="50"/>
    <n v="0"/>
  </r>
  <r>
    <s v="CY-1-mou"/>
    <x v="44"/>
    <s v="CY-1"/>
    <x v="0"/>
    <s v="mou"/>
    <x v="25"/>
    <x v="0"/>
    <x v="4"/>
    <x v="4"/>
    <n v="27"/>
    <n v="2.1700000000000001E-2"/>
    <x v="0"/>
    <x v="2"/>
    <n v="0"/>
    <x v="0"/>
    <n v="0"/>
    <n v="0"/>
    <m/>
    <n v="1"/>
    <n v="1"/>
    <n v="0"/>
    <x v="0"/>
    <n v="0"/>
    <m/>
    <s v="document"/>
    <n v="50"/>
    <n v="0"/>
  </r>
  <r>
    <s v="CY-1-objectives"/>
    <x v="44"/>
    <s v="CY-1"/>
    <x v="0"/>
    <s v="objectives"/>
    <x v="26"/>
    <x v="0"/>
    <x v="4"/>
    <x v="4"/>
    <n v="29"/>
    <n v="2.1700000000000001E-2"/>
    <x v="0"/>
    <x v="2"/>
    <n v="0"/>
    <x v="0"/>
    <n v="0"/>
    <n v="0"/>
    <m/>
    <n v="1"/>
    <n v="1"/>
    <n v="0"/>
    <x v="2"/>
    <n v="0"/>
    <m/>
    <s v="document"/>
    <n v="50"/>
    <n v="0"/>
  </r>
  <r>
    <s v="CY-1-tenders"/>
    <x v="44"/>
    <s v="CY-1"/>
    <x v="0"/>
    <s v="tenders"/>
    <x v="27"/>
    <x v="0"/>
    <x v="4"/>
    <x v="4"/>
    <n v="32"/>
    <n v="2.1700000000000001E-2"/>
    <x v="0"/>
    <x v="2"/>
    <n v="0"/>
    <x v="0"/>
    <n v="0"/>
    <n v="0"/>
    <m/>
    <n v="1"/>
    <n v="1"/>
    <n v="0"/>
    <x v="0"/>
    <n v="0"/>
    <m/>
    <s v="document"/>
    <n v="50"/>
    <n v="0"/>
  </r>
  <r>
    <s v="CY-1-audit"/>
    <x v="44"/>
    <s v="CY-1"/>
    <x v="0"/>
    <s v="audit"/>
    <x v="28"/>
    <x v="1"/>
    <x v="2"/>
    <x v="5"/>
    <n v="11"/>
    <n v="4.1700000000000001E-2"/>
    <x v="0"/>
    <x v="2"/>
    <n v="0"/>
    <x v="0"/>
    <n v="0"/>
    <n v="0"/>
    <m/>
    <n v="1"/>
    <n v="1"/>
    <n v="0"/>
    <x v="0"/>
    <n v="0"/>
    <m/>
    <s v="document"/>
    <n v="50"/>
    <n v="0"/>
  </r>
  <r>
    <s v="CY-1-total-budget"/>
    <x v="44"/>
    <s v="CY-1"/>
    <x v="0"/>
    <s v="total-budget"/>
    <x v="29"/>
    <x v="1"/>
    <x v="2"/>
    <x v="5"/>
    <n v="9"/>
    <n v="4.1700000000000001E-2"/>
    <x v="0"/>
    <x v="0"/>
    <n v="0"/>
    <x v="0"/>
    <n v="0"/>
    <n v="0"/>
    <m/>
    <n v="1"/>
    <n v="1"/>
    <n v="0"/>
    <x v="3"/>
    <n v="0"/>
    <n v="0"/>
    <m/>
    <n v="0"/>
    <n v="0"/>
  </r>
  <r>
    <s v="CY-1-disaggregated-budgets"/>
    <x v="44"/>
    <s v="CY-1"/>
    <x v="0"/>
    <s v="disaggregated-budgets"/>
    <x v="30"/>
    <x v="1"/>
    <x v="2"/>
    <x v="5"/>
    <n v="10"/>
    <n v="4.1700000000000001E-2"/>
    <x v="0"/>
    <x v="0"/>
    <n v="0"/>
    <x v="0"/>
    <n v="0"/>
    <n v="0"/>
    <m/>
    <n v="1"/>
    <n v="1"/>
    <n v="0"/>
    <x v="3"/>
    <n v="0"/>
    <n v="0"/>
    <m/>
    <n v="0"/>
    <n v="0"/>
  </r>
  <r>
    <s v="CY-1-strategy"/>
    <x v="44"/>
    <s v="CY-1"/>
    <x v="6"/>
    <s v="strategy"/>
    <x v="31"/>
    <x v="1"/>
    <x v="5"/>
    <x v="6"/>
    <n v="4"/>
    <n v="2.5000000000000001E-2"/>
    <x v="0"/>
    <x v="2"/>
    <n v="50"/>
    <x v="2"/>
    <n v="0"/>
    <n v="0"/>
    <m/>
    <n v="1"/>
    <n v="1"/>
    <n v="0"/>
    <x v="1"/>
    <n v="1"/>
    <m/>
    <s v="document"/>
    <n v="50"/>
    <n v="50"/>
  </r>
  <r>
    <s v="CY-1-annual-report"/>
    <x v="44"/>
    <s v="CY-1"/>
    <x v="0"/>
    <s v="annual-report"/>
    <x v="32"/>
    <x v="1"/>
    <x v="5"/>
    <x v="6"/>
    <n v="5"/>
    <n v="2.5000000000000001E-2"/>
    <x v="0"/>
    <x v="2"/>
    <n v="0"/>
    <x v="0"/>
    <n v="0"/>
    <n v="0"/>
    <m/>
    <n v="1"/>
    <n v="1"/>
    <n v="0"/>
    <x v="0"/>
    <n v="0"/>
    <m/>
    <s v="document"/>
    <n v="50"/>
    <n v="0"/>
  </r>
  <r>
    <s v="CY-1-allocation"/>
    <x v="44"/>
    <s v="CY-1"/>
    <x v="6"/>
    <s v="allocation"/>
    <x v="33"/>
    <x v="1"/>
    <x v="5"/>
    <x v="6"/>
    <n v="6"/>
    <n v="2.5000000000000001E-2"/>
    <x v="0"/>
    <x v="2"/>
    <n v="50"/>
    <x v="2"/>
    <n v="0"/>
    <n v="0"/>
    <m/>
    <n v="1"/>
    <n v="1"/>
    <n v="0"/>
    <x v="1"/>
    <n v="1"/>
    <m/>
    <s v="document"/>
    <n v="50"/>
    <n v="50"/>
  </r>
  <r>
    <s v="CY-1-procurement-policy"/>
    <x v="44"/>
    <s v="CY-1"/>
    <x v="0"/>
    <s v="procurement-policy"/>
    <x v="34"/>
    <x v="1"/>
    <x v="5"/>
    <x v="6"/>
    <n v="7"/>
    <n v="2.5000000000000001E-2"/>
    <x v="0"/>
    <x v="2"/>
    <n v="0"/>
    <x v="0"/>
    <n v="0"/>
    <n v="0"/>
    <m/>
    <n v="1"/>
    <n v="1"/>
    <n v="0"/>
    <x v="0"/>
    <n v="0"/>
    <m/>
    <s v="document"/>
    <n v="50"/>
    <n v="0"/>
  </r>
  <r>
    <s v="CY-1-country-strategy"/>
    <x v="44"/>
    <s v="CY-1"/>
    <x v="0"/>
    <s v="country-strategy"/>
    <x v="35"/>
    <x v="1"/>
    <x v="5"/>
    <x v="6"/>
    <n v="8"/>
    <n v="2.5000000000000001E-2"/>
    <x v="0"/>
    <x v="2"/>
    <n v="0"/>
    <x v="0"/>
    <n v="0"/>
    <n v="0"/>
    <m/>
    <n v="1"/>
    <n v="1"/>
    <n v="0"/>
    <x v="0"/>
    <n v="0"/>
    <m/>
    <s v="document"/>
    <n v="50"/>
    <n v="0"/>
  </r>
  <r>
    <s v="CY-1-foia"/>
    <x v="44"/>
    <s v="CY-1"/>
    <x v="0"/>
    <s v="foia"/>
    <x v="36"/>
    <x v="2"/>
    <x v="6"/>
    <x v="7"/>
    <n v="1"/>
    <n v="3.3300000000000003E-2"/>
    <x v="0"/>
    <x v="5"/>
    <n v="0"/>
    <x v="0"/>
    <n v="0"/>
    <n v="0"/>
    <m/>
    <n v="1"/>
    <n v="1"/>
    <n v="0"/>
    <x v="3"/>
    <n v="0"/>
    <n v="0"/>
    <m/>
    <n v="0"/>
    <n v="0"/>
  </r>
  <r>
    <s v="CY-1-accessibility"/>
    <x v="44"/>
    <s v="CY-1"/>
    <x v="0"/>
    <s v="accessibility"/>
    <x v="37"/>
    <x v="2"/>
    <x v="6"/>
    <x v="7"/>
    <n v="3"/>
    <n v="3.3300000000000003E-2"/>
    <x v="0"/>
    <x v="5"/>
    <n v="0"/>
    <x v="0"/>
    <n v="0"/>
    <n v="0"/>
    <m/>
    <n v="1"/>
    <n v="1"/>
    <n v="0"/>
    <x v="3"/>
    <n v="0"/>
    <n v="0"/>
    <m/>
    <n v="0"/>
    <n v="0"/>
  </r>
  <r>
    <s v="CY-1-implementation-schedules"/>
    <x v="44"/>
    <s v="CY-1"/>
    <x v="0"/>
    <s v="implementation-schedules"/>
    <x v="38"/>
    <x v="2"/>
    <x v="6"/>
    <x v="7"/>
    <n v="2"/>
    <n v="3.3300000000000003E-2"/>
    <x v="0"/>
    <x v="5"/>
    <n v="0"/>
    <x v="0"/>
    <n v="0"/>
    <n v="0"/>
    <m/>
    <n v="1"/>
    <n v="1"/>
    <n v="0"/>
    <x v="3"/>
    <n v="0"/>
    <n v="0"/>
    <m/>
    <n v="0"/>
    <n v="0"/>
  </r>
  <r>
    <s v="LT-1-dates-actual"/>
    <x v="45"/>
    <s v="LT-1"/>
    <x v="0"/>
    <s v="dates-actual"/>
    <x v="0"/>
    <x v="0"/>
    <x v="0"/>
    <x v="0"/>
    <n v="17"/>
    <n v="1.6299999999999999E-2"/>
    <x v="0"/>
    <x v="0"/>
    <n v="0"/>
    <x v="0"/>
    <n v="0"/>
    <n v="0"/>
    <m/>
    <n v="1"/>
    <n v="1"/>
    <n v="0"/>
    <x v="0"/>
    <n v="0"/>
    <m/>
    <m/>
    <n v="0"/>
    <n v="0"/>
  </r>
  <r>
    <s v="LT-1-contact-details"/>
    <x v="45"/>
    <s v="LT-1"/>
    <x v="1"/>
    <s v="contact-details"/>
    <x v="1"/>
    <x v="0"/>
    <x v="0"/>
    <x v="0"/>
    <n v="19"/>
    <n v="1.6299999999999999E-2"/>
    <x v="0"/>
    <x v="1"/>
    <n v="33.33"/>
    <x v="1"/>
    <n v="0"/>
    <n v="0"/>
    <m/>
    <n v="1"/>
    <n v="1"/>
    <n v="0"/>
    <x v="1"/>
    <n v="1"/>
    <m/>
    <s v="website"/>
    <n v="33.33"/>
    <n v="33.33"/>
  </r>
  <r>
    <s v="LT-1-current-status"/>
    <x v="45"/>
    <s v="LT-1"/>
    <x v="0"/>
    <s v="current-status"/>
    <x v="2"/>
    <x v="0"/>
    <x v="0"/>
    <x v="0"/>
    <n v="18"/>
    <n v="1.6299999999999999E-2"/>
    <x v="0"/>
    <x v="0"/>
    <n v="0"/>
    <x v="0"/>
    <n v="0"/>
    <n v="0"/>
    <m/>
    <n v="1"/>
    <n v="1"/>
    <n v="0"/>
    <x v="0"/>
    <n v="0"/>
    <m/>
    <m/>
    <n v="0"/>
    <n v="0"/>
  </r>
  <r>
    <s v="LT-1-description"/>
    <x v="45"/>
    <s v="LT-1"/>
    <x v="0"/>
    <s v="description"/>
    <x v="3"/>
    <x v="0"/>
    <x v="0"/>
    <x v="0"/>
    <n v="15"/>
    <n v="1.6299999999999999E-2"/>
    <x v="0"/>
    <x v="0"/>
    <n v="0"/>
    <x v="0"/>
    <n v="0"/>
    <n v="0"/>
    <m/>
    <n v="1"/>
    <n v="1"/>
    <n v="0"/>
    <x v="0"/>
    <n v="0"/>
    <m/>
    <m/>
    <n v="0"/>
    <n v="0"/>
  </r>
  <r>
    <s v="LT-1-implementer"/>
    <x v="45"/>
    <s v="LT-1"/>
    <x v="0"/>
    <s v="implementer"/>
    <x v="4"/>
    <x v="0"/>
    <x v="0"/>
    <x v="0"/>
    <n v="12"/>
    <n v="1.6299999999999999E-2"/>
    <x v="0"/>
    <x v="1"/>
    <n v="0"/>
    <x v="0"/>
    <n v="0"/>
    <n v="0"/>
    <m/>
    <n v="1"/>
    <n v="1"/>
    <n v="0"/>
    <x v="2"/>
    <n v="0"/>
    <m/>
    <s v="website"/>
    <n v="33.33"/>
    <n v="0"/>
  </r>
  <r>
    <s v="LT-1-dates-planned"/>
    <x v="45"/>
    <s v="LT-1"/>
    <x v="0"/>
    <s v="dates-planned"/>
    <x v="5"/>
    <x v="0"/>
    <x v="0"/>
    <x v="0"/>
    <n v="16"/>
    <n v="1.6299999999999999E-2"/>
    <x v="0"/>
    <x v="0"/>
    <n v="0"/>
    <x v="0"/>
    <n v="0"/>
    <n v="0"/>
    <m/>
    <n v="1"/>
    <n v="1"/>
    <n v="0"/>
    <x v="0"/>
    <n v="0"/>
    <m/>
    <m/>
    <n v="0"/>
    <n v="0"/>
  </r>
  <r>
    <s v="LT-1-title"/>
    <x v="45"/>
    <s v="LT-1"/>
    <x v="0"/>
    <s v="title"/>
    <x v="6"/>
    <x v="0"/>
    <x v="0"/>
    <x v="0"/>
    <n v="14"/>
    <n v="1.6299999999999999E-2"/>
    <x v="0"/>
    <x v="1"/>
    <n v="0"/>
    <x v="0"/>
    <n v="0"/>
    <n v="0"/>
    <m/>
    <n v="1"/>
    <n v="1"/>
    <n v="0"/>
    <x v="2"/>
    <n v="0"/>
    <m/>
    <s v="website"/>
    <n v="33.33"/>
    <n v="0"/>
  </r>
  <r>
    <s v="LT-1-unique-id"/>
    <x v="45"/>
    <s v="LT-1"/>
    <x v="0"/>
    <s v="unique-id"/>
    <x v="7"/>
    <x v="0"/>
    <x v="0"/>
    <x v="0"/>
    <n v="13"/>
    <n v="1.6299999999999999E-2"/>
    <x v="0"/>
    <x v="0"/>
    <n v="0"/>
    <x v="0"/>
    <n v="0"/>
    <n v="0"/>
    <m/>
    <n v="1"/>
    <n v="1"/>
    <n v="0"/>
    <x v="0"/>
    <n v="0"/>
    <m/>
    <m/>
    <n v="0"/>
    <n v="0"/>
  </r>
  <r>
    <s v="LT-1-aid-type"/>
    <x v="45"/>
    <s v="LT-1"/>
    <x v="0"/>
    <s v="aid-type"/>
    <x v="8"/>
    <x v="0"/>
    <x v="1"/>
    <x v="1"/>
    <n v="22"/>
    <n v="1.8599999999999998E-2"/>
    <x v="0"/>
    <x v="0"/>
    <n v="0"/>
    <x v="0"/>
    <n v="0"/>
    <n v="0"/>
    <m/>
    <n v="1"/>
    <n v="1"/>
    <n v="0"/>
    <x v="0"/>
    <n v="0"/>
    <m/>
    <m/>
    <n v="0"/>
    <n v="0"/>
  </r>
  <r>
    <s v="LT-1-collaboration-type"/>
    <x v="45"/>
    <s v="LT-1"/>
    <x v="0"/>
    <s v="collaboration-type"/>
    <x v="9"/>
    <x v="0"/>
    <x v="1"/>
    <x v="1"/>
    <n v="20"/>
    <n v="1.8599999999999998E-2"/>
    <x v="0"/>
    <x v="0"/>
    <n v="0"/>
    <x v="0"/>
    <n v="0"/>
    <n v="0"/>
    <m/>
    <n v="1"/>
    <n v="1"/>
    <n v="0"/>
    <x v="0"/>
    <n v="0"/>
    <m/>
    <m/>
    <n v="0"/>
    <n v="0"/>
  </r>
  <r>
    <s v="LT-1-finance-type"/>
    <x v="45"/>
    <s v="LT-1"/>
    <x v="0"/>
    <s v="finance-type"/>
    <x v="10"/>
    <x v="0"/>
    <x v="1"/>
    <x v="1"/>
    <n v="23"/>
    <n v="1.8599999999999998E-2"/>
    <x v="0"/>
    <x v="0"/>
    <n v="0"/>
    <x v="0"/>
    <n v="0"/>
    <n v="0"/>
    <m/>
    <n v="1"/>
    <n v="1"/>
    <n v="0"/>
    <x v="0"/>
    <n v="0"/>
    <m/>
    <m/>
    <n v="0"/>
    <n v="0"/>
  </r>
  <r>
    <s v="LT-1-flow-type"/>
    <x v="45"/>
    <s v="LT-1"/>
    <x v="0"/>
    <s v="flow-type"/>
    <x v="11"/>
    <x v="0"/>
    <x v="1"/>
    <x v="1"/>
    <n v="21"/>
    <n v="1.8599999999999998E-2"/>
    <x v="0"/>
    <x v="0"/>
    <n v="0"/>
    <x v="0"/>
    <n v="0"/>
    <n v="0"/>
    <m/>
    <n v="1"/>
    <n v="1"/>
    <n v="0"/>
    <x v="0"/>
    <n v="0"/>
    <m/>
    <m/>
    <n v="0"/>
    <n v="0"/>
  </r>
  <r>
    <s v="LT-1-sector"/>
    <x v="45"/>
    <s v="LT-1"/>
    <x v="0"/>
    <s v="sector"/>
    <x v="12"/>
    <x v="0"/>
    <x v="1"/>
    <x v="1"/>
    <n v="24"/>
    <n v="1.8599999999999998E-2"/>
    <x v="0"/>
    <x v="1"/>
    <n v="0"/>
    <x v="0"/>
    <n v="0"/>
    <n v="0"/>
    <m/>
    <n v="1"/>
    <n v="1"/>
    <n v="0"/>
    <x v="2"/>
    <n v="0"/>
    <m/>
    <s v="website"/>
    <n v="33.33"/>
    <n v="0"/>
  </r>
  <r>
    <s v="LT-1-location"/>
    <x v="45"/>
    <s v="LT-1"/>
    <x v="0"/>
    <s v="location"/>
    <x v="13"/>
    <x v="0"/>
    <x v="1"/>
    <x v="1"/>
    <n v="25"/>
    <n v="1.8599999999999998E-2"/>
    <x v="0"/>
    <x v="1"/>
    <n v="0"/>
    <x v="0"/>
    <n v="0"/>
    <n v="0"/>
    <m/>
    <n v="1"/>
    <n v="1"/>
    <n v="0"/>
    <x v="2"/>
    <n v="0"/>
    <m/>
    <s v="website"/>
    <n v="33.33"/>
    <n v="0"/>
  </r>
  <r>
    <s v="LT-1-tied-aid-status"/>
    <x v="45"/>
    <s v="LT-1"/>
    <x v="0"/>
    <s v="tied-aid-status"/>
    <x v="14"/>
    <x v="0"/>
    <x v="1"/>
    <x v="1"/>
    <n v="26"/>
    <n v="1.8599999999999998E-2"/>
    <x v="0"/>
    <x v="0"/>
    <n v="0"/>
    <x v="0"/>
    <n v="0"/>
    <n v="0"/>
    <m/>
    <n v="1"/>
    <n v="1"/>
    <n v="0"/>
    <x v="0"/>
    <n v="0"/>
    <m/>
    <m/>
    <n v="0"/>
    <n v="0"/>
  </r>
  <r>
    <s v="LT-1-expenditure-actual"/>
    <x v="45"/>
    <s v="LT-1"/>
    <x v="0"/>
    <s v="expenditure-actual"/>
    <x v="15"/>
    <x v="0"/>
    <x v="2"/>
    <x v="2"/>
    <n v="35"/>
    <n v="3.2500000000000001E-2"/>
    <x v="0"/>
    <x v="0"/>
    <n v="0"/>
    <x v="0"/>
    <n v="0"/>
    <n v="0"/>
    <m/>
    <n v="1"/>
    <n v="1"/>
    <n v="0"/>
    <x v="0"/>
    <n v="0"/>
    <m/>
    <m/>
    <n v="0"/>
    <n v="0"/>
  </r>
  <r>
    <s v="LT-1-cost-overall"/>
    <x v="45"/>
    <s v="LT-1"/>
    <x v="0"/>
    <s v="cost-overall"/>
    <x v="16"/>
    <x v="0"/>
    <x v="2"/>
    <x v="2"/>
    <n v="33"/>
    <n v="3.2500000000000001E-2"/>
    <x v="0"/>
    <x v="0"/>
    <n v="0"/>
    <x v="0"/>
    <n v="0"/>
    <n v="0"/>
    <m/>
    <n v="1"/>
    <n v="1"/>
    <n v="0"/>
    <x v="0"/>
    <n v="0"/>
    <m/>
    <m/>
    <n v="0"/>
    <n v="0"/>
  </r>
  <r>
    <s v="LT-1-expenditure-planned"/>
    <x v="45"/>
    <s v="LT-1"/>
    <x v="0"/>
    <s v="expenditure-planned"/>
    <x v="17"/>
    <x v="0"/>
    <x v="2"/>
    <x v="2"/>
    <n v="34"/>
    <n v="3.2500000000000001E-2"/>
    <x v="0"/>
    <x v="0"/>
    <n v="0"/>
    <x v="0"/>
    <n v="0"/>
    <n v="0"/>
    <m/>
    <n v="1"/>
    <n v="1"/>
    <n v="0"/>
    <x v="0"/>
    <n v="0"/>
    <m/>
    <m/>
    <n v="0"/>
    <n v="0"/>
  </r>
  <r>
    <s v="LT-1-budget-identifier"/>
    <x v="45"/>
    <s v="LT-1"/>
    <x v="0"/>
    <s v="budget-identifier"/>
    <x v="18"/>
    <x v="0"/>
    <x v="2"/>
    <x v="2"/>
    <n v="36"/>
    <n v="3.2500000000000001E-2"/>
    <x v="0"/>
    <x v="0"/>
    <n v="0"/>
    <x v="0"/>
    <n v="0"/>
    <n v="0"/>
    <m/>
    <n v="1"/>
    <n v="1"/>
    <n v="0"/>
    <x v="0"/>
    <n v="0"/>
    <m/>
    <m/>
    <n v="0"/>
    <n v="0"/>
  </r>
  <r>
    <s v="LT-1-conditions"/>
    <x v="45"/>
    <s v="LT-1"/>
    <x v="0"/>
    <s v="conditions"/>
    <x v="19"/>
    <x v="0"/>
    <x v="3"/>
    <x v="3"/>
    <n v="39"/>
    <n v="4.3299999999999998E-2"/>
    <x v="0"/>
    <x v="2"/>
    <n v="0"/>
    <x v="0"/>
    <n v="0"/>
    <n v="0"/>
    <m/>
    <n v="1"/>
    <n v="1"/>
    <n v="0"/>
    <x v="0"/>
    <n v="0"/>
    <m/>
    <s v="document"/>
    <n v="50"/>
    <n v="0"/>
  </r>
  <r>
    <s v="LT-1-impact-appraisals"/>
    <x v="45"/>
    <s v="LT-1"/>
    <x v="0"/>
    <s v="impact-appraisals"/>
    <x v="20"/>
    <x v="0"/>
    <x v="3"/>
    <x v="3"/>
    <n v="38"/>
    <n v="4.3299999999999998E-2"/>
    <x v="0"/>
    <x v="2"/>
    <n v="0"/>
    <x v="0"/>
    <n v="0"/>
    <n v="0"/>
    <m/>
    <n v="1"/>
    <n v="1"/>
    <n v="0"/>
    <x v="0"/>
    <n v="0"/>
    <m/>
    <s v="document"/>
    <n v="50"/>
    <n v="0"/>
  </r>
  <r>
    <s v="LT-1-results"/>
    <x v="45"/>
    <s v="LT-1"/>
    <x v="0"/>
    <s v="results"/>
    <x v="21"/>
    <x v="0"/>
    <x v="3"/>
    <x v="3"/>
    <n v="37"/>
    <n v="4.3299999999999998E-2"/>
    <x v="0"/>
    <x v="3"/>
    <n v="0"/>
    <x v="0"/>
    <n v="0"/>
    <n v="0"/>
    <m/>
    <n v="1"/>
    <n v="1"/>
    <n v="0"/>
    <x v="2"/>
    <n v="0"/>
    <m/>
    <s v="pdf"/>
    <n v="16.664999999999999"/>
    <n v="0"/>
  </r>
  <r>
    <s v="LT-1-budget"/>
    <x v="45"/>
    <s v="LT-1"/>
    <x v="0"/>
    <s v="budget"/>
    <x v="22"/>
    <x v="0"/>
    <x v="4"/>
    <x v="4"/>
    <n v="30"/>
    <n v="2.1700000000000001E-2"/>
    <x v="0"/>
    <x v="2"/>
    <n v="0"/>
    <x v="0"/>
    <n v="0"/>
    <n v="0"/>
    <m/>
    <n v="1"/>
    <n v="1"/>
    <n v="0"/>
    <x v="0"/>
    <n v="0"/>
    <m/>
    <s v="document"/>
    <n v="50"/>
    <n v="0"/>
  </r>
  <r>
    <s v="LT-1-contracts"/>
    <x v="45"/>
    <s v="LT-1"/>
    <x v="0"/>
    <s v="contracts"/>
    <x v="23"/>
    <x v="0"/>
    <x v="4"/>
    <x v="4"/>
    <n v="31"/>
    <n v="2.1700000000000001E-2"/>
    <x v="0"/>
    <x v="2"/>
    <n v="0"/>
    <x v="0"/>
    <n v="0"/>
    <n v="0"/>
    <m/>
    <n v="1"/>
    <n v="1"/>
    <n v="0"/>
    <x v="0"/>
    <n v="0"/>
    <m/>
    <s v="document"/>
    <n v="50"/>
    <n v="0"/>
  </r>
  <r>
    <s v="LT-1-evaluations"/>
    <x v="45"/>
    <s v="LT-1"/>
    <x v="0"/>
    <s v="evaluations"/>
    <x v="24"/>
    <x v="0"/>
    <x v="4"/>
    <x v="4"/>
    <n v="28"/>
    <n v="2.1700000000000001E-2"/>
    <x v="0"/>
    <x v="2"/>
    <n v="0"/>
    <x v="0"/>
    <n v="0"/>
    <n v="0"/>
    <m/>
    <n v="1"/>
    <n v="1"/>
    <n v="0"/>
    <x v="0"/>
    <n v="0"/>
    <m/>
    <s v="document"/>
    <n v="50"/>
    <n v="0"/>
  </r>
  <r>
    <s v="LT-1-mou"/>
    <x v="45"/>
    <s v="LT-1"/>
    <x v="0"/>
    <s v="mou"/>
    <x v="25"/>
    <x v="0"/>
    <x v="4"/>
    <x v="4"/>
    <n v="27"/>
    <n v="2.1700000000000001E-2"/>
    <x v="0"/>
    <x v="2"/>
    <n v="0"/>
    <x v="0"/>
    <n v="0"/>
    <n v="0"/>
    <m/>
    <n v="1"/>
    <n v="1"/>
    <n v="0"/>
    <x v="0"/>
    <n v="0"/>
    <m/>
    <s v="document"/>
    <n v="50"/>
    <n v="0"/>
  </r>
  <r>
    <s v="LT-1-objectives"/>
    <x v="45"/>
    <s v="LT-1"/>
    <x v="0"/>
    <s v="objectives"/>
    <x v="26"/>
    <x v="0"/>
    <x v="4"/>
    <x v="4"/>
    <n v="29"/>
    <n v="2.1700000000000001E-2"/>
    <x v="0"/>
    <x v="2"/>
    <n v="0"/>
    <x v="0"/>
    <n v="0"/>
    <n v="0"/>
    <m/>
    <n v="1"/>
    <n v="1"/>
    <n v="0"/>
    <x v="0"/>
    <n v="0"/>
    <m/>
    <s v="document"/>
    <n v="50"/>
    <n v="0"/>
  </r>
  <r>
    <s v="LT-1-tenders"/>
    <x v="45"/>
    <s v="LT-1"/>
    <x v="0"/>
    <s v="tenders"/>
    <x v="27"/>
    <x v="0"/>
    <x v="4"/>
    <x v="4"/>
    <n v="32"/>
    <n v="2.1700000000000001E-2"/>
    <x v="0"/>
    <x v="2"/>
    <n v="0"/>
    <x v="0"/>
    <n v="0"/>
    <n v="0"/>
    <m/>
    <n v="1"/>
    <n v="1"/>
    <n v="0"/>
    <x v="2"/>
    <n v="0"/>
    <m/>
    <s v="document"/>
    <n v="50"/>
    <n v="0"/>
  </r>
  <r>
    <s v="LT-1-audit"/>
    <x v="45"/>
    <s v="LT-1"/>
    <x v="0"/>
    <s v="audit"/>
    <x v="28"/>
    <x v="1"/>
    <x v="2"/>
    <x v="5"/>
    <n v="11"/>
    <n v="4.1700000000000001E-2"/>
    <x v="0"/>
    <x v="2"/>
    <n v="0"/>
    <x v="0"/>
    <n v="0"/>
    <n v="0"/>
    <m/>
    <n v="1"/>
    <n v="1"/>
    <n v="0"/>
    <x v="2"/>
    <n v="0"/>
    <m/>
    <s v="document"/>
    <n v="50"/>
    <n v="0"/>
  </r>
  <r>
    <s v="LT-1-total-budget"/>
    <x v="45"/>
    <s v="LT-1"/>
    <x v="0"/>
    <s v="total-budget"/>
    <x v="29"/>
    <x v="1"/>
    <x v="2"/>
    <x v="5"/>
    <n v="9"/>
    <n v="4.1700000000000001E-2"/>
    <x v="0"/>
    <x v="0"/>
    <n v="0"/>
    <x v="0"/>
    <n v="0"/>
    <n v="0"/>
    <m/>
    <n v="1"/>
    <n v="1"/>
    <n v="0"/>
    <x v="3"/>
    <n v="0"/>
    <n v="0"/>
    <m/>
    <n v="0"/>
    <n v="0"/>
  </r>
  <r>
    <s v="LT-1-disaggregated-budgets"/>
    <x v="45"/>
    <s v="LT-1"/>
    <x v="0"/>
    <s v="disaggregated-budgets"/>
    <x v="30"/>
    <x v="1"/>
    <x v="2"/>
    <x v="5"/>
    <n v="10"/>
    <n v="4.1700000000000001E-2"/>
    <x v="0"/>
    <x v="0"/>
    <n v="0"/>
    <x v="0"/>
    <n v="0"/>
    <n v="0"/>
    <m/>
    <n v="1"/>
    <n v="1"/>
    <n v="0"/>
    <x v="3"/>
    <n v="0"/>
    <n v="0"/>
    <m/>
    <n v="0"/>
    <n v="0"/>
  </r>
  <r>
    <s v="LT-1-strategy"/>
    <x v="45"/>
    <s v="LT-1"/>
    <x v="6"/>
    <s v="strategy"/>
    <x v="31"/>
    <x v="1"/>
    <x v="5"/>
    <x v="6"/>
    <n v="4"/>
    <n v="2.5000000000000001E-2"/>
    <x v="0"/>
    <x v="2"/>
    <n v="50"/>
    <x v="2"/>
    <n v="0"/>
    <n v="0"/>
    <m/>
    <n v="1"/>
    <n v="1"/>
    <n v="0"/>
    <x v="1"/>
    <n v="1"/>
    <m/>
    <s v="document"/>
    <n v="50"/>
    <n v="50"/>
  </r>
  <r>
    <s v="LT-1-annual-report"/>
    <x v="45"/>
    <s v="LT-1"/>
    <x v="6"/>
    <s v="annual-report"/>
    <x v="32"/>
    <x v="1"/>
    <x v="5"/>
    <x v="6"/>
    <n v="5"/>
    <n v="2.5000000000000001E-2"/>
    <x v="0"/>
    <x v="2"/>
    <n v="50"/>
    <x v="2"/>
    <n v="0"/>
    <n v="0"/>
    <m/>
    <n v="1"/>
    <n v="1"/>
    <n v="0"/>
    <x v="1"/>
    <n v="1"/>
    <m/>
    <s v="document"/>
    <n v="50"/>
    <n v="50"/>
  </r>
  <r>
    <s v="LT-1-allocation"/>
    <x v="45"/>
    <s v="LT-1"/>
    <x v="6"/>
    <s v="allocation"/>
    <x v="33"/>
    <x v="1"/>
    <x v="5"/>
    <x v="6"/>
    <n v="6"/>
    <n v="2.5000000000000001E-2"/>
    <x v="0"/>
    <x v="2"/>
    <n v="50"/>
    <x v="2"/>
    <n v="0"/>
    <n v="0"/>
    <m/>
    <n v="1"/>
    <n v="1"/>
    <n v="0"/>
    <x v="1"/>
    <n v="1"/>
    <m/>
    <s v="document"/>
    <n v="50"/>
    <n v="50"/>
  </r>
  <r>
    <s v="LT-1-procurement-policy"/>
    <x v="45"/>
    <s v="LT-1"/>
    <x v="0"/>
    <s v="procurement-policy"/>
    <x v="34"/>
    <x v="1"/>
    <x v="5"/>
    <x v="6"/>
    <n v="7"/>
    <n v="2.5000000000000001E-2"/>
    <x v="0"/>
    <x v="2"/>
    <n v="0"/>
    <x v="0"/>
    <n v="0"/>
    <n v="0"/>
    <m/>
    <n v="1"/>
    <n v="1"/>
    <n v="0"/>
    <x v="2"/>
    <n v="0"/>
    <m/>
    <s v="document"/>
    <n v="50"/>
    <n v="0"/>
  </r>
  <r>
    <s v="LT-1-country-strategy"/>
    <x v="45"/>
    <s v="LT-1"/>
    <x v="0"/>
    <s v="country-strategy"/>
    <x v="35"/>
    <x v="1"/>
    <x v="5"/>
    <x v="6"/>
    <n v="8"/>
    <n v="2.5000000000000001E-2"/>
    <x v="0"/>
    <x v="2"/>
    <n v="0"/>
    <x v="0"/>
    <n v="0"/>
    <n v="0"/>
    <m/>
    <n v="1"/>
    <n v="1"/>
    <n v="0"/>
    <x v="0"/>
    <n v="0"/>
    <m/>
    <s v="document"/>
    <n v="50"/>
    <n v="0"/>
  </r>
  <r>
    <s v="LT-1-foia"/>
    <x v="45"/>
    <s v="LT-1"/>
    <x v="15"/>
    <s v="foia"/>
    <x v="36"/>
    <x v="2"/>
    <x v="6"/>
    <x v="7"/>
    <n v="1"/>
    <n v="3.3300000000000003E-2"/>
    <x v="0"/>
    <x v="5"/>
    <n v="66.66"/>
    <x v="6"/>
    <n v="0"/>
    <n v="0"/>
    <m/>
    <n v="1"/>
    <n v="1"/>
    <n v="0"/>
    <x v="3"/>
    <n v="0"/>
    <n v="66.66"/>
    <m/>
    <n v="0"/>
    <n v="66.66"/>
  </r>
  <r>
    <s v="LT-1-accessibility"/>
    <x v="45"/>
    <s v="LT-1"/>
    <x v="0"/>
    <s v="accessibility"/>
    <x v="37"/>
    <x v="2"/>
    <x v="6"/>
    <x v="7"/>
    <n v="3"/>
    <n v="3.3300000000000003E-2"/>
    <x v="0"/>
    <x v="5"/>
    <n v="0"/>
    <x v="0"/>
    <n v="0"/>
    <n v="0"/>
    <m/>
    <n v="1"/>
    <n v="1"/>
    <n v="0"/>
    <x v="3"/>
    <n v="0"/>
    <n v="0"/>
    <m/>
    <n v="0"/>
    <n v="0"/>
  </r>
  <r>
    <s v="LT-1-implementation-schedules"/>
    <x v="45"/>
    <s v="LT-1"/>
    <x v="0"/>
    <s v="implementation-schedules"/>
    <x v="38"/>
    <x v="2"/>
    <x v="6"/>
    <x v="7"/>
    <n v="2"/>
    <n v="3.3300000000000003E-2"/>
    <x v="0"/>
    <x v="5"/>
    <n v="0"/>
    <x v="0"/>
    <n v="0"/>
    <n v="0"/>
    <m/>
    <n v="1"/>
    <n v="1"/>
    <n v="0"/>
    <x v="3"/>
    <n v="0"/>
    <n v="0"/>
    <m/>
    <n v="0"/>
    <n v="0"/>
  </r>
  <r>
    <s v="DE-1-audit"/>
    <x v="46"/>
    <s v="DE-1"/>
    <x v="42"/>
    <s v="audit"/>
    <x v="28"/>
    <x v="1"/>
    <x v="2"/>
    <x v="5"/>
    <n v="11"/>
    <n v="4.1700000000000001E-2"/>
    <x v="1"/>
    <x v="6"/>
    <n v="50"/>
    <x v="5"/>
    <n v="100"/>
    <n v="50"/>
    <s v="quarterly"/>
    <n v="0.9"/>
    <n v="1"/>
    <n v="50"/>
    <x v="3"/>
    <m/>
    <m/>
    <m/>
    <m/>
    <n v="0"/>
  </r>
  <r>
    <s v="DE-1-strategy"/>
    <x v="46"/>
    <s v="DE-1"/>
    <x v="43"/>
    <s v="strategy"/>
    <x v="31"/>
    <x v="1"/>
    <x v="5"/>
    <x v="6"/>
    <n v="4"/>
    <n v="2.5000000000000001E-2"/>
    <x v="1"/>
    <x v="6"/>
    <n v="50"/>
    <x v="5"/>
    <n v="100"/>
    <n v="50"/>
    <s v="quarterly"/>
    <n v="0.9"/>
    <n v="1"/>
    <n v="50"/>
    <x v="3"/>
    <m/>
    <m/>
    <m/>
    <m/>
    <n v="0"/>
  </r>
  <r>
    <s v="DE-1-dates-actual"/>
    <x v="46"/>
    <s v="DE-1"/>
    <x v="225"/>
    <s v="dates-actual"/>
    <x v="0"/>
    <x v="0"/>
    <x v="0"/>
    <x v="0"/>
    <n v="17"/>
    <n v="1.6299999999999999E-2"/>
    <x v="1"/>
    <x v="6"/>
    <n v="50"/>
    <x v="181"/>
    <n v="58.569587628900003"/>
    <n v="29.2847938144"/>
    <s v="quarterly"/>
    <n v="0.9"/>
    <n v="0.9"/>
    <n v="26.356314433000001"/>
    <x v="3"/>
    <m/>
    <m/>
    <m/>
    <m/>
    <n v="0"/>
  </r>
  <r>
    <s v="DE-1-contact-details"/>
    <x v="46"/>
    <s v="DE-1"/>
    <x v="26"/>
    <s v="contact-details"/>
    <x v="1"/>
    <x v="0"/>
    <x v="0"/>
    <x v="0"/>
    <n v="19"/>
    <n v="1.6299999999999999E-2"/>
    <x v="1"/>
    <x v="6"/>
    <n v="50"/>
    <x v="12"/>
    <n v="100"/>
    <n v="50"/>
    <s v="quarterly"/>
    <n v="0.9"/>
    <n v="0.9"/>
    <n v="45"/>
    <x v="3"/>
    <m/>
    <m/>
    <m/>
    <m/>
    <n v="0"/>
  </r>
  <r>
    <s v="DE-1-procurement-policy"/>
    <x v="46"/>
    <s v="DE-1"/>
    <x v="43"/>
    <s v="procurement-policy"/>
    <x v="34"/>
    <x v="1"/>
    <x v="5"/>
    <x v="6"/>
    <n v="7"/>
    <n v="2.5000000000000001E-2"/>
    <x v="1"/>
    <x v="6"/>
    <n v="50"/>
    <x v="5"/>
    <n v="100"/>
    <n v="50"/>
    <s v="quarterly"/>
    <n v="0.9"/>
    <n v="1"/>
    <n v="50"/>
    <x v="3"/>
    <m/>
    <m/>
    <m/>
    <m/>
    <n v="0"/>
  </r>
  <r>
    <s v="DE-1-description"/>
    <x v="46"/>
    <s v="DE-1"/>
    <x v="226"/>
    <s v="description"/>
    <x v="3"/>
    <x v="0"/>
    <x v="0"/>
    <x v="0"/>
    <n v="15"/>
    <n v="1.6299999999999999E-2"/>
    <x v="1"/>
    <x v="6"/>
    <n v="50"/>
    <x v="182"/>
    <n v="95.554123711299994"/>
    <n v="47.777061855699998"/>
    <s v="quarterly"/>
    <n v="0.9"/>
    <n v="0.9"/>
    <n v="42.999355670100002"/>
    <x v="3"/>
    <m/>
    <m/>
    <m/>
    <m/>
    <n v="0"/>
  </r>
  <r>
    <s v="DE-1-implementer"/>
    <x v="46"/>
    <s v="DE-1"/>
    <x v="26"/>
    <s v="implementer"/>
    <x v="4"/>
    <x v="0"/>
    <x v="0"/>
    <x v="0"/>
    <n v="12"/>
    <n v="1.6299999999999999E-2"/>
    <x v="1"/>
    <x v="6"/>
    <n v="50"/>
    <x v="12"/>
    <n v="100"/>
    <n v="50"/>
    <s v="quarterly"/>
    <n v="0.9"/>
    <n v="0.9"/>
    <n v="45"/>
    <x v="3"/>
    <m/>
    <m/>
    <m/>
    <m/>
    <n v="0"/>
  </r>
  <r>
    <s v="DE-1-dates-planned"/>
    <x v="46"/>
    <s v="DE-1"/>
    <x v="227"/>
    <s v="dates-planned"/>
    <x v="5"/>
    <x v="0"/>
    <x v="0"/>
    <x v="0"/>
    <n v="16"/>
    <n v="1.6299999999999999E-2"/>
    <x v="1"/>
    <x v="6"/>
    <n v="50"/>
    <x v="183"/>
    <n v="98.453608247399998"/>
    <n v="49.226804123699999"/>
    <s v="quarterly"/>
    <n v="0.9"/>
    <n v="0.9"/>
    <n v="44.304123711300001"/>
    <x v="3"/>
    <m/>
    <m/>
    <m/>
    <m/>
    <n v="0"/>
  </r>
  <r>
    <s v="DE-1-title"/>
    <x v="46"/>
    <s v="DE-1"/>
    <x v="26"/>
    <s v="title"/>
    <x v="6"/>
    <x v="0"/>
    <x v="0"/>
    <x v="0"/>
    <n v="14"/>
    <n v="1.6299999999999999E-2"/>
    <x v="1"/>
    <x v="6"/>
    <n v="50"/>
    <x v="12"/>
    <n v="100"/>
    <n v="50"/>
    <s v="quarterly"/>
    <n v="0.9"/>
    <n v="0.9"/>
    <n v="45"/>
    <x v="3"/>
    <m/>
    <m/>
    <m/>
    <m/>
    <n v="0"/>
  </r>
  <r>
    <s v="DE-1-unique-id"/>
    <x v="46"/>
    <s v="DE-1"/>
    <x v="26"/>
    <s v="unique-id"/>
    <x v="7"/>
    <x v="0"/>
    <x v="0"/>
    <x v="0"/>
    <n v="13"/>
    <n v="1.6299999999999999E-2"/>
    <x v="1"/>
    <x v="6"/>
    <n v="50"/>
    <x v="12"/>
    <n v="100"/>
    <n v="50"/>
    <s v="quarterly"/>
    <n v="0.9"/>
    <n v="0.9"/>
    <n v="45"/>
    <x v="3"/>
    <m/>
    <m/>
    <m/>
    <m/>
    <n v="0"/>
  </r>
  <r>
    <s v="DE-1-aid-type"/>
    <x v="46"/>
    <s v="DE-1"/>
    <x v="228"/>
    <s v="aid-type"/>
    <x v="8"/>
    <x v="0"/>
    <x v="1"/>
    <x v="1"/>
    <n v="22"/>
    <n v="1.8599999999999998E-2"/>
    <x v="1"/>
    <x v="6"/>
    <n v="50"/>
    <x v="183"/>
    <n v="98.453608247399998"/>
    <n v="49.226804123699999"/>
    <s v="quarterly"/>
    <n v="0.9"/>
    <n v="0.9"/>
    <n v="44.304123711300001"/>
    <x v="3"/>
    <m/>
    <m/>
    <m/>
    <m/>
    <n v="0"/>
  </r>
  <r>
    <s v="DE-1-collaboration-type"/>
    <x v="46"/>
    <s v="DE-1"/>
    <x v="29"/>
    <s v="collaboration-type"/>
    <x v="9"/>
    <x v="0"/>
    <x v="1"/>
    <x v="1"/>
    <n v="20"/>
    <n v="1.8599999999999998E-2"/>
    <x v="1"/>
    <x v="6"/>
    <n v="50"/>
    <x v="12"/>
    <n v="100"/>
    <n v="50"/>
    <s v="quarterly"/>
    <n v="0.9"/>
    <n v="0.9"/>
    <n v="45"/>
    <x v="3"/>
    <m/>
    <m/>
    <m/>
    <m/>
    <n v="0"/>
  </r>
  <r>
    <s v="DE-1-finance-type"/>
    <x v="46"/>
    <s v="DE-1"/>
    <x v="29"/>
    <s v="finance-type"/>
    <x v="10"/>
    <x v="0"/>
    <x v="1"/>
    <x v="1"/>
    <n v="23"/>
    <n v="1.8599999999999998E-2"/>
    <x v="1"/>
    <x v="6"/>
    <n v="50"/>
    <x v="12"/>
    <n v="100"/>
    <n v="50"/>
    <s v="quarterly"/>
    <n v="0.9"/>
    <n v="0.9"/>
    <n v="45"/>
    <x v="3"/>
    <m/>
    <m/>
    <m/>
    <m/>
    <n v="0"/>
  </r>
  <r>
    <s v="DE-1-flow-type"/>
    <x v="46"/>
    <s v="DE-1"/>
    <x v="29"/>
    <s v="flow-type"/>
    <x v="11"/>
    <x v="0"/>
    <x v="1"/>
    <x v="1"/>
    <n v="21"/>
    <n v="1.8599999999999998E-2"/>
    <x v="1"/>
    <x v="6"/>
    <n v="50"/>
    <x v="12"/>
    <n v="100"/>
    <n v="50"/>
    <s v="quarterly"/>
    <n v="0.9"/>
    <n v="0.9"/>
    <n v="45"/>
    <x v="3"/>
    <m/>
    <m/>
    <m/>
    <m/>
    <n v="0"/>
  </r>
  <r>
    <s v="DE-1-sector"/>
    <x v="46"/>
    <s v="DE-1"/>
    <x v="29"/>
    <s v="sector"/>
    <x v="12"/>
    <x v="0"/>
    <x v="1"/>
    <x v="1"/>
    <n v="24"/>
    <n v="1.8599999999999998E-2"/>
    <x v="1"/>
    <x v="6"/>
    <n v="50"/>
    <x v="12"/>
    <n v="100"/>
    <n v="50"/>
    <s v="quarterly"/>
    <n v="0.9"/>
    <n v="0.9"/>
    <n v="45"/>
    <x v="3"/>
    <m/>
    <m/>
    <m/>
    <m/>
    <n v="0"/>
  </r>
  <r>
    <s v="DE-1-expenditure-actual"/>
    <x v="46"/>
    <s v="DE-1"/>
    <x v="60"/>
    <s v="expenditure-actual"/>
    <x v="15"/>
    <x v="0"/>
    <x v="2"/>
    <x v="2"/>
    <n v="35"/>
    <n v="3.2500000000000001E-2"/>
    <x v="1"/>
    <x v="6"/>
    <n v="50"/>
    <x v="12"/>
    <n v="100"/>
    <n v="50"/>
    <s v="quarterly"/>
    <n v="0.9"/>
    <n v="0.9"/>
    <n v="45"/>
    <x v="3"/>
    <m/>
    <m/>
    <m/>
    <m/>
    <n v="0"/>
  </r>
  <r>
    <s v="DE-1-expenditure-planned"/>
    <x v="46"/>
    <s v="DE-1"/>
    <x v="60"/>
    <s v="expenditure-planned"/>
    <x v="17"/>
    <x v="0"/>
    <x v="2"/>
    <x v="2"/>
    <n v="34"/>
    <n v="3.2500000000000001E-2"/>
    <x v="1"/>
    <x v="6"/>
    <n v="50"/>
    <x v="12"/>
    <n v="100"/>
    <n v="50"/>
    <s v="quarterly"/>
    <n v="0.9"/>
    <n v="0.9"/>
    <n v="45"/>
    <x v="3"/>
    <m/>
    <m/>
    <m/>
    <m/>
    <n v="0"/>
  </r>
  <r>
    <s v="DE-1-conditions"/>
    <x v="46"/>
    <s v="DE-1"/>
    <x v="229"/>
    <s v="conditions"/>
    <x v="19"/>
    <x v="0"/>
    <x v="3"/>
    <x v="3"/>
    <n v="39"/>
    <n v="4.3299999999999998E-2"/>
    <x v="1"/>
    <x v="6"/>
    <n v="50"/>
    <x v="184"/>
    <n v="0.32216494845400001"/>
    <n v="0.16108247422700001"/>
    <s v="quarterly"/>
    <n v="0.9"/>
    <n v="0.9"/>
    <n v="0.14497422680399999"/>
    <x v="3"/>
    <m/>
    <m/>
    <m/>
    <m/>
    <n v="0"/>
  </r>
  <r>
    <s v="DE-1-annual-report"/>
    <x v="46"/>
    <s v="DE-1"/>
    <x v="43"/>
    <s v="annual-report"/>
    <x v="32"/>
    <x v="1"/>
    <x v="5"/>
    <x v="6"/>
    <n v="5"/>
    <n v="2.5000000000000001E-2"/>
    <x v="1"/>
    <x v="6"/>
    <n v="50"/>
    <x v="5"/>
    <n v="100"/>
    <n v="50"/>
    <s v="quarterly"/>
    <n v="0.9"/>
    <n v="1"/>
    <n v="50"/>
    <x v="3"/>
    <m/>
    <m/>
    <m/>
    <m/>
    <n v="0"/>
  </r>
  <r>
    <s v="DE-1-country-strategy"/>
    <x v="46"/>
    <s v="DE-1"/>
    <x v="139"/>
    <s v="country-strategy"/>
    <x v="35"/>
    <x v="1"/>
    <x v="5"/>
    <x v="6"/>
    <n v="8"/>
    <n v="2.5000000000000001E-2"/>
    <x v="1"/>
    <x v="6"/>
    <n v="50"/>
    <x v="100"/>
    <n v="4.0322580645199997"/>
    <n v="2.0161290322599998"/>
    <s v="quarterly"/>
    <n v="0.9"/>
    <n v="1"/>
    <n v="2.0161290322599998"/>
    <x v="3"/>
    <m/>
    <m/>
    <m/>
    <m/>
    <n v="0"/>
  </r>
  <r>
    <s v="DE-1-total-budget"/>
    <x v="46"/>
    <s v="DE-1"/>
    <x v="9"/>
    <s v="total-budget"/>
    <x v="29"/>
    <x v="1"/>
    <x v="2"/>
    <x v="5"/>
    <n v="9"/>
    <n v="4.1700000000000001E-2"/>
    <x v="0"/>
    <x v="3"/>
    <n v="16.664999999999999"/>
    <x v="4"/>
    <n v="0"/>
    <n v="0"/>
    <s v="quarterly"/>
    <n v="0.9"/>
    <n v="1"/>
    <n v="0"/>
    <x v="3"/>
    <n v="0"/>
    <n v="3"/>
    <s v="pdf"/>
    <n v="16.664999999999999"/>
    <n v="16.664999999999999"/>
  </r>
  <r>
    <s v="DE-1-disaggregated-budgets"/>
    <x v="46"/>
    <s v="DE-1"/>
    <x v="4"/>
    <s v="disaggregated-budgets"/>
    <x v="30"/>
    <x v="1"/>
    <x v="2"/>
    <x v="5"/>
    <n v="10"/>
    <n v="4.1700000000000001E-2"/>
    <x v="0"/>
    <x v="4"/>
    <n v="50"/>
    <x v="2"/>
    <n v="0"/>
    <n v="0"/>
    <s v="quarterly"/>
    <n v="0.9"/>
    <n v="1"/>
    <n v="0"/>
    <x v="3"/>
    <n v="0"/>
    <n v="3"/>
    <s v="machine-readable"/>
    <n v="50"/>
    <n v="50"/>
  </r>
  <r>
    <s v="DE-1-allocation"/>
    <x v="46"/>
    <s v="DE-1"/>
    <x v="6"/>
    <s v="allocation"/>
    <x v="33"/>
    <x v="1"/>
    <x v="5"/>
    <x v="6"/>
    <n v="6"/>
    <n v="2.5000000000000001E-2"/>
    <x v="0"/>
    <x v="2"/>
    <n v="50"/>
    <x v="2"/>
    <n v="0"/>
    <n v="0"/>
    <s v="quarterly"/>
    <n v="0.9"/>
    <n v="1"/>
    <n v="0"/>
    <x v="1"/>
    <n v="1"/>
    <m/>
    <s v="document"/>
    <n v="50"/>
    <n v="50"/>
  </r>
  <r>
    <s v="DE-1-current-status"/>
    <x v="46"/>
    <s v="DE-1"/>
    <x v="11"/>
    <s v="current-status"/>
    <x v="2"/>
    <x v="0"/>
    <x v="0"/>
    <x v="0"/>
    <n v="18"/>
    <n v="1.6299999999999999E-2"/>
    <x v="0"/>
    <x v="4"/>
    <n v="50"/>
    <x v="2"/>
    <n v="0"/>
    <n v="0"/>
    <s v="quarterly"/>
    <n v="0.9"/>
    <n v="1"/>
    <n v="0"/>
    <x v="1"/>
    <n v="1"/>
    <m/>
    <s v="machine-readable"/>
    <n v="50"/>
    <n v="50"/>
  </r>
  <r>
    <s v="DE-1-location"/>
    <x v="46"/>
    <s v="DE-1"/>
    <x v="0"/>
    <s v="location"/>
    <x v="13"/>
    <x v="0"/>
    <x v="1"/>
    <x v="1"/>
    <n v="25"/>
    <n v="1.8599999999999998E-2"/>
    <x v="0"/>
    <x v="1"/>
    <n v="0"/>
    <x v="0"/>
    <n v="0"/>
    <n v="0"/>
    <s v="quarterly"/>
    <n v="0.9"/>
    <n v="1"/>
    <n v="0"/>
    <x v="2"/>
    <n v="0"/>
    <m/>
    <s v="website"/>
    <n v="33.33"/>
    <n v="0"/>
  </r>
  <r>
    <s v="DE-1-tied-aid-status"/>
    <x v="46"/>
    <s v="DE-1"/>
    <x v="12"/>
    <s v="tied-aid-status"/>
    <x v="14"/>
    <x v="0"/>
    <x v="1"/>
    <x v="1"/>
    <n v="26"/>
    <n v="1.8599999999999998E-2"/>
    <x v="0"/>
    <x v="4"/>
    <n v="50"/>
    <x v="2"/>
    <n v="0"/>
    <n v="0"/>
    <s v="quarterly"/>
    <n v="0.9"/>
    <n v="1"/>
    <n v="0"/>
    <x v="1"/>
    <n v="1"/>
    <m/>
    <s v="machine-readable"/>
    <n v="50"/>
    <n v="50"/>
  </r>
  <r>
    <s v="DE-1-cost-overall"/>
    <x v="46"/>
    <s v="DE-1"/>
    <x v="0"/>
    <s v="cost-overall"/>
    <x v="16"/>
    <x v="0"/>
    <x v="2"/>
    <x v="2"/>
    <n v="33"/>
    <n v="3.2500000000000001E-2"/>
    <x v="0"/>
    <x v="0"/>
    <n v="0"/>
    <x v="0"/>
    <n v="0"/>
    <n v="0"/>
    <s v="quarterly"/>
    <n v="0.9"/>
    <n v="1"/>
    <n v="0"/>
    <x v="0"/>
    <n v="0"/>
    <m/>
    <m/>
    <n v="0"/>
    <n v="0"/>
  </r>
  <r>
    <s v="DE-1-budget-identifier"/>
    <x v="46"/>
    <s v="DE-1"/>
    <x v="0"/>
    <s v="budget-identifier"/>
    <x v="18"/>
    <x v="0"/>
    <x v="2"/>
    <x v="2"/>
    <n v="36"/>
    <n v="3.2500000000000001E-2"/>
    <x v="0"/>
    <x v="0"/>
    <n v="0"/>
    <x v="0"/>
    <n v="0"/>
    <n v="0"/>
    <s v="quarterly"/>
    <n v="0.9"/>
    <n v="1"/>
    <n v="0"/>
    <x v="0"/>
    <n v="0"/>
    <m/>
    <m/>
    <n v="0"/>
    <n v="0"/>
  </r>
  <r>
    <s v="DE-1-impact-appraisals"/>
    <x v="46"/>
    <s v="DE-1"/>
    <x v="0"/>
    <s v="impact-appraisals"/>
    <x v="20"/>
    <x v="0"/>
    <x v="3"/>
    <x v="3"/>
    <n v="38"/>
    <n v="4.3299999999999998E-2"/>
    <x v="0"/>
    <x v="2"/>
    <n v="0"/>
    <x v="0"/>
    <n v="0"/>
    <n v="0"/>
    <s v="quarterly"/>
    <n v="0.9"/>
    <n v="1"/>
    <n v="0"/>
    <x v="0"/>
    <n v="0"/>
    <m/>
    <s v="document"/>
    <n v="50"/>
    <n v="0"/>
  </r>
  <r>
    <s v="DE-1-results"/>
    <x v="46"/>
    <s v="DE-1"/>
    <x v="0"/>
    <s v="results"/>
    <x v="21"/>
    <x v="0"/>
    <x v="3"/>
    <x v="3"/>
    <n v="37"/>
    <n v="4.3299999999999998E-2"/>
    <x v="0"/>
    <x v="1"/>
    <n v="0"/>
    <x v="0"/>
    <n v="0"/>
    <n v="0"/>
    <s v="quarterly"/>
    <n v="0.9"/>
    <n v="1"/>
    <n v="0"/>
    <x v="2"/>
    <n v="0"/>
    <m/>
    <s v="website"/>
    <n v="33.33"/>
    <n v="0"/>
  </r>
  <r>
    <s v="DE-1-budget"/>
    <x v="46"/>
    <s v="DE-1"/>
    <x v="0"/>
    <s v="budget"/>
    <x v="22"/>
    <x v="0"/>
    <x v="4"/>
    <x v="4"/>
    <n v="30"/>
    <n v="2.1700000000000001E-2"/>
    <x v="0"/>
    <x v="2"/>
    <n v="0"/>
    <x v="0"/>
    <n v="0"/>
    <n v="0"/>
    <s v="quarterly"/>
    <n v="0.9"/>
    <n v="1"/>
    <n v="0"/>
    <x v="0"/>
    <n v="0"/>
    <m/>
    <s v="document"/>
    <n v="50"/>
    <n v="0"/>
  </r>
  <r>
    <s v="DE-1-contracts"/>
    <x v="46"/>
    <s v="DE-1"/>
    <x v="3"/>
    <s v="contracts"/>
    <x v="23"/>
    <x v="0"/>
    <x v="4"/>
    <x v="4"/>
    <n v="31"/>
    <n v="2.1700000000000001E-2"/>
    <x v="0"/>
    <x v="2"/>
    <n v="50"/>
    <x v="2"/>
    <n v="0"/>
    <n v="0"/>
    <s v="quarterly"/>
    <n v="0.9"/>
    <n v="1"/>
    <n v="0"/>
    <x v="1"/>
    <n v="1"/>
    <m/>
    <s v="document"/>
    <n v="50"/>
    <n v="50"/>
  </r>
  <r>
    <s v="DE-1-evaluations"/>
    <x v="46"/>
    <s v="DE-1"/>
    <x v="0"/>
    <s v="evaluations"/>
    <x v="24"/>
    <x v="0"/>
    <x v="4"/>
    <x v="4"/>
    <n v="28"/>
    <n v="2.1700000000000001E-2"/>
    <x v="0"/>
    <x v="2"/>
    <n v="0"/>
    <x v="0"/>
    <n v="0"/>
    <n v="0"/>
    <s v="quarterly"/>
    <n v="0.9"/>
    <n v="1"/>
    <n v="0"/>
    <x v="2"/>
    <n v="0"/>
    <m/>
    <s v="document"/>
    <n v="50"/>
    <n v="0"/>
  </r>
  <r>
    <s v="DE-1-mou"/>
    <x v="46"/>
    <s v="DE-1"/>
    <x v="0"/>
    <s v="mou"/>
    <x v="25"/>
    <x v="0"/>
    <x v="4"/>
    <x v="4"/>
    <n v="27"/>
    <n v="2.1700000000000001E-2"/>
    <x v="0"/>
    <x v="2"/>
    <n v="0"/>
    <x v="0"/>
    <n v="0"/>
    <n v="0"/>
    <s v="quarterly"/>
    <n v="0.9"/>
    <n v="1"/>
    <n v="0"/>
    <x v="0"/>
    <n v="0"/>
    <m/>
    <s v="document"/>
    <n v="50"/>
    <n v="0"/>
  </r>
  <r>
    <s v="DE-1-objectives"/>
    <x v="46"/>
    <s v="DE-1"/>
    <x v="3"/>
    <s v="objectives"/>
    <x v="26"/>
    <x v="0"/>
    <x v="4"/>
    <x v="4"/>
    <n v="29"/>
    <n v="2.1700000000000001E-2"/>
    <x v="0"/>
    <x v="2"/>
    <n v="50"/>
    <x v="2"/>
    <n v="0"/>
    <n v="0"/>
    <s v="quarterly"/>
    <n v="0.9"/>
    <n v="1"/>
    <n v="0"/>
    <x v="1"/>
    <n v="1"/>
    <m/>
    <s v="document"/>
    <n v="50"/>
    <n v="50"/>
  </r>
  <r>
    <s v="DE-1-tenders"/>
    <x v="46"/>
    <s v="DE-1"/>
    <x v="3"/>
    <s v="tenders"/>
    <x v="27"/>
    <x v="0"/>
    <x v="4"/>
    <x v="4"/>
    <n v="32"/>
    <n v="2.1700000000000001E-2"/>
    <x v="0"/>
    <x v="2"/>
    <n v="50"/>
    <x v="2"/>
    <n v="0"/>
    <n v="0"/>
    <s v="quarterly"/>
    <n v="0.9"/>
    <n v="1"/>
    <n v="0"/>
    <x v="1"/>
    <n v="1"/>
    <m/>
    <s v="document"/>
    <n v="50"/>
    <n v="50"/>
  </r>
  <r>
    <s v="DE-1-foia"/>
    <x v="46"/>
    <s v="DE-1"/>
    <x v="7"/>
    <s v="foia"/>
    <x v="36"/>
    <x v="2"/>
    <x v="6"/>
    <x v="7"/>
    <n v="1"/>
    <n v="3.3300000000000003E-2"/>
    <x v="0"/>
    <x v="5"/>
    <n v="33.33"/>
    <x v="1"/>
    <n v="0"/>
    <n v="0"/>
    <s v="quarterly"/>
    <n v="0.9"/>
    <n v="1"/>
    <n v="0"/>
    <x v="3"/>
    <n v="0"/>
    <n v="33.33"/>
    <m/>
    <n v="0"/>
    <n v="33.33"/>
  </r>
  <r>
    <s v="DE-1-accessibility"/>
    <x v="46"/>
    <s v="DE-1"/>
    <x v="15"/>
    <s v="accessibility"/>
    <x v="37"/>
    <x v="2"/>
    <x v="6"/>
    <x v="7"/>
    <n v="3"/>
    <n v="3.3300000000000003E-2"/>
    <x v="0"/>
    <x v="5"/>
    <n v="66.66"/>
    <x v="6"/>
    <n v="0"/>
    <n v="0"/>
    <s v="quarterly"/>
    <n v="0.9"/>
    <n v="1"/>
    <n v="0"/>
    <x v="3"/>
    <n v="0"/>
    <n v="66.66"/>
    <m/>
    <n v="0"/>
    <n v="66.66"/>
  </r>
  <r>
    <s v="DE-1-implementation-schedules"/>
    <x v="46"/>
    <s v="DE-1"/>
    <x v="140"/>
    <s v="implementation-schedules"/>
    <x v="38"/>
    <x v="2"/>
    <x v="6"/>
    <x v="7"/>
    <n v="2"/>
    <n v="3.3300000000000003E-2"/>
    <x v="0"/>
    <x v="5"/>
    <n v="28"/>
    <x v="101"/>
    <n v="0"/>
    <n v="0"/>
    <s v="quarterly"/>
    <n v="0.9"/>
    <n v="1"/>
    <n v="0"/>
    <x v="3"/>
    <n v="0"/>
    <n v="28"/>
    <m/>
    <n v="0"/>
    <n v="28"/>
  </r>
  <r>
    <s v="41122-audit"/>
    <x v="47"/>
    <n v="41122"/>
    <x v="230"/>
    <s v="audit"/>
    <x v="28"/>
    <x v="1"/>
    <x v="2"/>
    <x v="5"/>
    <n v="11"/>
    <n v="4.1700000000000001E-2"/>
    <x v="1"/>
    <x v="6"/>
    <n v="50"/>
    <x v="185"/>
    <n v="3.8216560509600002"/>
    <n v="1.9108280254800001"/>
    <s v="quarterly"/>
    <n v="0.9"/>
    <n v="1"/>
    <n v="1.9108280254800001"/>
    <x v="3"/>
    <m/>
    <m/>
    <m/>
    <m/>
    <n v="0"/>
  </r>
  <r>
    <s v="41122-total-budget"/>
    <x v="47"/>
    <n v="41122"/>
    <x v="42"/>
    <s v="total-budget"/>
    <x v="29"/>
    <x v="1"/>
    <x v="2"/>
    <x v="5"/>
    <n v="9"/>
    <n v="4.1700000000000001E-2"/>
    <x v="1"/>
    <x v="6"/>
    <n v="50"/>
    <x v="5"/>
    <n v="100"/>
    <n v="50"/>
    <s v="quarterly"/>
    <n v="0.9"/>
    <n v="1"/>
    <n v="50"/>
    <x v="3"/>
    <m/>
    <m/>
    <m/>
    <m/>
    <n v="0"/>
  </r>
  <r>
    <s v="41122-disaggregated-budgets"/>
    <x v="47"/>
    <n v="41122"/>
    <x v="42"/>
    <s v="disaggregated-budgets"/>
    <x v="30"/>
    <x v="1"/>
    <x v="2"/>
    <x v="5"/>
    <n v="10"/>
    <n v="4.1700000000000001E-2"/>
    <x v="1"/>
    <x v="6"/>
    <n v="50"/>
    <x v="5"/>
    <n v="100"/>
    <n v="50"/>
    <s v="quarterly"/>
    <n v="0.9"/>
    <n v="1"/>
    <n v="50"/>
    <x v="3"/>
    <m/>
    <m/>
    <m/>
    <m/>
    <n v="0"/>
  </r>
  <r>
    <s v="41122-dates-actual"/>
    <x v="47"/>
    <n v="41122"/>
    <x v="26"/>
    <s v="dates-actual"/>
    <x v="0"/>
    <x v="0"/>
    <x v="0"/>
    <x v="0"/>
    <n v="17"/>
    <n v="1.6299999999999999E-2"/>
    <x v="1"/>
    <x v="6"/>
    <n v="50"/>
    <x v="12"/>
    <n v="100"/>
    <n v="50"/>
    <s v="quarterly"/>
    <n v="0.9"/>
    <n v="0.9"/>
    <n v="45"/>
    <x v="3"/>
    <m/>
    <m/>
    <m/>
    <m/>
    <n v="0"/>
  </r>
  <r>
    <s v="41122-contact-details"/>
    <x v="47"/>
    <n v="41122"/>
    <x v="26"/>
    <s v="contact-details"/>
    <x v="1"/>
    <x v="0"/>
    <x v="0"/>
    <x v="0"/>
    <n v="19"/>
    <n v="1.6299999999999999E-2"/>
    <x v="1"/>
    <x v="6"/>
    <n v="50"/>
    <x v="12"/>
    <n v="100"/>
    <n v="50"/>
    <s v="quarterly"/>
    <n v="0.9"/>
    <n v="0.9"/>
    <n v="45"/>
    <x v="3"/>
    <m/>
    <m/>
    <m/>
    <m/>
    <n v="0"/>
  </r>
  <r>
    <s v="41122-current-status"/>
    <x v="47"/>
    <n v="41122"/>
    <x v="26"/>
    <s v="current-status"/>
    <x v="2"/>
    <x v="0"/>
    <x v="0"/>
    <x v="0"/>
    <n v="18"/>
    <n v="1.6299999999999999E-2"/>
    <x v="1"/>
    <x v="6"/>
    <n v="50"/>
    <x v="12"/>
    <n v="100"/>
    <n v="50"/>
    <s v="quarterly"/>
    <n v="0.9"/>
    <n v="0.9"/>
    <n v="45"/>
    <x v="3"/>
    <m/>
    <m/>
    <m/>
    <m/>
    <n v="0"/>
  </r>
  <r>
    <s v="41122-description"/>
    <x v="47"/>
    <n v="41122"/>
    <x v="231"/>
    <s v="description"/>
    <x v="3"/>
    <x v="0"/>
    <x v="0"/>
    <x v="0"/>
    <n v="15"/>
    <n v="1.6299999999999999E-2"/>
    <x v="1"/>
    <x v="6"/>
    <n v="50"/>
    <x v="186"/>
    <n v="94.987336428899994"/>
    <n v="47.493668214400003"/>
    <s v="quarterly"/>
    <n v="0.9"/>
    <n v="0.9"/>
    <n v="42.744301393000001"/>
    <x v="3"/>
    <m/>
    <m/>
    <m/>
    <m/>
    <n v="0"/>
  </r>
  <r>
    <s v="41122-title"/>
    <x v="47"/>
    <n v="41122"/>
    <x v="232"/>
    <s v="title"/>
    <x v="6"/>
    <x v="0"/>
    <x v="0"/>
    <x v="0"/>
    <n v="14"/>
    <n v="1.6299999999999999E-2"/>
    <x v="1"/>
    <x v="6"/>
    <n v="50"/>
    <x v="187"/>
    <n v="98.807513718899997"/>
    <n v="49.403756859399998"/>
    <s v="quarterly"/>
    <n v="0.9"/>
    <n v="0.9"/>
    <n v="44.463381173499997"/>
    <x v="3"/>
    <m/>
    <m/>
    <m/>
    <m/>
    <n v="0"/>
  </r>
  <r>
    <s v="41122-unique-id"/>
    <x v="47"/>
    <n v="41122"/>
    <x v="26"/>
    <s v="unique-id"/>
    <x v="7"/>
    <x v="0"/>
    <x v="0"/>
    <x v="0"/>
    <n v="13"/>
    <n v="1.6299999999999999E-2"/>
    <x v="1"/>
    <x v="6"/>
    <n v="50"/>
    <x v="12"/>
    <n v="100"/>
    <n v="50"/>
    <s v="quarterly"/>
    <n v="0.9"/>
    <n v="0.9"/>
    <n v="45"/>
    <x v="3"/>
    <m/>
    <m/>
    <m/>
    <m/>
    <n v="0"/>
  </r>
  <r>
    <s v="41122-aid-type"/>
    <x v="47"/>
    <n v="41122"/>
    <x v="29"/>
    <s v="aid-type"/>
    <x v="8"/>
    <x v="0"/>
    <x v="1"/>
    <x v="1"/>
    <n v="22"/>
    <n v="1.8599999999999998E-2"/>
    <x v="1"/>
    <x v="6"/>
    <n v="50"/>
    <x v="12"/>
    <n v="100"/>
    <n v="50"/>
    <s v="quarterly"/>
    <n v="0.9"/>
    <n v="0.9"/>
    <n v="45"/>
    <x v="3"/>
    <m/>
    <m/>
    <m/>
    <m/>
    <n v="0"/>
  </r>
  <r>
    <s v="41122-collaboration-type"/>
    <x v="47"/>
    <n v="41122"/>
    <x v="29"/>
    <s v="collaboration-type"/>
    <x v="9"/>
    <x v="0"/>
    <x v="1"/>
    <x v="1"/>
    <n v="20"/>
    <n v="1.8599999999999998E-2"/>
    <x v="1"/>
    <x v="6"/>
    <n v="50"/>
    <x v="12"/>
    <n v="100"/>
    <n v="50"/>
    <s v="quarterly"/>
    <n v="0.9"/>
    <n v="0.9"/>
    <n v="45"/>
    <x v="3"/>
    <m/>
    <m/>
    <m/>
    <m/>
    <n v="0"/>
  </r>
  <r>
    <s v="41122-finance-type"/>
    <x v="47"/>
    <n v="41122"/>
    <x v="29"/>
    <s v="finance-type"/>
    <x v="10"/>
    <x v="0"/>
    <x v="1"/>
    <x v="1"/>
    <n v="23"/>
    <n v="1.8599999999999998E-2"/>
    <x v="1"/>
    <x v="6"/>
    <n v="50"/>
    <x v="12"/>
    <n v="100"/>
    <n v="50"/>
    <s v="quarterly"/>
    <n v="0.9"/>
    <n v="0.9"/>
    <n v="45"/>
    <x v="3"/>
    <m/>
    <m/>
    <m/>
    <m/>
    <n v="0"/>
  </r>
  <r>
    <s v="41122-flow-type"/>
    <x v="47"/>
    <n v="41122"/>
    <x v="29"/>
    <s v="flow-type"/>
    <x v="11"/>
    <x v="0"/>
    <x v="1"/>
    <x v="1"/>
    <n v="21"/>
    <n v="1.8599999999999998E-2"/>
    <x v="1"/>
    <x v="6"/>
    <n v="50"/>
    <x v="12"/>
    <n v="100"/>
    <n v="50"/>
    <s v="quarterly"/>
    <n v="0.9"/>
    <n v="0.9"/>
    <n v="45"/>
    <x v="3"/>
    <m/>
    <m/>
    <m/>
    <m/>
    <n v="0"/>
  </r>
  <r>
    <s v="41122-sector"/>
    <x v="47"/>
    <n v="41122"/>
    <x v="233"/>
    <s v="sector"/>
    <x v="12"/>
    <x v="0"/>
    <x v="1"/>
    <x v="1"/>
    <n v="24"/>
    <n v="1.8599999999999998E-2"/>
    <x v="1"/>
    <x v="6"/>
    <n v="50"/>
    <x v="188"/>
    <n v="97.952722667800003"/>
    <n v="48.976361333900002"/>
    <s v="quarterly"/>
    <n v="0.9"/>
    <n v="0.9"/>
    <n v="44.078725200500003"/>
    <x v="3"/>
    <m/>
    <m/>
    <m/>
    <m/>
    <n v="0"/>
  </r>
  <r>
    <s v="41122-location"/>
    <x v="47"/>
    <n v="41122"/>
    <x v="29"/>
    <s v="location"/>
    <x v="13"/>
    <x v="0"/>
    <x v="1"/>
    <x v="1"/>
    <n v="25"/>
    <n v="1.8599999999999998E-2"/>
    <x v="1"/>
    <x v="6"/>
    <n v="50"/>
    <x v="12"/>
    <n v="100"/>
    <n v="50"/>
    <s v="quarterly"/>
    <n v="0.9"/>
    <n v="0.9"/>
    <n v="45"/>
    <x v="3"/>
    <m/>
    <m/>
    <m/>
    <m/>
    <n v="0"/>
  </r>
  <r>
    <s v="41122-tied-aid-status"/>
    <x v="47"/>
    <n v="41122"/>
    <x v="29"/>
    <s v="tied-aid-status"/>
    <x v="14"/>
    <x v="0"/>
    <x v="1"/>
    <x v="1"/>
    <n v="26"/>
    <n v="1.8599999999999998E-2"/>
    <x v="1"/>
    <x v="6"/>
    <n v="50"/>
    <x v="12"/>
    <n v="100"/>
    <n v="50"/>
    <s v="quarterly"/>
    <n v="0.9"/>
    <n v="0.9"/>
    <n v="45"/>
    <x v="3"/>
    <m/>
    <m/>
    <m/>
    <m/>
    <n v="0"/>
  </r>
  <r>
    <s v="41122-expenditure-actual"/>
    <x v="47"/>
    <n v="41122"/>
    <x v="60"/>
    <s v="expenditure-actual"/>
    <x v="15"/>
    <x v="0"/>
    <x v="2"/>
    <x v="2"/>
    <n v="35"/>
    <n v="3.2500000000000001E-2"/>
    <x v="1"/>
    <x v="6"/>
    <n v="50"/>
    <x v="12"/>
    <n v="100"/>
    <n v="50"/>
    <s v="quarterly"/>
    <n v="0.9"/>
    <n v="0.9"/>
    <n v="45"/>
    <x v="3"/>
    <m/>
    <m/>
    <m/>
    <m/>
    <n v="0"/>
  </r>
  <r>
    <s v="41122-cost-overall"/>
    <x v="47"/>
    <n v="41122"/>
    <x v="234"/>
    <s v="cost-overall"/>
    <x v="16"/>
    <x v="0"/>
    <x v="2"/>
    <x v="2"/>
    <n v="33"/>
    <n v="3.2500000000000001E-2"/>
    <x v="1"/>
    <x v="6"/>
    <n v="50"/>
    <x v="189"/>
    <n v="45.088204773400001"/>
    <n v="22.544102386700001"/>
    <s v="quarterly"/>
    <n v="0.9"/>
    <n v="0.9"/>
    <n v="20.289692148"/>
    <x v="3"/>
    <m/>
    <m/>
    <m/>
    <m/>
    <n v="0"/>
  </r>
  <r>
    <s v="41122-expenditure-planned"/>
    <x v="47"/>
    <n v="41122"/>
    <x v="235"/>
    <s v="expenditure-planned"/>
    <x v="17"/>
    <x v="0"/>
    <x v="2"/>
    <x v="2"/>
    <n v="34"/>
    <n v="3.2500000000000001E-2"/>
    <x v="1"/>
    <x v="6"/>
    <n v="50"/>
    <x v="190"/>
    <n v="96.179822709999996"/>
    <n v="48.089911354999998"/>
    <s v="quarterly"/>
    <n v="0.9"/>
    <n v="0.9"/>
    <n v="43.280920219499997"/>
    <x v="3"/>
    <m/>
    <m/>
    <m/>
    <m/>
    <n v="0"/>
  </r>
  <r>
    <s v="41122-conditions"/>
    <x v="47"/>
    <n v="41122"/>
    <x v="63"/>
    <s v="conditions"/>
    <x v="19"/>
    <x v="0"/>
    <x v="3"/>
    <x v="3"/>
    <n v="39"/>
    <n v="4.3299999999999998E-2"/>
    <x v="1"/>
    <x v="6"/>
    <n v="50"/>
    <x v="14"/>
    <n v="50"/>
    <n v="25"/>
    <s v="quarterly"/>
    <n v="0.9"/>
    <n v="0.9"/>
    <n v="22.5"/>
    <x v="3"/>
    <m/>
    <m/>
    <m/>
    <m/>
    <n v="0"/>
  </r>
  <r>
    <s v="41122-results"/>
    <x v="47"/>
    <n v="41122"/>
    <x v="63"/>
    <s v="results"/>
    <x v="21"/>
    <x v="0"/>
    <x v="3"/>
    <x v="3"/>
    <n v="37"/>
    <n v="4.3299999999999998E-2"/>
    <x v="1"/>
    <x v="6"/>
    <n v="50"/>
    <x v="14"/>
    <n v="50"/>
    <n v="25"/>
    <s v="quarterly"/>
    <n v="0.9"/>
    <n v="0.9"/>
    <n v="22.5"/>
    <x v="3"/>
    <m/>
    <m/>
    <m/>
    <m/>
    <n v="0"/>
  </r>
  <r>
    <s v="41122-strategy"/>
    <x v="47"/>
    <n v="41122"/>
    <x v="6"/>
    <s v="strategy"/>
    <x v="31"/>
    <x v="1"/>
    <x v="5"/>
    <x v="6"/>
    <n v="4"/>
    <n v="2.5000000000000001E-2"/>
    <x v="0"/>
    <x v="2"/>
    <n v="50"/>
    <x v="2"/>
    <n v="0"/>
    <n v="0"/>
    <s v="quarterly"/>
    <n v="0.9"/>
    <n v="1"/>
    <n v="0"/>
    <x v="1"/>
    <n v="1"/>
    <m/>
    <s v="document"/>
    <n v="50"/>
    <n v="50"/>
  </r>
  <r>
    <s v="41122-annual-report"/>
    <x v="47"/>
    <n v="41122"/>
    <x v="6"/>
    <s v="annual-report"/>
    <x v="32"/>
    <x v="1"/>
    <x v="5"/>
    <x v="6"/>
    <n v="5"/>
    <n v="2.5000000000000001E-2"/>
    <x v="0"/>
    <x v="2"/>
    <n v="50"/>
    <x v="2"/>
    <n v="0"/>
    <n v="0"/>
    <s v="quarterly"/>
    <n v="0.9"/>
    <n v="1"/>
    <n v="0"/>
    <x v="1"/>
    <n v="1"/>
    <m/>
    <s v="document"/>
    <n v="50"/>
    <n v="50"/>
  </r>
  <r>
    <s v="41122-allocation"/>
    <x v="47"/>
    <n v="41122"/>
    <x v="6"/>
    <s v="allocation"/>
    <x v="33"/>
    <x v="1"/>
    <x v="5"/>
    <x v="6"/>
    <n v="6"/>
    <n v="2.5000000000000001E-2"/>
    <x v="0"/>
    <x v="2"/>
    <n v="50"/>
    <x v="2"/>
    <n v="0"/>
    <n v="0"/>
    <s v="quarterly"/>
    <n v="0.9"/>
    <n v="1"/>
    <n v="0"/>
    <x v="1"/>
    <n v="1"/>
    <m/>
    <s v="document"/>
    <n v="50"/>
    <n v="50"/>
  </r>
  <r>
    <s v="41122-procurement-policy"/>
    <x v="47"/>
    <n v="41122"/>
    <x v="6"/>
    <s v="procurement-policy"/>
    <x v="34"/>
    <x v="1"/>
    <x v="5"/>
    <x v="6"/>
    <n v="7"/>
    <n v="2.5000000000000001E-2"/>
    <x v="0"/>
    <x v="2"/>
    <n v="50"/>
    <x v="2"/>
    <n v="0"/>
    <n v="0"/>
    <s v="quarterly"/>
    <n v="0.9"/>
    <n v="1"/>
    <n v="0"/>
    <x v="1"/>
    <n v="1"/>
    <m/>
    <s v="document"/>
    <n v="50"/>
    <n v="50"/>
  </r>
  <r>
    <s v="41122-country-strategy"/>
    <x v="47"/>
    <n v="41122"/>
    <x v="6"/>
    <s v="country-strategy"/>
    <x v="35"/>
    <x v="1"/>
    <x v="5"/>
    <x v="6"/>
    <n v="8"/>
    <n v="2.5000000000000001E-2"/>
    <x v="0"/>
    <x v="2"/>
    <n v="50"/>
    <x v="2"/>
    <n v="0"/>
    <n v="0"/>
    <s v="quarterly"/>
    <n v="0.9"/>
    <n v="1"/>
    <n v="0"/>
    <x v="1"/>
    <n v="1"/>
    <m/>
    <s v="document"/>
    <n v="50"/>
    <n v="50"/>
  </r>
  <r>
    <s v="41122-implementer"/>
    <x v="47"/>
    <n v="41122"/>
    <x v="0"/>
    <s v="implementer"/>
    <x v="4"/>
    <x v="0"/>
    <x v="0"/>
    <x v="0"/>
    <n v="12"/>
    <n v="1.6299999999999999E-2"/>
    <x v="0"/>
    <x v="1"/>
    <n v="0"/>
    <x v="0"/>
    <n v="0"/>
    <n v="0"/>
    <s v="quarterly"/>
    <n v="0.9"/>
    <n v="1"/>
    <n v="0"/>
    <x v="2"/>
    <n v="0"/>
    <m/>
    <s v="website"/>
    <n v="33.33"/>
    <n v="0"/>
  </r>
  <r>
    <s v="41122-dates-planned"/>
    <x v="47"/>
    <n v="41122"/>
    <x v="11"/>
    <s v="dates-planned"/>
    <x v="5"/>
    <x v="0"/>
    <x v="0"/>
    <x v="0"/>
    <n v="16"/>
    <n v="1.6299999999999999E-2"/>
    <x v="0"/>
    <x v="4"/>
    <n v="50"/>
    <x v="2"/>
    <n v="0"/>
    <n v="0"/>
    <s v="quarterly"/>
    <n v="0.9"/>
    <n v="1"/>
    <n v="0"/>
    <x v="1"/>
    <n v="1"/>
    <m/>
    <s v="machine-readable"/>
    <n v="50"/>
    <n v="50"/>
  </r>
  <r>
    <s v="41122-budget-identifier"/>
    <x v="47"/>
    <n v="41122"/>
    <x v="0"/>
    <s v="budget-identifier"/>
    <x v="18"/>
    <x v="0"/>
    <x v="2"/>
    <x v="2"/>
    <n v="36"/>
    <n v="3.2500000000000001E-2"/>
    <x v="0"/>
    <x v="0"/>
    <n v="0"/>
    <x v="0"/>
    <n v="0"/>
    <n v="0"/>
    <s v="quarterly"/>
    <n v="0.9"/>
    <n v="1"/>
    <n v="0"/>
    <x v="0"/>
    <n v="0"/>
    <m/>
    <m/>
    <n v="0"/>
    <n v="0"/>
  </r>
  <r>
    <s v="41122-impact-appraisals"/>
    <x v="47"/>
    <n v="41122"/>
    <x v="0"/>
    <s v="impact-appraisals"/>
    <x v="20"/>
    <x v="0"/>
    <x v="3"/>
    <x v="3"/>
    <n v="38"/>
    <n v="4.3299999999999998E-2"/>
    <x v="0"/>
    <x v="2"/>
    <n v="0"/>
    <x v="0"/>
    <n v="0"/>
    <n v="0"/>
    <s v="quarterly"/>
    <n v="0.9"/>
    <n v="1"/>
    <n v="0"/>
    <x v="0"/>
    <n v="0"/>
    <m/>
    <s v="document"/>
    <n v="50"/>
    <n v="0"/>
  </r>
  <r>
    <s v="41122-budget"/>
    <x v="47"/>
    <n v="41122"/>
    <x v="0"/>
    <s v="budget"/>
    <x v="22"/>
    <x v="0"/>
    <x v="4"/>
    <x v="4"/>
    <n v="30"/>
    <n v="2.1700000000000001E-2"/>
    <x v="0"/>
    <x v="2"/>
    <n v="0"/>
    <x v="0"/>
    <n v="0"/>
    <n v="0"/>
    <s v="quarterly"/>
    <n v="0.9"/>
    <n v="1"/>
    <n v="0"/>
    <x v="0"/>
    <n v="0"/>
    <m/>
    <s v="document"/>
    <n v="50"/>
    <n v="0"/>
  </r>
  <r>
    <s v="41122-contracts"/>
    <x v="47"/>
    <n v="41122"/>
    <x v="3"/>
    <s v="contracts"/>
    <x v="23"/>
    <x v="0"/>
    <x v="4"/>
    <x v="4"/>
    <n v="31"/>
    <n v="2.1700000000000001E-2"/>
    <x v="0"/>
    <x v="2"/>
    <n v="50"/>
    <x v="2"/>
    <n v="0"/>
    <n v="0"/>
    <s v="quarterly"/>
    <n v="0.9"/>
    <n v="1"/>
    <n v="0"/>
    <x v="1"/>
    <n v="1"/>
    <m/>
    <s v="document"/>
    <n v="50"/>
    <n v="50"/>
  </r>
  <r>
    <s v="41122-evaluations"/>
    <x v="47"/>
    <n v="41122"/>
    <x v="3"/>
    <s v="evaluations"/>
    <x v="24"/>
    <x v="0"/>
    <x v="4"/>
    <x v="4"/>
    <n v="28"/>
    <n v="2.1700000000000001E-2"/>
    <x v="0"/>
    <x v="2"/>
    <n v="50"/>
    <x v="2"/>
    <n v="0"/>
    <n v="0"/>
    <s v="quarterly"/>
    <n v="0.9"/>
    <n v="1"/>
    <n v="0"/>
    <x v="1"/>
    <n v="1"/>
    <m/>
    <s v="document"/>
    <n v="50"/>
    <n v="50"/>
  </r>
  <r>
    <s v="41122-mou"/>
    <x v="47"/>
    <n v="41122"/>
    <x v="0"/>
    <s v="mou"/>
    <x v="25"/>
    <x v="0"/>
    <x v="4"/>
    <x v="4"/>
    <n v="27"/>
    <n v="2.1700000000000001E-2"/>
    <x v="0"/>
    <x v="2"/>
    <n v="0"/>
    <x v="0"/>
    <n v="0"/>
    <n v="0"/>
    <s v="quarterly"/>
    <n v="0.9"/>
    <n v="1"/>
    <n v="0"/>
    <x v="2"/>
    <n v="0"/>
    <m/>
    <s v="document"/>
    <n v="50"/>
    <n v="0"/>
  </r>
  <r>
    <s v="41122-objectives"/>
    <x v="47"/>
    <n v="41122"/>
    <x v="3"/>
    <s v="objectives"/>
    <x v="26"/>
    <x v="0"/>
    <x v="4"/>
    <x v="4"/>
    <n v="29"/>
    <n v="2.1700000000000001E-2"/>
    <x v="0"/>
    <x v="2"/>
    <n v="50"/>
    <x v="2"/>
    <n v="0"/>
    <n v="0"/>
    <s v="quarterly"/>
    <n v="0.9"/>
    <n v="1"/>
    <n v="0"/>
    <x v="1"/>
    <n v="1"/>
    <m/>
    <s v="document"/>
    <n v="50"/>
    <n v="50"/>
  </r>
  <r>
    <s v="41122-tenders"/>
    <x v="47"/>
    <n v="41122"/>
    <x v="3"/>
    <s v="tenders"/>
    <x v="27"/>
    <x v="0"/>
    <x v="4"/>
    <x v="4"/>
    <n v="32"/>
    <n v="2.1700000000000001E-2"/>
    <x v="0"/>
    <x v="2"/>
    <n v="50"/>
    <x v="2"/>
    <n v="0"/>
    <n v="0"/>
    <s v="quarterly"/>
    <n v="0.9"/>
    <n v="1"/>
    <n v="0"/>
    <x v="1"/>
    <n v="1"/>
    <m/>
    <s v="document"/>
    <n v="50"/>
    <n v="50"/>
  </r>
  <r>
    <s v="41122-foia"/>
    <x v="47"/>
    <n v="41122"/>
    <x v="7"/>
    <s v="foia"/>
    <x v="36"/>
    <x v="2"/>
    <x v="6"/>
    <x v="7"/>
    <n v="1"/>
    <n v="3.3300000000000003E-2"/>
    <x v="0"/>
    <x v="5"/>
    <n v="33.33"/>
    <x v="1"/>
    <n v="0"/>
    <n v="0"/>
    <s v="quarterly"/>
    <n v="0.9"/>
    <n v="1"/>
    <n v="0"/>
    <x v="3"/>
    <n v="0"/>
    <n v="33.33"/>
    <m/>
    <n v="0"/>
    <n v="33.33"/>
  </r>
  <r>
    <s v="41122-accessibility"/>
    <x v="47"/>
    <n v="41122"/>
    <x v="15"/>
    <s v="accessibility"/>
    <x v="37"/>
    <x v="2"/>
    <x v="6"/>
    <x v="7"/>
    <n v="3"/>
    <n v="3.3300000000000003E-2"/>
    <x v="0"/>
    <x v="5"/>
    <n v="66.66"/>
    <x v="6"/>
    <n v="0"/>
    <n v="0"/>
    <s v="quarterly"/>
    <n v="0.9"/>
    <n v="1"/>
    <n v="0"/>
    <x v="3"/>
    <n v="0"/>
    <n v="66.66"/>
    <m/>
    <n v="0"/>
    <n v="66.66"/>
  </r>
  <r>
    <s v="41122-implementation-schedules"/>
    <x v="47"/>
    <n v="41122"/>
    <x v="171"/>
    <s v="implementation-schedules"/>
    <x v="38"/>
    <x v="2"/>
    <x v="6"/>
    <x v="7"/>
    <n v="2"/>
    <n v="3.3300000000000003E-2"/>
    <x v="0"/>
    <x v="5"/>
    <n v="94"/>
    <x v="130"/>
    <n v="0"/>
    <n v="0"/>
    <s v="quarterly"/>
    <n v="0.9"/>
    <n v="1"/>
    <n v="0"/>
    <x v="3"/>
    <n v="0"/>
    <n v="94"/>
    <m/>
    <n v="0"/>
    <n v="94"/>
  </r>
  <r>
    <s v="FR-3-dates-actual"/>
    <x v="48"/>
    <s v="FR-3"/>
    <x v="0"/>
    <s v="dates-actual"/>
    <x v="0"/>
    <x v="0"/>
    <x v="0"/>
    <x v="0"/>
    <n v="17"/>
    <n v="1.6299999999999999E-2"/>
    <x v="0"/>
    <x v="0"/>
    <n v="0"/>
    <x v="0"/>
    <n v="0"/>
    <n v="0"/>
    <m/>
    <n v="1"/>
    <n v="1"/>
    <n v="0"/>
    <x v="0"/>
    <n v="0"/>
    <m/>
    <m/>
    <n v="0"/>
    <n v="0"/>
  </r>
  <r>
    <s v="FR-3-contact-details"/>
    <x v="48"/>
    <s v="FR-3"/>
    <x v="1"/>
    <s v="contact-details"/>
    <x v="1"/>
    <x v="0"/>
    <x v="0"/>
    <x v="0"/>
    <n v="19"/>
    <n v="1.6299999999999999E-2"/>
    <x v="0"/>
    <x v="1"/>
    <n v="33.33"/>
    <x v="1"/>
    <n v="0"/>
    <n v="0"/>
    <m/>
    <n v="1"/>
    <n v="1"/>
    <n v="0"/>
    <x v="1"/>
    <n v="1"/>
    <m/>
    <s v="website"/>
    <n v="33.33"/>
    <n v="33.33"/>
  </r>
  <r>
    <s v="FR-3-current-status"/>
    <x v="48"/>
    <s v="FR-3"/>
    <x v="1"/>
    <s v="current-status"/>
    <x v="2"/>
    <x v="0"/>
    <x v="0"/>
    <x v="0"/>
    <n v="18"/>
    <n v="1.6299999999999999E-2"/>
    <x v="0"/>
    <x v="1"/>
    <n v="33.33"/>
    <x v="1"/>
    <n v="0"/>
    <n v="0"/>
    <m/>
    <n v="1"/>
    <n v="1"/>
    <n v="0"/>
    <x v="1"/>
    <n v="1"/>
    <m/>
    <s v="website"/>
    <n v="33.33"/>
    <n v="33.33"/>
  </r>
  <r>
    <s v="FR-3-description"/>
    <x v="48"/>
    <s v="FR-3"/>
    <x v="18"/>
    <s v="description"/>
    <x v="3"/>
    <x v="0"/>
    <x v="0"/>
    <x v="0"/>
    <n v="15"/>
    <n v="1.6299999999999999E-2"/>
    <x v="0"/>
    <x v="3"/>
    <n v="16.664999999999999"/>
    <x v="4"/>
    <n v="0"/>
    <n v="0"/>
    <m/>
    <n v="1"/>
    <n v="1"/>
    <n v="0"/>
    <x v="1"/>
    <n v="1"/>
    <m/>
    <s v="pdf"/>
    <n v="16.664999999999999"/>
    <n v="16.664999999999999"/>
  </r>
  <r>
    <s v="FR-3-implementer"/>
    <x v="48"/>
    <s v="FR-3"/>
    <x v="1"/>
    <s v="implementer"/>
    <x v="4"/>
    <x v="0"/>
    <x v="0"/>
    <x v="0"/>
    <n v="12"/>
    <n v="1.6299999999999999E-2"/>
    <x v="0"/>
    <x v="1"/>
    <n v="33.33"/>
    <x v="1"/>
    <n v="0"/>
    <n v="0"/>
    <m/>
    <n v="1"/>
    <n v="1"/>
    <n v="0"/>
    <x v="1"/>
    <n v="1"/>
    <m/>
    <s v="website"/>
    <n v="33.33"/>
    <n v="33.33"/>
  </r>
  <r>
    <s v="FR-3-dates-planned"/>
    <x v="48"/>
    <s v="FR-3"/>
    <x v="0"/>
    <s v="dates-planned"/>
    <x v="5"/>
    <x v="0"/>
    <x v="0"/>
    <x v="0"/>
    <n v="16"/>
    <n v="1.6299999999999999E-2"/>
    <x v="0"/>
    <x v="1"/>
    <n v="0"/>
    <x v="0"/>
    <n v="0"/>
    <n v="0"/>
    <m/>
    <n v="1"/>
    <n v="1"/>
    <n v="0"/>
    <x v="2"/>
    <n v="0"/>
    <m/>
    <s v="website"/>
    <n v="33.33"/>
    <n v="0"/>
  </r>
  <r>
    <s v="FR-3-title"/>
    <x v="48"/>
    <s v="FR-3"/>
    <x v="1"/>
    <s v="title"/>
    <x v="6"/>
    <x v="0"/>
    <x v="0"/>
    <x v="0"/>
    <n v="14"/>
    <n v="1.6299999999999999E-2"/>
    <x v="0"/>
    <x v="1"/>
    <n v="33.33"/>
    <x v="1"/>
    <n v="0"/>
    <n v="0"/>
    <m/>
    <n v="1"/>
    <n v="1"/>
    <n v="0"/>
    <x v="1"/>
    <n v="1"/>
    <m/>
    <s v="website"/>
    <n v="33.33"/>
    <n v="33.33"/>
  </r>
  <r>
    <s v="FR-3-unique-id"/>
    <x v="48"/>
    <s v="FR-3"/>
    <x v="1"/>
    <s v="unique-id"/>
    <x v="7"/>
    <x v="0"/>
    <x v="0"/>
    <x v="0"/>
    <n v="13"/>
    <n v="1.6299999999999999E-2"/>
    <x v="0"/>
    <x v="1"/>
    <n v="33.33"/>
    <x v="1"/>
    <n v="0"/>
    <n v="0"/>
    <m/>
    <n v="1"/>
    <n v="1"/>
    <n v="0"/>
    <x v="1"/>
    <n v="1"/>
    <m/>
    <s v="website"/>
    <n v="33.33"/>
    <n v="33.33"/>
  </r>
  <r>
    <s v="FR-3-aid-type"/>
    <x v="48"/>
    <s v="FR-3"/>
    <x v="13"/>
    <s v="aid-type"/>
    <x v="8"/>
    <x v="0"/>
    <x v="1"/>
    <x v="1"/>
    <n v="22"/>
    <n v="1.8599999999999998E-2"/>
    <x v="0"/>
    <x v="3"/>
    <n v="16.664999999999999"/>
    <x v="4"/>
    <n v="0"/>
    <n v="0"/>
    <m/>
    <n v="1"/>
    <n v="1"/>
    <n v="0"/>
    <x v="1"/>
    <n v="1"/>
    <m/>
    <s v="pdf"/>
    <n v="16.664999999999999"/>
    <n v="16.664999999999999"/>
  </r>
  <r>
    <s v="FR-3-collaboration-type"/>
    <x v="48"/>
    <s v="FR-3"/>
    <x v="0"/>
    <s v="collaboration-type"/>
    <x v="9"/>
    <x v="0"/>
    <x v="1"/>
    <x v="1"/>
    <n v="20"/>
    <n v="1.8599999999999998E-2"/>
    <x v="0"/>
    <x v="0"/>
    <n v="0"/>
    <x v="0"/>
    <n v="0"/>
    <n v="0"/>
    <m/>
    <n v="1"/>
    <n v="1"/>
    <n v="0"/>
    <x v="0"/>
    <n v="0"/>
    <m/>
    <m/>
    <n v="0"/>
    <n v="0"/>
  </r>
  <r>
    <s v="FR-3-finance-type"/>
    <x v="48"/>
    <s v="FR-3"/>
    <x v="13"/>
    <s v="finance-type"/>
    <x v="10"/>
    <x v="0"/>
    <x v="1"/>
    <x v="1"/>
    <n v="23"/>
    <n v="1.8599999999999998E-2"/>
    <x v="0"/>
    <x v="3"/>
    <n v="16.664999999999999"/>
    <x v="4"/>
    <n v="0"/>
    <n v="0"/>
    <m/>
    <n v="1"/>
    <n v="1"/>
    <n v="0"/>
    <x v="1"/>
    <n v="1"/>
    <m/>
    <s v="pdf"/>
    <n v="16.664999999999999"/>
    <n v="16.664999999999999"/>
  </r>
  <r>
    <s v="FR-3-flow-type"/>
    <x v="48"/>
    <s v="FR-3"/>
    <x v="0"/>
    <s v="flow-type"/>
    <x v="11"/>
    <x v="0"/>
    <x v="1"/>
    <x v="1"/>
    <n v="21"/>
    <n v="1.8599999999999998E-2"/>
    <x v="0"/>
    <x v="0"/>
    <n v="0"/>
    <x v="0"/>
    <n v="0"/>
    <n v="0"/>
    <m/>
    <n v="1"/>
    <n v="1"/>
    <n v="0"/>
    <x v="0"/>
    <n v="0"/>
    <m/>
    <m/>
    <n v="0"/>
    <n v="0"/>
  </r>
  <r>
    <s v="FR-3-sector"/>
    <x v="48"/>
    <s v="FR-3"/>
    <x v="8"/>
    <s v="sector"/>
    <x v="12"/>
    <x v="0"/>
    <x v="1"/>
    <x v="1"/>
    <n v="24"/>
    <n v="1.8599999999999998E-2"/>
    <x v="0"/>
    <x v="1"/>
    <n v="33.33"/>
    <x v="1"/>
    <n v="0"/>
    <n v="0"/>
    <m/>
    <n v="1"/>
    <n v="1"/>
    <n v="0"/>
    <x v="1"/>
    <n v="1"/>
    <m/>
    <s v="website"/>
    <n v="33.33"/>
    <n v="33.33"/>
  </r>
  <r>
    <s v="FR-3-location"/>
    <x v="48"/>
    <s v="FR-3"/>
    <x v="8"/>
    <s v="location"/>
    <x v="13"/>
    <x v="0"/>
    <x v="1"/>
    <x v="1"/>
    <n v="25"/>
    <n v="1.8599999999999998E-2"/>
    <x v="0"/>
    <x v="1"/>
    <n v="33.33"/>
    <x v="1"/>
    <n v="0"/>
    <n v="0"/>
    <m/>
    <n v="1"/>
    <n v="1"/>
    <n v="0"/>
    <x v="1"/>
    <n v="1"/>
    <m/>
    <s v="website"/>
    <n v="33.33"/>
    <n v="33.33"/>
  </r>
  <r>
    <s v="FR-3-tied-aid-status"/>
    <x v="48"/>
    <s v="FR-3"/>
    <x v="8"/>
    <s v="tied-aid-status"/>
    <x v="14"/>
    <x v="0"/>
    <x v="1"/>
    <x v="1"/>
    <n v="26"/>
    <n v="1.8599999999999998E-2"/>
    <x v="0"/>
    <x v="1"/>
    <n v="33.33"/>
    <x v="1"/>
    <n v="0"/>
    <n v="0"/>
    <m/>
    <n v="1"/>
    <n v="1"/>
    <n v="0"/>
    <x v="1"/>
    <n v="1"/>
    <m/>
    <s v="website"/>
    <n v="33.33"/>
    <n v="33.33"/>
  </r>
  <r>
    <s v="FR-3-expenditure-actual"/>
    <x v="48"/>
    <s v="FR-3"/>
    <x v="0"/>
    <s v="expenditure-actual"/>
    <x v="15"/>
    <x v="0"/>
    <x v="2"/>
    <x v="2"/>
    <n v="35"/>
    <n v="3.2500000000000001E-2"/>
    <x v="0"/>
    <x v="0"/>
    <n v="0"/>
    <x v="0"/>
    <n v="0"/>
    <n v="0"/>
    <m/>
    <n v="1"/>
    <n v="1"/>
    <n v="0"/>
    <x v="0"/>
    <n v="0"/>
    <m/>
    <m/>
    <n v="0"/>
    <n v="0"/>
  </r>
  <r>
    <s v="FR-3-cost-overall"/>
    <x v="48"/>
    <s v="FR-3"/>
    <x v="0"/>
    <s v="cost-overall"/>
    <x v="16"/>
    <x v="0"/>
    <x v="2"/>
    <x v="2"/>
    <n v="33"/>
    <n v="3.2500000000000001E-2"/>
    <x v="0"/>
    <x v="0"/>
    <n v="0"/>
    <x v="0"/>
    <n v="0"/>
    <n v="0"/>
    <m/>
    <n v="1"/>
    <n v="1"/>
    <n v="0"/>
    <x v="0"/>
    <n v="0"/>
    <m/>
    <m/>
    <n v="0"/>
    <n v="0"/>
  </r>
  <r>
    <s v="FR-3-expenditure-planned"/>
    <x v="48"/>
    <s v="FR-3"/>
    <x v="2"/>
    <s v="expenditure-planned"/>
    <x v="17"/>
    <x v="0"/>
    <x v="2"/>
    <x v="2"/>
    <n v="34"/>
    <n v="3.2500000000000001E-2"/>
    <x v="0"/>
    <x v="1"/>
    <n v="33.33"/>
    <x v="1"/>
    <n v="0"/>
    <n v="0"/>
    <m/>
    <n v="1"/>
    <n v="1"/>
    <n v="0"/>
    <x v="1"/>
    <n v="1"/>
    <m/>
    <s v="website"/>
    <n v="33.33"/>
    <n v="33.33"/>
  </r>
  <r>
    <s v="FR-3-budget-identifier"/>
    <x v="48"/>
    <s v="FR-3"/>
    <x v="0"/>
    <s v="budget-identifier"/>
    <x v="18"/>
    <x v="0"/>
    <x v="2"/>
    <x v="2"/>
    <n v="36"/>
    <n v="3.2500000000000001E-2"/>
    <x v="0"/>
    <x v="0"/>
    <n v="0"/>
    <x v="0"/>
    <n v="0"/>
    <n v="0"/>
    <m/>
    <n v="1"/>
    <n v="1"/>
    <n v="0"/>
    <x v="0"/>
    <n v="0"/>
    <m/>
    <m/>
    <n v="0"/>
    <n v="0"/>
  </r>
  <r>
    <s v="FR-3-conditions"/>
    <x v="48"/>
    <s v="FR-3"/>
    <x v="0"/>
    <s v="conditions"/>
    <x v="19"/>
    <x v="0"/>
    <x v="3"/>
    <x v="3"/>
    <n v="39"/>
    <n v="4.3299999999999998E-2"/>
    <x v="0"/>
    <x v="2"/>
    <n v="0"/>
    <x v="0"/>
    <n v="0"/>
    <n v="0"/>
    <m/>
    <n v="1"/>
    <n v="1"/>
    <n v="0"/>
    <x v="2"/>
    <n v="0"/>
    <m/>
    <s v="document"/>
    <n v="50"/>
    <n v="0"/>
  </r>
  <r>
    <s v="FR-3-impact-appraisals"/>
    <x v="48"/>
    <s v="FR-3"/>
    <x v="20"/>
    <s v="impact-appraisals"/>
    <x v="20"/>
    <x v="0"/>
    <x v="3"/>
    <x v="3"/>
    <n v="38"/>
    <n v="4.3299999999999998E-2"/>
    <x v="0"/>
    <x v="2"/>
    <n v="50"/>
    <x v="2"/>
    <n v="0"/>
    <n v="0"/>
    <m/>
    <n v="1"/>
    <n v="1"/>
    <n v="0"/>
    <x v="1"/>
    <n v="1"/>
    <m/>
    <s v="document"/>
    <n v="50"/>
    <n v="50"/>
  </r>
  <r>
    <s v="FR-3-results"/>
    <x v="48"/>
    <s v="FR-3"/>
    <x v="0"/>
    <s v="results"/>
    <x v="21"/>
    <x v="0"/>
    <x v="3"/>
    <x v="3"/>
    <n v="37"/>
    <n v="4.3299999999999998E-2"/>
    <x v="0"/>
    <x v="3"/>
    <n v="0"/>
    <x v="0"/>
    <n v="0"/>
    <n v="0"/>
    <m/>
    <n v="1"/>
    <n v="1"/>
    <n v="0"/>
    <x v="2"/>
    <n v="0"/>
    <m/>
    <s v="pdf"/>
    <n v="16.664999999999999"/>
    <n v="0"/>
  </r>
  <r>
    <s v="FR-3-budget"/>
    <x v="48"/>
    <s v="FR-3"/>
    <x v="0"/>
    <s v="budget"/>
    <x v="22"/>
    <x v="0"/>
    <x v="4"/>
    <x v="4"/>
    <n v="30"/>
    <n v="2.1700000000000001E-2"/>
    <x v="0"/>
    <x v="2"/>
    <n v="0"/>
    <x v="0"/>
    <n v="0"/>
    <n v="0"/>
    <m/>
    <n v="1"/>
    <n v="1"/>
    <n v="0"/>
    <x v="2"/>
    <n v="0"/>
    <m/>
    <s v="document"/>
    <n v="50"/>
    <n v="0"/>
  </r>
  <r>
    <s v="FR-3-contracts"/>
    <x v="48"/>
    <s v="FR-3"/>
    <x v="0"/>
    <s v="contracts"/>
    <x v="23"/>
    <x v="0"/>
    <x v="4"/>
    <x v="4"/>
    <n v="31"/>
    <n v="2.1700000000000001E-2"/>
    <x v="0"/>
    <x v="2"/>
    <n v="0"/>
    <x v="0"/>
    <n v="0"/>
    <n v="0"/>
    <m/>
    <n v="1"/>
    <n v="1"/>
    <n v="0"/>
    <x v="0"/>
    <n v="0"/>
    <m/>
    <s v="document"/>
    <n v="50"/>
    <n v="0"/>
  </r>
  <r>
    <s v="FR-3-evaluations"/>
    <x v="48"/>
    <s v="FR-3"/>
    <x v="3"/>
    <s v="evaluations"/>
    <x v="24"/>
    <x v="0"/>
    <x v="4"/>
    <x v="4"/>
    <n v="28"/>
    <n v="2.1700000000000001E-2"/>
    <x v="0"/>
    <x v="2"/>
    <n v="50"/>
    <x v="2"/>
    <n v="0"/>
    <n v="0"/>
    <m/>
    <n v="1"/>
    <n v="1"/>
    <n v="0"/>
    <x v="1"/>
    <n v="1"/>
    <m/>
    <s v="document"/>
    <n v="50"/>
    <n v="50"/>
  </r>
  <r>
    <s v="FR-3-mou"/>
    <x v="48"/>
    <s v="FR-3"/>
    <x v="0"/>
    <s v="mou"/>
    <x v="25"/>
    <x v="0"/>
    <x v="4"/>
    <x v="4"/>
    <n v="27"/>
    <n v="2.1700000000000001E-2"/>
    <x v="0"/>
    <x v="2"/>
    <n v="0"/>
    <x v="0"/>
    <n v="0"/>
    <n v="0"/>
    <m/>
    <n v="1"/>
    <n v="1"/>
    <n v="0"/>
    <x v="2"/>
    <n v="0"/>
    <m/>
    <s v="document"/>
    <n v="50"/>
    <n v="0"/>
  </r>
  <r>
    <s v="FR-3-objectives"/>
    <x v="48"/>
    <s v="FR-3"/>
    <x v="3"/>
    <s v="objectives"/>
    <x v="26"/>
    <x v="0"/>
    <x v="4"/>
    <x v="4"/>
    <n v="29"/>
    <n v="2.1700000000000001E-2"/>
    <x v="0"/>
    <x v="2"/>
    <n v="50"/>
    <x v="2"/>
    <n v="0"/>
    <n v="0"/>
    <m/>
    <n v="1"/>
    <n v="1"/>
    <n v="0"/>
    <x v="1"/>
    <n v="1"/>
    <m/>
    <s v="document"/>
    <n v="50"/>
    <n v="50"/>
  </r>
  <r>
    <s v="FR-3-tenders"/>
    <x v="48"/>
    <s v="FR-3"/>
    <x v="3"/>
    <s v="tenders"/>
    <x v="27"/>
    <x v="0"/>
    <x v="4"/>
    <x v="4"/>
    <n v="32"/>
    <n v="2.1700000000000001E-2"/>
    <x v="0"/>
    <x v="2"/>
    <n v="50"/>
    <x v="2"/>
    <n v="0"/>
    <n v="0"/>
    <m/>
    <n v="1"/>
    <n v="1"/>
    <n v="0"/>
    <x v="1"/>
    <n v="1"/>
    <m/>
    <s v="document"/>
    <n v="50"/>
    <n v="50"/>
  </r>
  <r>
    <s v="FR-3-audit"/>
    <x v="48"/>
    <s v="FR-3"/>
    <x v="4"/>
    <s v="audit"/>
    <x v="28"/>
    <x v="1"/>
    <x v="2"/>
    <x v="5"/>
    <n v="11"/>
    <n v="4.1700000000000001E-2"/>
    <x v="0"/>
    <x v="2"/>
    <n v="50"/>
    <x v="2"/>
    <n v="0"/>
    <n v="0"/>
    <m/>
    <n v="1"/>
    <n v="1"/>
    <n v="0"/>
    <x v="1"/>
    <n v="1"/>
    <m/>
    <s v="document"/>
    <n v="50"/>
    <n v="50"/>
  </r>
  <r>
    <s v="FR-3-total-budget"/>
    <x v="48"/>
    <s v="FR-3"/>
    <x v="0"/>
    <s v="total-budget"/>
    <x v="29"/>
    <x v="1"/>
    <x v="2"/>
    <x v="5"/>
    <n v="9"/>
    <n v="4.1700000000000001E-2"/>
    <x v="0"/>
    <x v="0"/>
    <n v="0"/>
    <x v="0"/>
    <n v="0"/>
    <n v="0"/>
    <m/>
    <n v="1"/>
    <n v="1"/>
    <n v="0"/>
    <x v="3"/>
    <n v="0"/>
    <n v="0"/>
    <m/>
    <n v="0"/>
    <n v="0"/>
  </r>
  <r>
    <s v="FR-3-disaggregated-budgets"/>
    <x v="48"/>
    <s v="FR-3"/>
    <x v="0"/>
    <s v="disaggregated-budgets"/>
    <x v="30"/>
    <x v="1"/>
    <x v="2"/>
    <x v="5"/>
    <n v="10"/>
    <n v="4.1700000000000001E-2"/>
    <x v="0"/>
    <x v="0"/>
    <n v="0"/>
    <x v="0"/>
    <n v="0"/>
    <n v="0"/>
    <m/>
    <n v="1"/>
    <n v="1"/>
    <n v="0"/>
    <x v="3"/>
    <n v="0"/>
    <n v="0"/>
    <m/>
    <n v="0"/>
    <n v="0"/>
  </r>
  <r>
    <s v="FR-3-strategy"/>
    <x v="48"/>
    <s v="FR-3"/>
    <x v="6"/>
    <s v="strategy"/>
    <x v="31"/>
    <x v="1"/>
    <x v="5"/>
    <x v="6"/>
    <n v="4"/>
    <n v="2.5000000000000001E-2"/>
    <x v="0"/>
    <x v="2"/>
    <n v="50"/>
    <x v="2"/>
    <n v="0"/>
    <n v="0"/>
    <m/>
    <n v="1"/>
    <n v="1"/>
    <n v="0"/>
    <x v="1"/>
    <n v="1"/>
    <m/>
    <s v="document"/>
    <n v="50"/>
    <n v="50"/>
  </r>
  <r>
    <s v="FR-3-annual-report"/>
    <x v="48"/>
    <s v="FR-3"/>
    <x v="6"/>
    <s v="annual-report"/>
    <x v="32"/>
    <x v="1"/>
    <x v="5"/>
    <x v="6"/>
    <n v="5"/>
    <n v="2.5000000000000001E-2"/>
    <x v="0"/>
    <x v="2"/>
    <n v="50"/>
    <x v="2"/>
    <n v="0"/>
    <n v="0"/>
    <m/>
    <n v="1"/>
    <n v="1"/>
    <n v="0"/>
    <x v="1"/>
    <n v="1"/>
    <m/>
    <s v="document"/>
    <n v="50"/>
    <n v="50"/>
  </r>
  <r>
    <s v="FR-3-allocation"/>
    <x v="48"/>
    <s v="FR-3"/>
    <x v="6"/>
    <s v="allocation"/>
    <x v="33"/>
    <x v="1"/>
    <x v="5"/>
    <x v="6"/>
    <n v="6"/>
    <n v="2.5000000000000001E-2"/>
    <x v="0"/>
    <x v="2"/>
    <n v="50"/>
    <x v="2"/>
    <n v="0"/>
    <n v="0"/>
    <m/>
    <n v="1"/>
    <n v="1"/>
    <n v="0"/>
    <x v="1"/>
    <n v="1"/>
    <m/>
    <s v="document"/>
    <n v="50"/>
    <n v="50"/>
  </r>
  <r>
    <s v="FR-3-procurement-policy"/>
    <x v="48"/>
    <s v="FR-3"/>
    <x v="6"/>
    <s v="procurement-policy"/>
    <x v="34"/>
    <x v="1"/>
    <x v="5"/>
    <x v="6"/>
    <n v="7"/>
    <n v="2.5000000000000001E-2"/>
    <x v="0"/>
    <x v="2"/>
    <n v="50"/>
    <x v="2"/>
    <n v="0"/>
    <n v="0"/>
    <m/>
    <n v="1"/>
    <n v="1"/>
    <n v="0"/>
    <x v="1"/>
    <n v="1"/>
    <m/>
    <s v="document"/>
    <n v="50"/>
    <n v="50"/>
  </r>
  <r>
    <s v="FR-3-country-strategy"/>
    <x v="48"/>
    <s v="FR-3"/>
    <x v="6"/>
    <s v="country-strategy"/>
    <x v="35"/>
    <x v="1"/>
    <x v="5"/>
    <x v="6"/>
    <n v="8"/>
    <n v="2.5000000000000001E-2"/>
    <x v="0"/>
    <x v="2"/>
    <n v="50"/>
    <x v="2"/>
    <n v="0"/>
    <n v="0"/>
    <m/>
    <n v="1"/>
    <n v="1"/>
    <n v="0"/>
    <x v="1"/>
    <n v="1"/>
    <m/>
    <s v="document"/>
    <n v="50"/>
    <n v="50"/>
  </r>
  <r>
    <s v="FR-3-foia"/>
    <x v="48"/>
    <s v="FR-3"/>
    <x v="15"/>
    <s v="foia"/>
    <x v="36"/>
    <x v="2"/>
    <x v="6"/>
    <x v="7"/>
    <n v="1"/>
    <n v="3.3300000000000003E-2"/>
    <x v="0"/>
    <x v="5"/>
    <n v="66.66"/>
    <x v="6"/>
    <n v="0"/>
    <n v="0"/>
    <m/>
    <n v="1"/>
    <n v="1"/>
    <n v="0"/>
    <x v="3"/>
    <n v="0"/>
    <n v="66.66"/>
    <m/>
    <n v="0"/>
    <n v="66.66"/>
  </r>
  <r>
    <s v="FR-3-accessibility"/>
    <x v="48"/>
    <s v="FR-3"/>
    <x v="7"/>
    <s v="accessibility"/>
    <x v="37"/>
    <x v="2"/>
    <x v="6"/>
    <x v="7"/>
    <n v="3"/>
    <n v="3.3300000000000003E-2"/>
    <x v="0"/>
    <x v="5"/>
    <n v="33.33"/>
    <x v="1"/>
    <n v="0"/>
    <n v="0"/>
    <m/>
    <n v="1"/>
    <n v="1"/>
    <n v="0"/>
    <x v="3"/>
    <n v="0"/>
    <n v="33.33"/>
    <m/>
    <n v="0"/>
    <n v="33.33"/>
  </r>
  <r>
    <s v="FR-3-implementation-schedules"/>
    <x v="48"/>
    <s v="FR-3"/>
    <x v="133"/>
    <s v="implementation-schedules"/>
    <x v="38"/>
    <x v="2"/>
    <x v="6"/>
    <x v="7"/>
    <n v="2"/>
    <n v="3.3300000000000003E-2"/>
    <x v="0"/>
    <x v="5"/>
    <n v="31"/>
    <x v="95"/>
    <n v="0"/>
    <n v="0"/>
    <m/>
    <n v="1"/>
    <n v="1"/>
    <n v="0"/>
    <x v="3"/>
    <n v="0"/>
    <n v="31"/>
    <m/>
    <n v="0"/>
    <n v="31"/>
  </r>
  <r>
    <s v="GB-6-dates-actual"/>
    <x v="49"/>
    <s v="GB-6"/>
    <x v="0"/>
    <s v="dates-actual"/>
    <x v="0"/>
    <x v="0"/>
    <x v="0"/>
    <x v="0"/>
    <n v="17"/>
    <n v="1.6299999999999999E-2"/>
    <x v="0"/>
    <x v="0"/>
    <n v="0"/>
    <x v="0"/>
    <n v="0"/>
    <n v="0"/>
    <m/>
    <n v="1"/>
    <n v="1"/>
    <n v="0"/>
    <x v="0"/>
    <n v="0"/>
    <m/>
    <m/>
    <n v="0"/>
    <n v="0"/>
  </r>
  <r>
    <s v="GB-6-contact-details"/>
    <x v="49"/>
    <s v="GB-6"/>
    <x v="0"/>
    <s v="contact-details"/>
    <x v="1"/>
    <x v="0"/>
    <x v="0"/>
    <x v="0"/>
    <n v="19"/>
    <n v="1.6299999999999999E-2"/>
    <x v="0"/>
    <x v="0"/>
    <n v="0"/>
    <x v="0"/>
    <n v="0"/>
    <n v="0"/>
    <m/>
    <n v="1"/>
    <n v="1"/>
    <n v="0"/>
    <x v="0"/>
    <n v="0"/>
    <m/>
    <m/>
    <n v="0"/>
    <n v="0"/>
  </r>
  <r>
    <s v="GB-6-current-status"/>
    <x v="49"/>
    <s v="GB-6"/>
    <x v="0"/>
    <s v="current-status"/>
    <x v="2"/>
    <x v="0"/>
    <x v="0"/>
    <x v="0"/>
    <n v="18"/>
    <n v="1.6299999999999999E-2"/>
    <x v="0"/>
    <x v="0"/>
    <n v="0"/>
    <x v="0"/>
    <n v="0"/>
    <n v="0"/>
    <m/>
    <n v="1"/>
    <n v="1"/>
    <n v="0"/>
    <x v="0"/>
    <n v="0"/>
    <m/>
    <m/>
    <n v="0"/>
    <n v="0"/>
  </r>
  <r>
    <s v="GB-6-description"/>
    <x v="49"/>
    <s v="GB-6"/>
    <x v="0"/>
    <s v="description"/>
    <x v="3"/>
    <x v="0"/>
    <x v="0"/>
    <x v="0"/>
    <n v="15"/>
    <n v="1.6299999999999999E-2"/>
    <x v="0"/>
    <x v="0"/>
    <n v="0"/>
    <x v="0"/>
    <n v="0"/>
    <n v="0"/>
    <m/>
    <n v="1"/>
    <n v="1"/>
    <n v="0"/>
    <x v="0"/>
    <n v="0"/>
    <m/>
    <m/>
    <n v="0"/>
    <n v="0"/>
  </r>
  <r>
    <s v="GB-6-implementer"/>
    <x v="49"/>
    <s v="GB-6"/>
    <x v="0"/>
    <s v="implementer"/>
    <x v="4"/>
    <x v="0"/>
    <x v="0"/>
    <x v="0"/>
    <n v="12"/>
    <n v="1.6299999999999999E-2"/>
    <x v="0"/>
    <x v="0"/>
    <n v="0"/>
    <x v="0"/>
    <n v="0"/>
    <n v="0"/>
    <m/>
    <n v="1"/>
    <n v="1"/>
    <n v="0"/>
    <x v="0"/>
    <n v="0"/>
    <m/>
    <m/>
    <n v="0"/>
    <n v="0"/>
  </r>
  <r>
    <s v="GB-6-dates-planned"/>
    <x v="49"/>
    <s v="GB-6"/>
    <x v="0"/>
    <s v="dates-planned"/>
    <x v="5"/>
    <x v="0"/>
    <x v="0"/>
    <x v="0"/>
    <n v="16"/>
    <n v="1.6299999999999999E-2"/>
    <x v="0"/>
    <x v="0"/>
    <n v="0"/>
    <x v="0"/>
    <n v="0"/>
    <n v="0"/>
    <m/>
    <n v="1"/>
    <n v="1"/>
    <n v="0"/>
    <x v="0"/>
    <n v="0"/>
    <m/>
    <m/>
    <n v="0"/>
    <n v="0"/>
  </r>
  <r>
    <s v="GB-6-title"/>
    <x v="49"/>
    <s v="GB-6"/>
    <x v="0"/>
    <s v="title"/>
    <x v="6"/>
    <x v="0"/>
    <x v="0"/>
    <x v="0"/>
    <n v="14"/>
    <n v="1.6299999999999999E-2"/>
    <x v="0"/>
    <x v="0"/>
    <n v="0"/>
    <x v="0"/>
    <n v="0"/>
    <n v="0"/>
    <m/>
    <n v="1"/>
    <n v="1"/>
    <n v="0"/>
    <x v="0"/>
    <n v="0"/>
    <m/>
    <m/>
    <n v="0"/>
    <n v="0"/>
  </r>
  <r>
    <s v="GB-6-unique-id"/>
    <x v="49"/>
    <s v="GB-6"/>
    <x v="0"/>
    <s v="unique-id"/>
    <x v="7"/>
    <x v="0"/>
    <x v="0"/>
    <x v="0"/>
    <n v="13"/>
    <n v="1.6299999999999999E-2"/>
    <x v="0"/>
    <x v="0"/>
    <n v="0"/>
    <x v="0"/>
    <n v="0"/>
    <n v="0"/>
    <m/>
    <n v="1"/>
    <n v="1"/>
    <n v="0"/>
    <x v="0"/>
    <n v="0"/>
    <m/>
    <m/>
    <n v="0"/>
    <n v="0"/>
  </r>
  <r>
    <s v="GB-6-aid-type"/>
    <x v="49"/>
    <s v="GB-6"/>
    <x v="0"/>
    <s v="aid-type"/>
    <x v="8"/>
    <x v="0"/>
    <x v="1"/>
    <x v="1"/>
    <n v="22"/>
    <n v="1.8599999999999998E-2"/>
    <x v="0"/>
    <x v="0"/>
    <n v="0"/>
    <x v="0"/>
    <n v="0"/>
    <n v="0"/>
    <m/>
    <n v="1"/>
    <n v="1"/>
    <n v="0"/>
    <x v="0"/>
    <n v="0"/>
    <m/>
    <m/>
    <n v="0"/>
    <n v="0"/>
  </r>
  <r>
    <s v="GB-6-collaboration-type"/>
    <x v="49"/>
    <s v="GB-6"/>
    <x v="0"/>
    <s v="collaboration-type"/>
    <x v="9"/>
    <x v="0"/>
    <x v="1"/>
    <x v="1"/>
    <n v="20"/>
    <n v="1.8599999999999998E-2"/>
    <x v="0"/>
    <x v="0"/>
    <n v="0"/>
    <x v="0"/>
    <n v="0"/>
    <n v="0"/>
    <m/>
    <n v="1"/>
    <n v="1"/>
    <n v="0"/>
    <x v="0"/>
    <n v="0"/>
    <m/>
    <m/>
    <n v="0"/>
    <n v="0"/>
  </r>
  <r>
    <s v="GB-6-finance-type"/>
    <x v="49"/>
    <s v="GB-6"/>
    <x v="0"/>
    <s v="finance-type"/>
    <x v="10"/>
    <x v="0"/>
    <x v="1"/>
    <x v="1"/>
    <n v="23"/>
    <n v="1.8599999999999998E-2"/>
    <x v="0"/>
    <x v="0"/>
    <n v="0"/>
    <x v="0"/>
    <n v="0"/>
    <n v="0"/>
    <m/>
    <n v="1"/>
    <n v="1"/>
    <n v="0"/>
    <x v="0"/>
    <n v="0"/>
    <m/>
    <m/>
    <n v="0"/>
    <n v="0"/>
  </r>
  <r>
    <s v="GB-6-flow-type"/>
    <x v="49"/>
    <s v="GB-6"/>
    <x v="0"/>
    <s v="flow-type"/>
    <x v="11"/>
    <x v="0"/>
    <x v="1"/>
    <x v="1"/>
    <n v="21"/>
    <n v="1.8599999999999998E-2"/>
    <x v="0"/>
    <x v="0"/>
    <n v="0"/>
    <x v="0"/>
    <n v="0"/>
    <n v="0"/>
    <m/>
    <n v="1"/>
    <n v="1"/>
    <n v="0"/>
    <x v="0"/>
    <n v="0"/>
    <m/>
    <m/>
    <n v="0"/>
    <n v="0"/>
  </r>
  <r>
    <s v="GB-6-sector"/>
    <x v="49"/>
    <s v="GB-6"/>
    <x v="0"/>
    <s v="sector"/>
    <x v="12"/>
    <x v="0"/>
    <x v="1"/>
    <x v="1"/>
    <n v="24"/>
    <n v="1.8599999999999998E-2"/>
    <x v="0"/>
    <x v="0"/>
    <n v="0"/>
    <x v="0"/>
    <n v="0"/>
    <n v="0"/>
    <m/>
    <n v="1"/>
    <n v="1"/>
    <n v="0"/>
    <x v="0"/>
    <n v="0"/>
    <m/>
    <m/>
    <n v="0"/>
    <n v="0"/>
  </r>
  <r>
    <s v="GB-6-location"/>
    <x v="49"/>
    <s v="GB-6"/>
    <x v="0"/>
    <s v="location"/>
    <x v="13"/>
    <x v="0"/>
    <x v="1"/>
    <x v="1"/>
    <n v="25"/>
    <n v="1.8599999999999998E-2"/>
    <x v="0"/>
    <x v="0"/>
    <n v="0"/>
    <x v="0"/>
    <n v="0"/>
    <n v="0"/>
    <m/>
    <n v="1"/>
    <n v="1"/>
    <n v="0"/>
    <x v="0"/>
    <n v="0"/>
    <m/>
    <m/>
    <n v="0"/>
    <n v="0"/>
  </r>
  <r>
    <s v="GB-6-tied-aid-status"/>
    <x v="49"/>
    <s v="GB-6"/>
    <x v="0"/>
    <s v="tied-aid-status"/>
    <x v="14"/>
    <x v="0"/>
    <x v="1"/>
    <x v="1"/>
    <n v="26"/>
    <n v="1.8599999999999998E-2"/>
    <x v="0"/>
    <x v="0"/>
    <n v="0"/>
    <x v="0"/>
    <n v="0"/>
    <n v="0"/>
    <m/>
    <n v="1"/>
    <n v="1"/>
    <n v="0"/>
    <x v="0"/>
    <n v="0"/>
    <m/>
    <m/>
    <n v="0"/>
    <n v="0"/>
  </r>
  <r>
    <s v="GB-6-expenditure-actual"/>
    <x v="49"/>
    <s v="GB-6"/>
    <x v="0"/>
    <s v="expenditure-actual"/>
    <x v="15"/>
    <x v="0"/>
    <x v="2"/>
    <x v="2"/>
    <n v="35"/>
    <n v="3.2500000000000001E-2"/>
    <x v="0"/>
    <x v="0"/>
    <n v="0"/>
    <x v="0"/>
    <n v="0"/>
    <n v="0"/>
    <m/>
    <n v="1"/>
    <n v="1"/>
    <n v="0"/>
    <x v="0"/>
    <n v="0"/>
    <m/>
    <m/>
    <n v="0"/>
    <n v="0"/>
  </r>
  <r>
    <s v="GB-6-cost-overall"/>
    <x v="49"/>
    <s v="GB-6"/>
    <x v="0"/>
    <s v="cost-overall"/>
    <x v="16"/>
    <x v="0"/>
    <x v="2"/>
    <x v="2"/>
    <n v="33"/>
    <n v="3.2500000000000001E-2"/>
    <x v="0"/>
    <x v="0"/>
    <n v="0"/>
    <x v="0"/>
    <n v="0"/>
    <n v="0"/>
    <m/>
    <n v="1"/>
    <n v="1"/>
    <n v="0"/>
    <x v="0"/>
    <n v="0"/>
    <m/>
    <m/>
    <n v="0"/>
    <n v="0"/>
  </r>
  <r>
    <s v="GB-6-expenditure-planned"/>
    <x v="49"/>
    <s v="GB-6"/>
    <x v="0"/>
    <s v="expenditure-planned"/>
    <x v="17"/>
    <x v="0"/>
    <x v="2"/>
    <x v="2"/>
    <n v="34"/>
    <n v="3.2500000000000001E-2"/>
    <x v="0"/>
    <x v="0"/>
    <n v="0"/>
    <x v="0"/>
    <n v="0"/>
    <n v="0"/>
    <m/>
    <n v="1"/>
    <n v="1"/>
    <n v="0"/>
    <x v="0"/>
    <n v="0"/>
    <m/>
    <m/>
    <n v="0"/>
    <n v="0"/>
  </r>
  <r>
    <s v="GB-6-budget-identifier"/>
    <x v="49"/>
    <s v="GB-6"/>
    <x v="0"/>
    <s v="budget-identifier"/>
    <x v="18"/>
    <x v="0"/>
    <x v="2"/>
    <x v="2"/>
    <n v="36"/>
    <n v="3.2500000000000001E-2"/>
    <x v="0"/>
    <x v="0"/>
    <n v="0"/>
    <x v="0"/>
    <n v="0"/>
    <n v="0"/>
    <m/>
    <n v="1"/>
    <n v="1"/>
    <n v="0"/>
    <x v="0"/>
    <n v="0"/>
    <m/>
    <m/>
    <n v="0"/>
    <n v="0"/>
  </r>
  <r>
    <s v="GB-6-conditions"/>
    <x v="49"/>
    <s v="GB-6"/>
    <x v="0"/>
    <s v="conditions"/>
    <x v="19"/>
    <x v="0"/>
    <x v="3"/>
    <x v="3"/>
    <n v="39"/>
    <n v="4.3299999999999998E-2"/>
    <x v="0"/>
    <x v="2"/>
    <n v="0"/>
    <x v="0"/>
    <n v="0"/>
    <n v="0"/>
    <m/>
    <n v="1"/>
    <n v="1"/>
    <n v="0"/>
    <x v="0"/>
    <n v="0"/>
    <m/>
    <s v="document"/>
    <n v="50"/>
    <n v="0"/>
  </r>
  <r>
    <s v="GB-6-impact-appraisals"/>
    <x v="49"/>
    <s v="GB-6"/>
    <x v="0"/>
    <s v="impact-appraisals"/>
    <x v="20"/>
    <x v="0"/>
    <x v="3"/>
    <x v="3"/>
    <n v="38"/>
    <n v="4.3299999999999998E-2"/>
    <x v="0"/>
    <x v="2"/>
    <n v="0"/>
    <x v="0"/>
    <n v="0"/>
    <n v="0"/>
    <m/>
    <n v="1"/>
    <n v="1"/>
    <n v="0"/>
    <x v="0"/>
    <n v="0"/>
    <m/>
    <s v="document"/>
    <n v="50"/>
    <n v="0"/>
  </r>
  <r>
    <s v="GB-6-results"/>
    <x v="49"/>
    <s v="GB-6"/>
    <x v="0"/>
    <s v="results"/>
    <x v="21"/>
    <x v="0"/>
    <x v="3"/>
    <x v="3"/>
    <n v="37"/>
    <n v="4.3299999999999998E-2"/>
    <x v="0"/>
    <x v="0"/>
    <n v="0"/>
    <x v="0"/>
    <n v="0"/>
    <n v="0"/>
    <m/>
    <n v="1"/>
    <n v="1"/>
    <n v="0"/>
    <x v="0"/>
    <n v="0"/>
    <m/>
    <m/>
    <n v="0"/>
    <n v="0"/>
  </r>
  <r>
    <s v="GB-6-budget"/>
    <x v="49"/>
    <s v="GB-6"/>
    <x v="0"/>
    <s v="budget"/>
    <x v="22"/>
    <x v="0"/>
    <x v="4"/>
    <x v="4"/>
    <n v="30"/>
    <n v="2.1700000000000001E-2"/>
    <x v="0"/>
    <x v="2"/>
    <n v="0"/>
    <x v="0"/>
    <n v="0"/>
    <n v="0"/>
    <m/>
    <n v="1"/>
    <n v="1"/>
    <n v="0"/>
    <x v="0"/>
    <n v="0"/>
    <m/>
    <s v="document"/>
    <n v="50"/>
    <n v="0"/>
  </r>
  <r>
    <s v="GB-6-contracts"/>
    <x v="49"/>
    <s v="GB-6"/>
    <x v="0"/>
    <s v="contracts"/>
    <x v="23"/>
    <x v="0"/>
    <x v="4"/>
    <x v="4"/>
    <n v="31"/>
    <n v="2.1700000000000001E-2"/>
    <x v="0"/>
    <x v="2"/>
    <n v="0"/>
    <x v="0"/>
    <n v="0"/>
    <n v="0"/>
    <m/>
    <n v="1"/>
    <n v="1"/>
    <n v="0"/>
    <x v="2"/>
    <n v="0"/>
    <m/>
    <s v="document"/>
    <n v="50"/>
    <n v="0"/>
  </r>
  <r>
    <s v="GB-6-evaluations"/>
    <x v="49"/>
    <s v="GB-6"/>
    <x v="0"/>
    <s v="evaluations"/>
    <x v="24"/>
    <x v="0"/>
    <x v="4"/>
    <x v="4"/>
    <n v="28"/>
    <n v="2.1700000000000001E-2"/>
    <x v="0"/>
    <x v="2"/>
    <n v="0"/>
    <x v="0"/>
    <n v="0"/>
    <n v="0"/>
    <m/>
    <n v="1"/>
    <n v="1"/>
    <n v="0"/>
    <x v="0"/>
    <n v="0"/>
    <m/>
    <s v="document"/>
    <n v="50"/>
    <n v="0"/>
  </r>
  <r>
    <s v="GB-6-mou"/>
    <x v="49"/>
    <s v="GB-6"/>
    <x v="0"/>
    <s v="mou"/>
    <x v="25"/>
    <x v="0"/>
    <x v="4"/>
    <x v="4"/>
    <n v="27"/>
    <n v="2.1700000000000001E-2"/>
    <x v="0"/>
    <x v="2"/>
    <n v="0"/>
    <x v="0"/>
    <n v="0"/>
    <n v="0"/>
    <m/>
    <n v="1"/>
    <n v="1"/>
    <n v="0"/>
    <x v="0"/>
    <n v="0"/>
    <m/>
    <s v="document"/>
    <n v="50"/>
    <n v="0"/>
  </r>
  <r>
    <s v="GB-6-objectives"/>
    <x v="49"/>
    <s v="GB-6"/>
    <x v="0"/>
    <s v="objectives"/>
    <x v="26"/>
    <x v="0"/>
    <x v="4"/>
    <x v="4"/>
    <n v="29"/>
    <n v="2.1700000000000001E-2"/>
    <x v="0"/>
    <x v="2"/>
    <n v="0"/>
    <x v="0"/>
    <n v="0"/>
    <n v="0"/>
    <m/>
    <n v="1"/>
    <n v="1"/>
    <n v="0"/>
    <x v="0"/>
    <n v="0"/>
    <m/>
    <s v="document"/>
    <n v="50"/>
    <n v="0"/>
  </r>
  <r>
    <s v="GB-6-tenders"/>
    <x v="49"/>
    <s v="GB-6"/>
    <x v="0"/>
    <s v="tenders"/>
    <x v="27"/>
    <x v="0"/>
    <x v="4"/>
    <x v="4"/>
    <n v="32"/>
    <n v="2.1700000000000001E-2"/>
    <x v="0"/>
    <x v="2"/>
    <n v="0"/>
    <x v="0"/>
    <n v="0"/>
    <n v="0"/>
    <m/>
    <n v="1"/>
    <n v="1"/>
    <n v="0"/>
    <x v="2"/>
    <n v="0"/>
    <m/>
    <s v="document"/>
    <n v="50"/>
    <n v="0"/>
  </r>
  <r>
    <s v="GB-6-audit"/>
    <x v="49"/>
    <s v="GB-6"/>
    <x v="4"/>
    <s v="audit"/>
    <x v="28"/>
    <x v="1"/>
    <x v="2"/>
    <x v="5"/>
    <n v="11"/>
    <n v="4.1700000000000001E-2"/>
    <x v="0"/>
    <x v="2"/>
    <n v="50"/>
    <x v="2"/>
    <n v="0"/>
    <n v="0"/>
    <m/>
    <n v="1"/>
    <n v="1"/>
    <n v="0"/>
    <x v="1"/>
    <n v="1"/>
    <m/>
    <s v="document"/>
    <n v="50"/>
    <n v="50"/>
  </r>
  <r>
    <s v="GB-6-total-budget"/>
    <x v="49"/>
    <s v="GB-6"/>
    <x v="5"/>
    <s v="total-budget"/>
    <x v="29"/>
    <x v="1"/>
    <x v="2"/>
    <x v="5"/>
    <n v="9"/>
    <n v="4.1700000000000001E-2"/>
    <x v="0"/>
    <x v="3"/>
    <n v="11.11"/>
    <x v="3"/>
    <n v="0"/>
    <n v="0"/>
    <m/>
    <n v="1"/>
    <n v="1"/>
    <n v="0"/>
    <x v="3"/>
    <n v="0"/>
    <n v="2"/>
    <s v="pdf"/>
    <n v="16.664999999999999"/>
    <n v="11.11"/>
  </r>
  <r>
    <s v="GB-6-disaggregated-budgets"/>
    <x v="49"/>
    <s v="GB-6"/>
    <x v="0"/>
    <s v="disaggregated-budgets"/>
    <x v="30"/>
    <x v="1"/>
    <x v="2"/>
    <x v="5"/>
    <n v="10"/>
    <n v="4.1700000000000001E-2"/>
    <x v="0"/>
    <x v="0"/>
    <n v="0"/>
    <x v="0"/>
    <n v="0"/>
    <n v="0"/>
    <m/>
    <n v="1"/>
    <n v="1"/>
    <n v="0"/>
    <x v="3"/>
    <n v="0"/>
    <n v="0"/>
    <m/>
    <n v="0"/>
    <n v="0"/>
  </r>
  <r>
    <s v="GB-6-strategy"/>
    <x v="49"/>
    <s v="GB-6"/>
    <x v="6"/>
    <s v="strategy"/>
    <x v="31"/>
    <x v="1"/>
    <x v="5"/>
    <x v="6"/>
    <n v="4"/>
    <n v="2.5000000000000001E-2"/>
    <x v="0"/>
    <x v="2"/>
    <n v="50"/>
    <x v="2"/>
    <n v="0"/>
    <n v="0"/>
    <m/>
    <n v="1"/>
    <n v="1"/>
    <n v="0"/>
    <x v="1"/>
    <n v="1"/>
    <m/>
    <s v="document"/>
    <n v="50"/>
    <n v="50"/>
  </r>
  <r>
    <s v="GB-6-annual-report"/>
    <x v="49"/>
    <s v="GB-6"/>
    <x v="6"/>
    <s v="annual-report"/>
    <x v="32"/>
    <x v="1"/>
    <x v="5"/>
    <x v="6"/>
    <n v="5"/>
    <n v="2.5000000000000001E-2"/>
    <x v="0"/>
    <x v="2"/>
    <n v="50"/>
    <x v="2"/>
    <n v="0"/>
    <n v="0"/>
    <m/>
    <n v="1"/>
    <n v="1"/>
    <n v="0"/>
    <x v="1"/>
    <n v="1"/>
    <m/>
    <s v="document"/>
    <n v="50"/>
    <n v="50"/>
  </r>
  <r>
    <s v="GB-6-allocation"/>
    <x v="49"/>
    <s v="GB-6"/>
    <x v="0"/>
    <s v="allocation"/>
    <x v="33"/>
    <x v="1"/>
    <x v="5"/>
    <x v="6"/>
    <n v="6"/>
    <n v="2.5000000000000001E-2"/>
    <x v="0"/>
    <x v="2"/>
    <n v="0"/>
    <x v="0"/>
    <n v="0"/>
    <n v="0"/>
    <m/>
    <n v="1"/>
    <n v="1"/>
    <n v="0"/>
    <x v="0"/>
    <n v="0"/>
    <m/>
    <s v="document"/>
    <n v="50"/>
    <n v="0"/>
  </r>
  <r>
    <s v="GB-6-procurement-policy"/>
    <x v="49"/>
    <s v="GB-6"/>
    <x v="6"/>
    <s v="procurement-policy"/>
    <x v="34"/>
    <x v="1"/>
    <x v="5"/>
    <x v="6"/>
    <n v="7"/>
    <n v="2.5000000000000001E-2"/>
    <x v="0"/>
    <x v="2"/>
    <n v="50"/>
    <x v="2"/>
    <n v="0"/>
    <n v="0"/>
    <m/>
    <n v="1"/>
    <n v="1"/>
    <n v="0"/>
    <x v="1"/>
    <n v="1"/>
    <m/>
    <s v="document"/>
    <n v="50"/>
    <n v="50"/>
  </r>
  <r>
    <s v="GB-6-country-strategy"/>
    <x v="49"/>
    <s v="GB-6"/>
    <x v="0"/>
    <s v="country-strategy"/>
    <x v="35"/>
    <x v="1"/>
    <x v="5"/>
    <x v="6"/>
    <n v="8"/>
    <n v="2.5000000000000001E-2"/>
    <x v="0"/>
    <x v="2"/>
    <n v="0"/>
    <x v="0"/>
    <n v="0"/>
    <n v="0"/>
    <m/>
    <n v="1"/>
    <n v="1"/>
    <n v="0"/>
    <x v="0"/>
    <n v="0"/>
    <m/>
    <s v="document"/>
    <n v="50"/>
    <n v="0"/>
  </r>
  <r>
    <s v="GB-6-foia"/>
    <x v="49"/>
    <s v="GB-6"/>
    <x v="10"/>
    <s v="foia"/>
    <x v="36"/>
    <x v="2"/>
    <x v="6"/>
    <x v="7"/>
    <n v="1"/>
    <n v="3.3300000000000003E-2"/>
    <x v="0"/>
    <x v="5"/>
    <n v="100"/>
    <x v="5"/>
    <n v="0"/>
    <n v="0"/>
    <m/>
    <n v="1"/>
    <n v="1"/>
    <n v="0"/>
    <x v="3"/>
    <n v="0"/>
    <n v="100"/>
    <m/>
    <n v="0"/>
    <n v="100"/>
  </r>
  <r>
    <s v="GB-6-accessibility"/>
    <x v="49"/>
    <s v="GB-6"/>
    <x v="0"/>
    <s v="accessibility"/>
    <x v="37"/>
    <x v="2"/>
    <x v="6"/>
    <x v="7"/>
    <n v="3"/>
    <n v="3.3300000000000003E-2"/>
    <x v="0"/>
    <x v="5"/>
    <n v="0"/>
    <x v="0"/>
    <n v="0"/>
    <n v="0"/>
    <m/>
    <n v="1"/>
    <n v="1"/>
    <n v="0"/>
    <x v="3"/>
    <n v="0"/>
    <n v="0"/>
    <m/>
    <n v="0"/>
    <n v="0"/>
  </r>
  <r>
    <s v="GB-6-implementation-schedules"/>
    <x v="49"/>
    <s v="GB-6"/>
    <x v="0"/>
    <s v="implementation-schedules"/>
    <x v="38"/>
    <x v="2"/>
    <x v="6"/>
    <x v="7"/>
    <n v="2"/>
    <n v="3.3300000000000003E-2"/>
    <x v="0"/>
    <x v="5"/>
    <n v="0"/>
    <x v="0"/>
    <n v="0"/>
    <n v="0"/>
    <m/>
    <n v="1"/>
    <n v="1"/>
    <n v="0"/>
    <x v="3"/>
    <n v="0"/>
    <n v="0"/>
    <m/>
    <n v="0"/>
    <n v="0"/>
  </r>
  <r>
    <s v="EU-6-dates-actual"/>
    <x v="50"/>
    <s v="EU-6"/>
    <x v="236"/>
    <s v="dates-actual"/>
    <x v="0"/>
    <x v="0"/>
    <x v="0"/>
    <x v="0"/>
    <n v="17"/>
    <n v="1.6299999999999999E-2"/>
    <x v="1"/>
    <x v="6"/>
    <n v="50"/>
    <x v="191"/>
    <n v="99.658703071700003"/>
    <n v="49.829351535800001"/>
    <s v="quarterly"/>
    <n v="0.9"/>
    <n v="0.9"/>
    <n v="44.846416382299999"/>
    <x v="3"/>
    <m/>
    <m/>
    <m/>
    <m/>
    <n v="0"/>
  </r>
  <r>
    <s v="EU-6-contact-details"/>
    <x v="50"/>
    <s v="EU-6"/>
    <x v="236"/>
    <s v="contact-details"/>
    <x v="1"/>
    <x v="0"/>
    <x v="0"/>
    <x v="0"/>
    <n v="19"/>
    <n v="1.6299999999999999E-2"/>
    <x v="1"/>
    <x v="6"/>
    <n v="50"/>
    <x v="191"/>
    <n v="99.658703071700003"/>
    <n v="49.829351535800001"/>
    <s v="quarterly"/>
    <n v="0.9"/>
    <n v="0.9"/>
    <n v="44.846416382299999"/>
    <x v="3"/>
    <m/>
    <m/>
    <m/>
    <m/>
    <n v="0"/>
  </r>
  <r>
    <s v="EU-6-current-status"/>
    <x v="50"/>
    <s v="EU-6"/>
    <x v="26"/>
    <s v="current-status"/>
    <x v="2"/>
    <x v="0"/>
    <x v="0"/>
    <x v="0"/>
    <n v="18"/>
    <n v="1.6299999999999999E-2"/>
    <x v="1"/>
    <x v="6"/>
    <n v="50"/>
    <x v="12"/>
    <n v="100"/>
    <n v="50"/>
    <s v="quarterly"/>
    <n v="0.9"/>
    <n v="0.9"/>
    <n v="45"/>
    <x v="3"/>
    <m/>
    <m/>
    <m/>
    <m/>
    <n v="0"/>
  </r>
  <r>
    <s v="EU-6-description"/>
    <x v="50"/>
    <s v="EU-6"/>
    <x v="237"/>
    <s v="description"/>
    <x v="3"/>
    <x v="0"/>
    <x v="0"/>
    <x v="0"/>
    <n v="15"/>
    <n v="1.6299999999999999E-2"/>
    <x v="1"/>
    <x v="6"/>
    <n v="50"/>
    <x v="192"/>
    <n v="79.692832764499997"/>
    <n v="39.846416382299999"/>
    <s v="quarterly"/>
    <n v="0.9"/>
    <n v="0.9"/>
    <n v="35.861774744000002"/>
    <x v="3"/>
    <m/>
    <m/>
    <m/>
    <m/>
    <n v="0"/>
  </r>
  <r>
    <s v="EU-6-implementer"/>
    <x v="50"/>
    <s v="EU-6"/>
    <x v="238"/>
    <s v="implementer"/>
    <x v="4"/>
    <x v="0"/>
    <x v="0"/>
    <x v="0"/>
    <n v="12"/>
    <n v="1.6299999999999999E-2"/>
    <x v="1"/>
    <x v="6"/>
    <n v="50"/>
    <x v="193"/>
    <n v="99.317406143300005"/>
    <n v="49.658703071700003"/>
    <s v="quarterly"/>
    <n v="0.9"/>
    <n v="0.9"/>
    <n v="44.692832764499997"/>
    <x v="3"/>
    <m/>
    <m/>
    <m/>
    <m/>
    <n v="0"/>
  </r>
  <r>
    <s v="EU-6-dates-planned"/>
    <x v="50"/>
    <s v="EU-6"/>
    <x v="239"/>
    <s v="dates-planned"/>
    <x v="5"/>
    <x v="0"/>
    <x v="0"/>
    <x v="0"/>
    <n v="16"/>
    <n v="1.6299999999999999E-2"/>
    <x v="1"/>
    <x v="6"/>
    <n v="50"/>
    <x v="194"/>
    <n v="99.488054607500004"/>
    <n v="49.744027303800003"/>
    <s v="quarterly"/>
    <n v="0.9"/>
    <n v="0.9"/>
    <n v="44.769624573400002"/>
    <x v="3"/>
    <m/>
    <m/>
    <m/>
    <m/>
    <n v="0"/>
  </r>
  <r>
    <s v="EU-6-title"/>
    <x v="50"/>
    <s v="EU-6"/>
    <x v="26"/>
    <s v="title"/>
    <x v="6"/>
    <x v="0"/>
    <x v="0"/>
    <x v="0"/>
    <n v="14"/>
    <n v="1.6299999999999999E-2"/>
    <x v="1"/>
    <x v="6"/>
    <n v="50"/>
    <x v="12"/>
    <n v="100"/>
    <n v="50"/>
    <s v="quarterly"/>
    <n v="0.9"/>
    <n v="0.9"/>
    <n v="45"/>
    <x v="3"/>
    <m/>
    <m/>
    <m/>
    <m/>
    <n v="0"/>
  </r>
  <r>
    <s v="EU-6-unique-id"/>
    <x v="50"/>
    <s v="EU-6"/>
    <x v="236"/>
    <s v="unique-id"/>
    <x v="7"/>
    <x v="0"/>
    <x v="0"/>
    <x v="0"/>
    <n v="13"/>
    <n v="1.6299999999999999E-2"/>
    <x v="1"/>
    <x v="6"/>
    <n v="50"/>
    <x v="191"/>
    <n v="99.658703071700003"/>
    <n v="49.829351535800001"/>
    <s v="quarterly"/>
    <n v="0.9"/>
    <n v="0.9"/>
    <n v="44.846416382299999"/>
    <x v="3"/>
    <m/>
    <m/>
    <m/>
    <m/>
    <n v="0"/>
  </r>
  <r>
    <s v="EU-6-aid-type"/>
    <x v="50"/>
    <s v="EU-6"/>
    <x v="29"/>
    <s v="aid-type"/>
    <x v="8"/>
    <x v="0"/>
    <x v="1"/>
    <x v="1"/>
    <n v="22"/>
    <n v="1.8599999999999998E-2"/>
    <x v="1"/>
    <x v="6"/>
    <n v="50"/>
    <x v="12"/>
    <n v="100"/>
    <n v="50"/>
    <s v="quarterly"/>
    <n v="0.9"/>
    <n v="0.9"/>
    <n v="45"/>
    <x v="3"/>
    <m/>
    <m/>
    <m/>
    <m/>
    <n v="0"/>
  </r>
  <r>
    <s v="EU-6-collaboration-type"/>
    <x v="50"/>
    <s v="EU-6"/>
    <x v="29"/>
    <s v="collaboration-type"/>
    <x v="9"/>
    <x v="0"/>
    <x v="1"/>
    <x v="1"/>
    <n v="20"/>
    <n v="1.8599999999999998E-2"/>
    <x v="1"/>
    <x v="6"/>
    <n v="50"/>
    <x v="12"/>
    <n v="100"/>
    <n v="50"/>
    <s v="quarterly"/>
    <n v="0.9"/>
    <n v="0.9"/>
    <n v="45"/>
    <x v="3"/>
    <m/>
    <m/>
    <m/>
    <m/>
    <n v="0"/>
  </r>
  <r>
    <s v="EU-6-finance-type"/>
    <x v="50"/>
    <s v="EU-6"/>
    <x v="29"/>
    <s v="finance-type"/>
    <x v="10"/>
    <x v="0"/>
    <x v="1"/>
    <x v="1"/>
    <n v="23"/>
    <n v="1.8599999999999998E-2"/>
    <x v="1"/>
    <x v="6"/>
    <n v="50"/>
    <x v="12"/>
    <n v="100"/>
    <n v="50"/>
    <s v="quarterly"/>
    <n v="0.9"/>
    <n v="0.9"/>
    <n v="45"/>
    <x v="3"/>
    <m/>
    <m/>
    <m/>
    <m/>
    <n v="0"/>
  </r>
  <r>
    <s v="EU-6-flow-type"/>
    <x v="50"/>
    <s v="EU-6"/>
    <x v="29"/>
    <s v="flow-type"/>
    <x v="11"/>
    <x v="0"/>
    <x v="1"/>
    <x v="1"/>
    <n v="21"/>
    <n v="1.8599999999999998E-2"/>
    <x v="1"/>
    <x v="6"/>
    <n v="50"/>
    <x v="12"/>
    <n v="100"/>
    <n v="50"/>
    <s v="quarterly"/>
    <n v="0.9"/>
    <n v="0.9"/>
    <n v="45"/>
    <x v="3"/>
    <m/>
    <m/>
    <m/>
    <m/>
    <n v="0"/>
  </r>
  <r>
    <s v="EU-6-sector"/>
    <x v="50"/>
    <s v="EU-6"/>
    <x v="29"/>
    <s v="sector"/>
    <x v="12"/>
    <x v="0"/>
    <x v="1"/>
    <x v="1"/>
    <n v="24"/>
    <n v="1.8599999999999998E-2"/>
    <x v="1"/>
    <x v="6"/>
    <n v="50"/>
    <x v="12"/>
    <n v="100"/>
    <n v="50"/>
    <s v="quarterly"/>
    <n v="0.9"/>
    <n v="0.9"/>
    <n v="45"/>
    <x v="3"/>
    <m/>
    <m/>
    <m/>
    <m/>
    <n v="0"/>
  </r>
  <r>
    <s v="EU-6-location"/>
    <x v="50"/>
    <s v="EU-6"/>
    <x v="240"/>
    <s v="location"/>
    <x v="13"/>
    <x v="0"/>
    <x v="1"/>
    <x v="1"/>
    <n v="25"/>
    <n v="1.8599999999999998E-2"/>
    <x v="1"/>
    <x v="6"/>
    <n v="50"/>
    <x v="195"/>
    <n v="95.583038869299997"/>
    <n v="47.791519434599998"/>
    <s v="quarterly"/>
    <n v="0.9"/>
    <n v="0.9"/>
    <n v="43.012367491200003"/>
    <x v="3"/>
    <m/>
    <m/>
    <m/>
    <m/>
    <n v="0"/>
  </r>
  <r>
    <s v="EU-6-tied-aid-status"/>
    <x v="50"/>
    <s v="EU-6"/>
    <x v="241"/>
    <s v="tied-aid-status"/>
    <x v="14"/>
    <x v="0"/>
    <x v="1"/>
    <x v="1"/>
    <n v="26"/>
    <n v="1.8599999999999998E-2"/>
    <x v="1"/>
    <x v="6"/>
    <n v="50"/>
    <x v="196"/>
    <n v="95.563139931699993"/>
    <n v="47.781569965899997"/>
    <s v="quarterly"/>
    <n v="0.9"/>
    <n v="0.9"/>
    <n v="43.003412969300001"/>
    <x v="3"/>
    <m/>
    <m/>
    <m/>
    <m/>
    <n v="0"/>
  </r>
  <r>
    <s v="EU-6-expenditure-actual"/>
    <x v="50"/>
    <s v="EU-6"/>
    <x v="242"/>
    <s v="expenditure-actual"/>
    <x v="15"/>
    <x v="0"/>
    <x v="2"/>
    <x v="2"/>
    <n v="35"/>
    <n v="3.2500000000000001E-2"/>
    <x v="1"/>
    <x v="6"/>
    <n v="50"/>
    <x v="197"/>
    <n v="95.904436860100006"/>
    <n v="47.952218430000002"/>
    <s v="quarterly"/>
    <n v="0.9"/>
    <n v="0.9"/>
    <n v="43.156996587000002"/>
    <x v="3"/>
    <m/>
    <m/>
    <m/>
    <m/>
    <n v="0"/>
  </r>
  <r>
    <s v="EU-6-cost-overall"/>
    <x v="50"/>
    <s v="EU-6"/>
    <x v="243"/>
    <s v="cost-overall"/>
    <x v="16"/>
    <x v="0"/>
    <x v="2"/>
    <x v="2"/>
    <n v="33"/>
    <n v="3.2500000000000001E-2"/>
    <x v="1"/>
    <x v="6"/>
    <n v="50"/>
    <x v="198"/>
    <n v="40.090090090099999"/>
    <n v="20.045045044999998"/>
    <s v="quarterly"/>
    <n v="0.9"/>
    <n v="0.9"/>
    <n v="18.0405405405"/>
    <x v="3"/>
    <m/>
    <m/>
    <m/>
    <m/>
    <n v="0"/>
  </r>
  <r>
    <s v="EU-6-expenditure-planned"/>
    <x v="50"/>
    <s v="EU-6"/>
    <x v="60"/>
    <s v="expenditure-planned"/>
    <x v="17"/>
    <x v="0"/>
    <x v="2"/>
    <x v="2"/>
    <n v="34"/>
    <n v="3.2500000000000001E-2"/>
    <x v="1"/>
    <x v="6"/>
    <n v="50"/>
    <x v="12"/>
    <n v="100"/>
    <n v="50"/>
    <s v="quarterly"/>
    <n v="0.9"/>
    <n v="0.9"/>
    <n v="45"/>
    <x v="3"/>
    <m/>
    <m/>
    <m/>
    <m/>
    <n v="0"/>
  </r>
  <r>
    <s v="EU-6-audit"/>
    <x v="50"/>
    <s v="EU-6"/>
    <x v="42"/>
    <s v="audit"/>
    <x v="28"/>
    <x v="1"/>
    <x v="2"/>
    <x v="5"/>
    <n v="11"/>
    <n v="4.1700000000000001E-2"/>
    <x v="1"/>
    <x v="6"/>
    <n v="50"/>
    <x v="5"/>
    <n v="100"/>
    <n v="50"/>
    <s v="quarterly"/>
    <n v="0.9"/>
    <n v="1"/>
    <n v="50"/>
    <x v="3"/>
    <m/>
    <m/>
    <m/>
    <m/>
    <n v="0"/>
  </r>
  <r>
    <s v="EU-6-total-budget"/>
    <x v="50"/>
    <s v="EU-6"/>
    <x v="42"/>
    <s v="total-budget"/>
    <x v="29"/>
    <x v="1"/>
    <x v="2"/>
    <x v="5"/>
    <n v="9"/>
    <n v="4.1700000000000001E-2"/>
    <x v="1"/>
    <x v="6"/>
    <n v="50"/>
    <x v="5"/>
    <n v="100"/>
    <n v="50"/>
    <s v="quarterly"/>
    <n v="0.9"/>
    <n v="1"/>
    <n v="50"/>
    <x v="3"/>
    <m/>
    <m/>
    <m/>
    <m/>
    <n v="0"/>
  </r>
  <r>
    <s v="EU-6-disaggregated-budgets"/>
    <x v="50"/>
    <s v="EU-6"/>
    <x v="69"/>
    <s v="disaggregated-budgets"/>
    <x v="30"/>
    <x v="1"/>
    <x v="2"/>
    <x v="5"/>
    <n v="10"/>
    <n v="4.1700000000000001E-2"/>
    <x v="1"/>
    <x v="6"/>
    <n v="50"/>
    <x v="41"/>
    <n v="33.333333333299997"/>
    <n v="16.666666666699999"/>
    <s v="quarterly"/>
    <n v="0.9"/>
    <n v="1"/>
    <n v="16.666666666699999"/>
    <x v="3"/>
    <m/>
    <m/>
    <m/>
    <m/>
    <n v="0"/>
  </r>
  <r>
    <s v="EU-6-strategy"/>
    <x v="50"/>
    <s v="EU-6"/>
    <x v="43"/>
    <s v="strategy"/>
    <x v="31"/>
    <x v="1"/>
    <x v="5"/>
    <x v="6"/>
    <n v="4"/>
    <n v="2.5000000000000001E-2"/>
    <x v="1"/>
    <x v="6"/>
    <n v="50"/>
    <x v="5"/>
    <n v="100"/>
    <n v="50"/>
    <s v="quarterly"/>
    <n v="0.9"/>
    <n v="1"/>
    <n v="50"/>
    <x v="3"/>
    <m/>
    <m/>
    <m/>
    <m/>
    <n v="0"/>
  </r>
  <r>
    <s v="EU-6-annual-report"/>
    <x v="50"/>
    <s v="EU-6"/>
    <x v="43"/>
    <s v="annual-report"/>
    <x v="32"/>
    <x v="1"/>
    <x v="5"/>
    <x v="6"/>
    <n v="5"/>
    <n v="2.5000000000000001E-2"/>
    <x v="1"/>
    <x v="6"/>
    <n v="50"/>
    <x v="5"/>
    <n v="100"/>
    <n v="50"/>
    <s v="quarterly"/>
    <n v="0.9"/>
    <n v="1"/>
    <n v="50"/>
    <x v="3"/>
    <m/>
    <m/>
    <m/>
    <m/>
    <n v="0"/>
  </r>
  <r>
    <s v="EU-6-allocation"/>
    <x v="50"/>
    <s v="EU-6"/>
    <x v="43"/>
    <s v="allocation"/>
    <x v="33"/>
    <x v="1"/>
    <x v="5"/>
    <x v="6"/>
    <n v="6"/>
    <n v="2.5000000000000001E-2"/>
    <x v="1"/>
    <x v="6"/>
    <n v="50"/>
    <x v="5"/>
    <n v="100"/>
    <n v="50"/>
    <s v="quarterly"/>
    <n v="0.9"/>
    <n v="1"/>
    <n v="50"/>
    <x v="3"/>
    <m/>
    <m/>
    <m/>
    <m/>
    <n v="0"/>
  </r>
  <r>
    <s v="EU-6-procurement-policy"/>
    <x v="50"/>
    <s v="EU-6"/>
    <x v="43"/>
    <s v="procurement-policy"/>
    <x v="34"/>
    <x v="1"/>
    <x v="5"/>
    <x v="6"/>
    <n v="7"/>
    <n v="2.5000000000000001E-2"/>
    <x v="1"/>
    <x v="6"/>
    <n v="50"/>
    <x v="5"/>
    <n v="100"/>
    <n v="50"/>
    <s v="quarterly"/>
    <n v="0.9"/>
    <n v="1"/>
    <n v="50"/>
    <x v="3"/>
    <m/>
    <m/>
    <m/>
    <m/>
    <n v="0"/>
  </r>
  <r>
    <s v="EU-6-country-strategy"/>
    <x v="50"/>
    <s v="EU-6"/>
    <x v="244"/>
    <s v="country-strategy"/>
    <x v="35"/>
    <x v="1"/>
    <x v="5"/>
    <x v="6"/>
    <n v="8"/>
    <n v="2.5000000000000001E-2"/>
    <x v="1"/>
    <x v="6"/>
    <n v="50"/>
    <x v="199"/>
    <n v="73.333333333300004"/>
    <n v="36.666666666700003"/>
    <s v="quarterly"/>
    <n v="0.9"/>
    <n v="1"/>
    <n v="36.666666666700003"/>
    <x v="3"/>
    <m/>
    <m/>
    <m/>
    <m/>
    <n v="0"/>
  </r>
  <r>
    <s v="EU-6-budget-identifier"/>
    <x v="50"/>
    <s v="EU-6"/>
    <x v="0"/>
    <s v="budget-identifier"/>
    <x v="18"/>
    <x v="0"/>
    <x v="2"/>
    <x v="2"/>
    <n v="36"/>
    <n v="3.2500000000000001E-2"/>
    <x v="0"/>
    <x v="0"/>
    <n v="0"/>
    <x v="0"/>
    <n v="0"/>
    <n v="0"/>
    <s v="quarterly"/>
    <n v="0.9"/>
    <n v="1"/>
    <n v="0"/>
    <x v="0"/>
    <n v="0"/>
    <m/>
    <m/>
    <n v="0"/>
    <n v="0"/>
  </r>
  <r>
    <s v="EU-6-conditions"/>
    <x v="50"/>
    <s v="EU-6"/>
    <x v="0"/>
    <s v="conditions"/>
    <x v="19"/>
    <x v="0"/>
    <x v="3"/>
    <x v="3"/>
    <n v="39"/>
    <n v="4.3299999999999998E-2"/>
    <x v="0"/>
    <x v="2"/>
    <n v="0"/>
    <x v="0"/>
    <n v="0"/>
    <n v="0"/>
    <s v="quarterly"/>
    <n v="0.9"/>
    <n v="1"/>
    <n v="0"/>
    <x v="0"/>
    <n v="0"/>
    <m/>
    <s v="document"/>
    <n v="50"/>
    <n v="0"/>
  </r>
  <r>
    <s v="EU-6-impact-appraisals"/>
    <x v="50"/>
    <s v="EU-6"/>
    <x v="0"/>
    <s v="impact-appraisals"/>
    <x v="20"/>
    <x v="0"/>
    <x v="3"/>
    <x v="3"/>
    <n v="38"/>
    <n v="4.3299999999999998E-2"/>
    <x v="0"/>
    <x v="2"/>
    <n v="0"/>
    <x v="0"/>
    <n v="0"/>
    <n v="0"/>
    <s v="quarterly"/>
    <n v="0.9"/>
    <n v="1"/>
    <n v="0"/>
    <x v="2"/>
    <n v="0"/>
    <m/>
    <s v="document"/>
    <n v="50"/>
    <n v="0"/>
  </r>
  <r>
    <s v="EU-6-results"/>
    <x v="50"/>
    <s v="EU-6"/>
    <x v="0"/>
    <s v="results"/>
    <x v="21"/>
    <x v="0"/>
    <x v="3"/>
    <x v="3"/>
    <n v="37"/>
    <n v="4.3299999999999998E-2"/>
    <x v="0"/>
    <x v="3"/>
    <n v="0"/>
    <x v="0"/>
    <n v="0"/>
    <n v="0"/>
    <s v="quarterly"/>
    <n v="0.9"/>
    <n v="1"/>
    <n v="0"/>
    <x v="2"/>
    <n v="0"/>
    <m/>
    <s v="pdf"/>
    <n v="16.664999999999999"/>
    <n v="0"/>
  </r>
  <r>
    <s v="EU-6-budget"/>
    <x v="50"/>
    <s v="EU-6"/>
    <x v="0"/>
    <s v="budget"/>
    <x v="22"/>
    <x v="0"/>
    <x v="4"/>
    <x v="4"/>
    <n v="30"/>
    <n v="2.1700000000000001E-2"/>
    <x v="0"/>
    <x v="2"/>
    <n v="0"/>
    <x v="0"/>
    <n v="0"/>
    <n v="0"/>
    <s v="quarterly"/>
    <n v="0.9"/>
    <n v="1"/>
    <n v="0"/>
    <x v="0"/>
    <n v="0"/>
    <m/>
    <s v="document"/>
    <n v="50"/>
    <n v="0"/>
  </r>
  <r>
    <s v="EU-6-contracts"/>
    <x v="50"/>
    <s v="EU-6"/>
    <x v="3"/>
    <s v="contracts"/>
    <x v="23"/>
    <x v="0"/>
    <x v="4"/>
    <x v="4"/>
    <n v="31"/>
    <n v="2.1700000000000001E-2"/>
    <x v="0"/>
    <x v="2"/>
    <n v="50"/>
    <x v="2"/>
    <n v="0"/>
    <n v="0"/>
    <s v="quarterly"/>
    <n v="0.9"/>
    <n v="1"/>
    <n v="0"/>
    <x v="1"/>
    <n v="1"/>
    <m/>
    <s v="document"/>
    <n v="50"/>
    <n v="50"/>
  </r>
  <r>
    <s v="EU-6-evaluations"/>
    <x v="50"/>
    <s v="EU-6"/>
    <x v="3"/>
    <s v="evaluations"/>
    <x v="24"/>
    <x v="0"/>
    <x v="4"/>
    <x v="4"/>
    <n v="28"/>
    <n v="2.1700000000000001E-2"/>
    <x v="0"/>
    <x v="2"/>
    <n v="50"/>
    <x v="2"/>
    <n v="0"/>
    <n v="0"/>
    <s v="quarterly"/>
    <n v="0.9"/>
    <n v="1"/>
    <n v="0"/>
    <x v="1"/>
    <n v="1"/>
    <m/>
    <s v="document"/>
    <n v="50"/>
    <n v="50"/>
  </r>
  <r>
    <s v="EU-6-mou"/>
    <x v="50"/>
    <s v="EU-6"/>
    <x v="0"/>
    <s v="mou"/>
    <x v="25"/>
    <x v="0"/>
    <x v="4"/>
    <x v="4"/>
    <n v="27"/>
    <n v="2.1700000000000001E-2"/>
    <x v="0"/>
    <x v="2"/>
    <n v="0"/>
    <x v="0"/>
    <n v="0"/>
    <n v="0"/>
    <s v="quarterly"/>
    <n v="0.9"/>
    <n v="1"/>
    <n v="0"/>
    <x v="0"/>
    <n v="0"/>
    <m/>
    <s v="document"/>
    <n v="50"/>
    <n v="0"/>
  </r>
  <r>
    <s v="EU-6-objectives"/>
    <x v="50"/>
    <s v="EU-6"/>
    <x v="0"/>
    <s v="objectives"/>
    <x v="26"/>
    <x v="0"/>
    <x v="4"/>
    <x v="4"/>
    <n v="29"/>
    <n v="2.1700000000000001E-2"/>
    <x v="0"/>
    <x v="2"/>
    <n v="0"/>
    <x v="0"/>
    <n v="0"/>
    <n v="0"/>
    <s v="quarterly"/>
    <n v="0.9"/>
    <n v="1"/>
    <n v="0"/>
    <x v="2"/>
    <n v="0"/>
    <m/>
    <s v="document"/>
    <n v="50"/>
    <n v="0"/>
  </r>
  <r>
    <s v="EU-6-tenders"/>
    <x v="50"/>
    <s v="EU-6"/>
    <x v="3"/>
    <s v="tenders"/>
    <x v="27"/>
    <x v="0"/>
    <x v="4"/>
    <x v="4"/>
    <n v="32"/>
    <n v="2.1700000000000001E-2"/>
    <x v="0"/>
    <x v="2"/>
    <n v="50"/>
    <x v="2"/>
    <n v="0"/>
    <n v="0"/>
    <s v="quarterly"/>
    <n v="0.9"/>
    <n v="1"/>
    <n v="0"/>
    <x v="1"/>
    <n v="1"/>
    <m/>
    <s v="document"/>
    <n v="50"/>
    <n v="50"/>
  </r>
  <r>
    <s v="EU-6-foia"/>
    <x v="50"/>
    <s v="EU-6"/>
    <x v="10"/>
    <s v="foia"/>
    <x v="36"/>
    <x v="2"/>
    <x v="6"/>
    <x v="7"/>
    <n v="1"/>
    <n v="3.3300000000000003E-2"/>
    <x v="0"/>
    <x v="5"/>
    <n v="100"/>
    <x v="5"/>
    <n v="0"/>
    <n v="0"/>
    <s v="quarterly"/>
    <n v="0.9"/>
    <n v="1"/>
    <n v="0"/>
    <x v="3"/>
    <n v="0"/>
    <n v="100"/>
    <m/>
    <n v="0"/>
    <n v="100"/>
  </r>
  <r>
    <s v="EU-6-accessibility"/>
    <x v="50"/>
    <s v="EU-6"/>
    <x v="10"/>
    <s v="accessibility"/>
    <x v="37"/>
    <x v="2"/>
    <x v="6"/>
    <x v="7"/>
    <n v="3"/>
    <n v="3.3300000000000003E-2"/>
    <x v="0"/>
    <x v="5"/>
    <n v="100"/>
    <x v="5"/>
    <n v="0"/>
    <n v="0"/>
    <s v="quarterly"/>
    <n v="0.9"/>
    <n v="1"/>
    <n v="0"/>
    <x v="3"/>
    <n v="0"/>
    <n v="100"/>
    <m/>
    <n v="0"/>
    <n v="100"/>
  </r>
  <r>
    <s v="EU-6-implementation-schedules"/>
    <x v="50"/>
    <s v="EU-6"/>
    <x v="68"/>
    <s v="implementation-schedules"/>
    <x v="38"/>
    <x v="2"/>
    <x v="6"/>
    <x v="7"/>
    <n v="2"/>
    <n v="3.3300000000000003E-2"/>
    <x v="0"/>
    <x v="5"/>
    <n v="91"/>
    <x v="40"/>
    <n v="0"/>
    <n v="0"/>
    <s v="quarterly"/>
    <n v="0.9"/>
    <n v="1"/>
    <n v="0"/>
    <x v="3"/>
    <n v="0"/>
    <n v="91"/>
    <m/>
    <n v="0"/>
    <n v="91"/>
  </r>
  <r>
    <s v="MT-1-dates-actual"/>
    <x v="51"/>
    <s v="MT-1"/>
    <x v="0"/>
    <s v="dates-actual"/>
    <x v="0"/>
    <x v="0"/>
    <x v="0"/>
    <x v="0"/>
    <n v="17"/>
    <n v="1.6299999999999999E-2"/>
    <x v="0"/>
    <x v="0"/>
    <n v="0"/>
    <x v="0"/>
    <n v="0"/>
    <n v="0"/>
    <m/>
    <n v="1"/>
    <n v="1"/>
    <n v="0"/>
    <x v="0"/>
    <n v="0"/>
    <m/>
    <m/>
    <n v="0"/>
    <n v="0"/>
  </r>
  <r>
    <s v="MT-1-contact-details"/>
    <x v="51"/>
    <s v="MT-1"/>
    <x v="0"/>
    <s v="contact-details"/>
    <x v="1"/>
    <x v="0"/>
    <x v="0"/>
    <x v="0"/>
    <n v="19"/>
    <n v="1.6299999999999999E-2"/>
    <x v="0"/>
    <x v="0"/>
    <n v="0"/>
    <x v="0"/>
    <n v="0"/>
    <n v="0"/>
    <m/>
    <n v="1"/>
    <n v="1"/>
    <n v="0"/>
    <x v="0"/>
    <n v="0"/>
    <m/>
    <m/>
    <n v="0"/>
    <n v="0"/>
  </r>
  <r>
    <s v="MT-1-current-status"/>
    <x v="51"/>
    <s v="MT-1"/>
    <x v="0"/>
    <s v="current-status"/>
    <x v="2"/>
    <x v="0"/>
    <x v="0"/>
    <x v="0"/>
    <n v="18"/>
    <n v="1.6299999999999999E-2"/>
    <x v="0"/>
    <x v="0"/>
    <n v="0"/>
    <x v="0"/>
    <n v="0"/>
    <n v="0"/>
    <m/>
    <n v="1"/>
    <n v="1"/>
    <n v="0"/>
    <x v="0"/>
    <n v="0"/>
    <m/>
    <m/>
    <n v="0"/>
    <n v="0"/>
  </r>
  <r>
    <s v="MT-1-description"/>
    <x v="51"/>
    <s v="MT-1"/>
    <x v="0"/>
    <s v="description"/>
    <x v="3"/>
    <x v="0"/>
    <x v="0"/>
    <x v="0"/>
    <n v="15"/>
    <n v="1.6299999999999999E-2"/>
    <x v="0"/>
    <x v="0"/>
    <n v="0"/>
    <x v="0"/>
    <n v="0"/>
    <n v="0"/>
    <m/>
    <n v="1"/>
    <n v="1"/>
    <n v="0"/>
    <x v="0"/>
    <n v="0"/>
    <m/>
    <m/>
    <n v="0"/>
    <n v="0"/>
  </r>
  <r>
    <s v="MT-1-implementer"/>
    <x v="51"/>
    <s v="MT-1"/>
    <x v="0"/>
    <s v="implementer"/>
    <x v="4"/>
    <x v="0"/>
    <x v="0"/>
    <x v="0"/>
    <n v="12"/>
    <n v="1.6299999999999999E-2"/>
    <x v="0"/>
    <x v="0"/>
    <n v="0"/>
    <x v="0"/>
    <n v="0"/>
    <n v="0"/>
    <m/>
    <n v="1"/>
    <n v="1"/>
    <n v="0"/>
    <x v="0"/>
    <n v="0"/>
    <m/>
    <m/>
    <n v="0"/>
    <n v="0"/>
  </r>
  <r>
    <s v="MT-1-dates-planned"/>
    <x v="51"/>
    <s v="MT-1"/>
    <x v="0"/>
    <s v="dates-planned"/>
    <x v="5"/>
    <x v="0"/>
    <x v="0"/>
    <x v="0"/>
    <n v="16"/>
    <n v="1.6299999999999999E-2"/>
    <x v="0"/>
    <x v="0"/>
    <n v="0"/>
    <x v="0"/>
    <n v="0"/>
    <n v="0"/>
    <m/>
    <n v="1"/>
    <n v="1"/>
    <n v="0"/>
    <x v="0"/>
    <n v="0"/>
    <m/>
    <m/>
    <n v="0"/>
    <n v="0"/>
  </r>
  <r>
    <s v="MT-1-title"/>
    <x v="51"/>
    <s v="MT-1"/>
    <x v="0"/>
    <s v="title"/>
    <x v="6"/>
    <x v="0"/>
    <x v="0"/>
    <x v="0"/>
    <n v="14"/>
    <n v="1.6299999999999999E-2"/>
    <x v="0"/>
    <x v="0"/>
    <n v="0"/>
    <x v="0"/>
    <n v="0"/>
    <n v="0"/>
    <m/>
    <n v="1"/>
    <n v="1"/>
    <n v="0"/>
    <x v="0"/>
    <n v="0"/>
    <m/>
    <m/>
    <n v="0"/>
    <n v="0"/>
  </r>
  <r>
    <s v="MT-1-unique-id"/>
    <x v="51"/>
    <s v="MT-1"/>
    <x v="0"/>
    <s v="unique-id"/>
    <x v="7"/>
    <x v="0"/>
    <x v="0"/>
    <x v="0"/>
    <n v="13"/>
    <n v="1.6299999999999999E-2"/>
    <x v="0"/>
    <x v="0"/>
    <n v="0"/>
    <x v="0"/>
    <n v="0"/>
    <n v="0"/>
    <m/>
    <n v="1"/>
    <n v="1"/>
    <n v="0"/>
    <x v="0"/>
    <n v="0"/>
    <m/>
    <m/>
    <n v="0"/>
    <n v="0"/>
  </r>
  <r>
    <s v="MT-1-aid-type"/>
    <x v="51"/>
    <s v="MT-1"/>
    <x v="0"/>
    <s v="aid-type"/>
    <x v="8"/>
    <x v="0"/>
    <x v="1"/>
    <x v="1"/>
    <n v="22"/>
    <n v="1.8599999999999998E-2"/>
    <x v="0"/>
    <x v="0"/>
    <n v="0"/>
    <x v="0"/>
    <n v="0"/>
    <n v="0"/>
    <m/>
    <n v="1"/>
    <n v="1"/>
    <n v="0"/>
    <x v="0"/>
    <n v="0"/>
    <m/>
    <m/>
    <n v="0"/>
    <n v="0"/>
  </r>
  <r>
    <s v="MT-1-collaboration-type"/>
    <x v="51"/>
    <s v="MT-1"/>
    <x v="0"/>
    <s v="collaboration-type"/>
    <x v="9"/>
    <x v="0"/>
    <x v="1"/>
    <x v="1"/>
    <n v="20"/>
    <n v="1.8599999999999998E-2"/>
    <x v="0"/>
    <x v="0"/>
    <n v="0"/>
    <x v="0"/>
    <n v="0"/>
    <n v="0"/>
    <m/>
    <n v="1"/>
    <n v="1"/>
    <n v="0"/>
    <x v="0"/>
    <n v="0"/>
    <m/>
    <m/>
    <n v="0"/>
    <n v="0"/>
  </r>
  <r>
    <s v="MT-1-finance-type"/>
    <x v="51"/>
    <s v="MT-1"/>
    <x v="0"/>
    <s v="finance-type"/>
    <x v="10"/>
    <x v="0"/>
    <x v="1"/>
    <x v="1"/>
    <n v="23"/>
    <n v="1.8599999999999998E-2"/>
    <x v="0"/>
    <x v="0"/>
    <n v="0"/>
    <x v="0"/>
    <n v="0"/>
    <n v="0"/>
    <m/>
    <n v="1"/>
    <n v="1"/>
    <n v="0"/>
    <x v="0"/>
    <n v="0"/>
    <m/>
    <m/>
    <n v="0"/>
    <n v="0"/>
  </r>
  <r>
    <s v="MT-1-flow-type"/>
    <x v="51"/>
    <s v="MT-1"/>
    <x v="13"/>
    <s v="flow-type"/>
    <x v="11"/>
    <x v="0"/>
    <x v="1"/>
    <x v="1"/>
    <n v="21"/>
    <n v="1.8599999999999998E-2"/>
    <x v="0"/>
    <x v="3"/>
    <n v="16.664999999999999"/>
    <x v="4"/>
    <n v="0"/>
    <n v="0"/>
    <m/>
    <n v="1"/>
    <n v="1"/>
    <n v="0"/>
    <x v="1"/>
    <n v="1"/>
    <m/>
    <s v="pdf"/>
    <n v="16.664999999999999"/>
    <n v="16.664999999999999"/>
  </r>
  <r>
    <s v="MT-1-sector"/>
    <x v="51"/>
    <s v="MT-1"/>
    <x v="0"/>
    <s v="sector"/>
    <x v="12"/>
    <x v="0"/>
    <x v="1"/>
    <x v="1"/>
    <n v="24"/>
    <n v="1.8599999999999998E-2"/>
    <x v="0"/>
    <x v="0"/>
    <n v="0"/>
    <x v="0"/>
    <n v="0"/>
    <n v="0"/>
    <m/>
    <n v="1"/>
    <n v="1"/>
    <n v="0"/>
    <x v="0"/>
    <n v="0"/>
    <m/>
    <m/>
    <n v="0"/>
    <n v="0"/>
  </r>
  <r>
    <s v="MT-1-location"/>
    <x v="51"/>
    <s v="MT-1"/>
    <x v="0"/>
    <s v="location"/>
    <x v="13"/>
    <x v="0"/>
    <x v="1"/>
    <x v="1"/>
    <n v="25"/>
    <n v="1.8599999999999998E-2"/>
    <x v="0"/>
    <x v="0"/>
    <n v="0"/>
    <x v="0"/>
    <n v="0"/>
    <n v="0"/>
    <m/>
    <n v="1"/>
    <n v="1"/>
    <n v="0"/>
    <x v="0"/>
    <n v="0"/>
    <m/>
    <m/>
    <n v="0"/>
    <n v="0"/>
  </r>
  <r>
    <s v="MT-1-tied-aid-status"/>
    <x v="51"/>
    <s v="MT-1"/>
    <x v="13"/>
    <s v="tied-aid-status"/>
    <x v="14"/>
    <x v="0"/>
    <x v="1"/>
    <x v="1"/>
    <n v="26"/>
    <n v="1.8599999999999998E-2"/>
    <x v="0"/>
    <x v="3"/>
    <n v="16.664999999999999"/>
    <x v="4"/>
    <n v="0"/>
    <n v="0"/>
    <m/>
    <n v="1"/>
    <n v="1"/>
    <n v="0"/>
    <x v="1"/>
    <n v="1"/>
    <m/>
    <s v="pdf"/>
    <n v="16.664999999999999"/>
    <n v="16.664999999999999"/>
  </r>
  <r>
    <s v="MT-1-expenditure-actual"/>
    <x v="51"/>
    <s v="MT-1"/>
    <x v="0"/>
    <s v="expenditure-actual"/>
    <x v="15"/>
    <x v="0"/>
    <x v="2"/>
    <x v="2"/>
    <n v="35"/>
    <n v="3.2500000000000001E-2"/>
    <x v="0"/>
    <x v="0"/>
    <n v="0"/>
    <x v="0"/>
    <n v="0"/>
    <n v="0"/>
    <m/>
    <n v="1"/>
    <n v="1"/>
    <n v="0"/>
    <x v="0"/>
    <n v="0"/>
    <m/>
    <m/>
    <n v="0"/>
    <n v="0"/>
  </r>
  <r>
    <s v="MT-1-cost-overall"/>
    <x v="51"/>
    <s v="MT-1"/>
    <x v="0"/>
    <s v="cost-overall"/>
    <x v="16"/>
    <x v="0"/>
    <x v="2"/>
    <x v="2"/>
    <n v="33"/>
    <n v="3.2500000000000001E-2"/>
    <x v="0"/>
    <x v="0"/>
    <n v="0"/>
    <x v="0"/>
    <n v="0"/>
    <n v="0"/>
    <m/>
    <n v="1"/>
    <n v="1"/>
    <n v="0"/>
    <x v="0"/>
    <n v="0"/>
    <m/>
    <m/>
    <n v="0"/>
    <n v="0"/>
  </r>
  <r>
    <s v="MT-1-expenditure-planned"/>
    <x v="51"/>
    <s v="MT-1"/>
    <x v="0"/>
    <s v="expenditure-planned"/>
    <x v="17"/>
    <x v="0"/>
    <x v="2"/>
    <x v="2"/>
    <n v="34"/>
    <n v="3.2500000000000001E-2"/>
    <x v="0"/>
    <x v="0"/>
    <n v="0"/>
    <x v="0"/>
    <n v="0"/>
    <n v="0"/>
    <m/>
    <n v="1"/>
    <n v="1"/>
    <n v="0"/>
    <x v="0"/>
    <n v="0"/>
    <m/>
    <m/>
    <n v="0"/>
    <n v="0"/>
  </r>
  <r>
    <s v="MT-1-budget-identifier"/>
    <x v="51"/>
    <s v="MT-1"/>
    <x v="0"/>
    <s v="budget-identifier"/>
    <x v="18"/>
    <x v="0"/>
    <x v="2"/>
    <x v="2"/>
    <n v="36"/>
    <n v="3.2500000000000001E-2"/>
    <x v="0"/>
    <x v="0"/>
    <n v="0"/>
    <x v="0"/>
    <n v="0"/>
    <n v="0"/>
    <m/>
    <n v="1"/>
    <n v="1"/>
    <n v="0"/>
    <x v="0"/>
    <n v="0"/>
    <m/>
    <m/>
    <n v="0"/>
    <n v="0"/>
  </r>
  <r>
    <s v="MT-1-conditions"/>
    <x v="51"/>
    <s v="MT-1"/>
    <x v="0"/>
    <s v="conditions"/>
    <x v="19"/>
    <x v="0"/>
    <x v="3"/>
    <x v="3"/>
    <n v="39"/>
    <n v="4.3299999999999998E-2"/>
    <x v="0"/>
    <x v="2"/>
    <n v="0"/>
    <x v="0"/>
    <n v="0"/>
    <n v="0"/>
    <m/>
    <n v="1"/>
    <n v="1"/>
    <n v="0"/>
    <x v="0"/>
    <n v="0"/>
    <m/>
    <s v="document"/>
    <n v="50"/>
    <n v="0"/>
  </r>
  <r>
    <s v="MT-1-impact-appraisals"/>
    <x v="51"/>
    <s v="MT-1"/>
    <x v="0"/>
    <s v="impact-appraisals"/>
    <x v="20"/>
    <x v="0"/>
    <x v="3"/>
    <x v="3"/>
    <n v="38"/>
    <n v="4.3299999999999998E-2"/>
    <x v="0"/>
    <x v="2"/>
    <n v="0"/>
    <x v="0"/>
    <n v="0"/>
    <n v="0"/>
    <m/>
    <n v="1"/>
    <n v="1"/>
    <n v="0"/>
    <x v="0"/>
    <n v="0"/>
    <m/>
    <s v="document"/>
    <n v="50"/>
    <n v="0"/>
  </r>
  <r>
    <s v="MT-1-results"/>
    <x v="51"/>
    <s v="MT-1"/>
    <x v="0"/>
    <s v="results"/>
    <x v="21"/>
    <x v="0"/>
    <x v="3"/>
    <x v="3"/>
    <n v="37"/>
    <n v="4.3299999999999998E-2"/>
    <x v="0"/>
    <x v="0"/>
    <n v="0"/>
    <x v="0"/>
    <n v="0"/>
    <n v="0"/>
    <m/>
    <n v="1"/>
    <n v="1"/>
    <n v="0"/>
    <x v="0"/>
    <n v="0"/>
    <m/>
    <m/>
    <n v="0"/>
    <n v="0"/>
  </r>
  <r>
    <s v="MT-1-budget"/>
    <x v="51"/>
    <s v="MT-1"/>
    <x v="0"/>
    <s v="budget"/>
    <x v="22"/>
    <x v="0"/>
    <x v="4"/>
    <x v="4"/>
    <n v="30"/>
    <n v="2.1700000000000001E-2"/>
    <x v="0"/>
    <x v="2"/>
    <n v="0"/>
    <x v="0"/>
    <n v="0"/>
    <n v="0"/>
    <m/>
    <n v="1"/>
    <n v="1"/>
    <n v="0"/>
    <x v="0"/>
    <n v="0"/>
    <m/>
    <s v="document"/>
    <n v="50"/>
    <n v="0"/>
  </r>
  <r>
    <s v="MT-1-contracts"/>
    <x v="51"/>
    <s v="MT-1"/>
    <x v="0"/>
    <s v="contracts"/>
    <x v="23"/>
    <x v="0"/>
    <x v="4"/>
    <x v="4"/>
    <n v="31"/>
    <n v="2.1700000000000001E-2"/>
    <x v="0"/>
    <x v="2"/>
    <n v="0"/>
    <x v="0"/>
    <n v="0"/>
    <n v="0"/>
    <m/>
    <n v="1"/>
    <n v="1"/>
    <n v="0"/>
    <x v="0"/>
    <n v="0"/>
    <m/>
    <s v="document"/>
    <n v="50"/>
    <n v="0"/>
  </r>
  <r>
    <s v="MT-1-evaluations"/>
    <x v="51"/>
    <s v="MT-1"/>
    <x v="0"/>
    <s v="evaluations"/>
    <x v="24"/>
    <x v="0"/>
    <x v="4"/>
    <x v="4"/>
    <n v="28"/>
    <n v="2.1700000000000001E-2"/>
    <x v="0"/>
    <x v="2"/>
    <n v="0"/>
    <x v="0"/>
    <n v="0"/>
    <n v="0"/>
    <m/>
    <n v="1"/>
    <n v="1"/>
    <n v="0"/>
    <x v="0"/>
    <n v="0"/>
    <m/>
    <s v="document"/>
    <n v="50"/>
    <n v="0"/>
  </r>
  <r>
    <s v="MT-1-mou"/>
    <x v="51"/>
    <s v="MT-1"/>
    <x v="0"/>
    <s v="mou"/>
    <x v="25"/>
    <x v="0"/>
    <x v="4"/>
    <x v="4"/>
    <n v="27"/>
    <n v="2.1700000000000001E-2"/>
    <x v="0"/>
    <x v="2"/>
    <n v="0"/>
    <x v="0"/>
    <n v="0"/>
    <n v="0"/>
    <m/>
    <n v="1"/>
    <n v="1"/>
    <n v="0"/>
    <x v="0"/>
    <n v="0"/>
    <m/>
    <s v="document"/>
    <n v="50"/>
    <n v="0"/>
  </r>
  <r>
    <s v="MT-1-objectives"/>
    <x v="51"/>
    <s v="MT-1"/>
    <x v="0"/>
    <s v="objectives"/>
    <x v="26"/>
    <x v="0"/>
    <x v="4"/>
    <x v="4"/>
    <n v="29"/>
    <n v="2.1700000000000001E-2"/>
    <x v="0"/>
    <x v="2"/>
    <n v="0"/>
    <x v="0"/>
    <n v="0"/>
    <n v="0"/>
    <m/>
    <n v="1"/>
    <n v="1"/>
    <n v="0"/>
    <x v="0"/>
    <n v="0"/>
    <m/>
    <s v="document"/>
    <n v="50"/>
    <n v="0"/>
  </r>
  <r>
    <s v="MT-1-tenders"/>
    <x v="51"/>
    <s v="MT-1"/>
    <x v="0"/>
    <s v="tenders"/>
    <x v="27"/>
    <x v="0"/>
    <x v="4"/>
    <x v="4"/>
    <n v="32"/>
    <n v="2.1700000000000001E-2"/>
    <x v="0"/>
    <x v="2"/>
    <n v="0"/>
    <x v="0"/>
    <n v="0"/>
    <n v="0"/>
    <m/>
    <n v="1"/>
    <n v="1"/>
    <n v="0"/>
    <x v="0"/>
    <n v="0"/>
    <m/>
    <s v="document"/>
    <n v="50"/>
    <n v="0"/>
  </r>
  <r>
    <s v="MT-1-audit"/>
    <x v="51"/>
    <s v="MT-1"/>
    <x v="0"/>
    <s v="audit"/>
    <x v="28"/>
    <x v="1"/>
    <x v="2"/>
    <x v="5"/>
    <n v="11"/>
    <n v="4.1700000000000001E-2"/>
    <x v="0"/>
    <x v="2"/>
    <n v="0"/>
    <x v="0"/>
    <n v="0"/>
    <n v="0"/>
    <m/>
    <n v="1"/>
    <n v="1"/>
    <n v="0"/>
    <x v="0"/>
    <n v="0"/>
    <m/>
    <s v="document"/>
    <n v="50"/>
    <n v="0"/>
  </r>
  <r>
    <s v="MT-1-total-budget"/>
    <x v="51"/>
    <s v="MT-1"/>
    <x v="0"/>
    <s v="total-budget"/>
    <x v="29"/>
    <x v="1"/>
    <x v="2"/>
    <x v="5"/>
    <n v="9"/>
    <n v="4.1700000000000001E-2"/>
    <x v="0"/>
    <x v="0"/>
    <n v="0"/>
    <x v="0"/>
    <n v="0"/>
    <n v="0"/>
    <m/>
    <n v="1"/>
    <n v="1"/>
    <n v="0"/>
    <x v="3"/>
    <n v="0"/>
    <n v="0"/>
    <m/>
    <n v="0"/>
    <n v="0"/>
  </r>
  <r>
    <s v="MT-1-disaggregated-budgets"/>
    <x v="51"/>
    <s v="MT-1"/>
    <x v="0"/>
    <s v="disaggregated-budgets"/>
    <x v="30"/>
    <x v="1"/>
    <x v="2"/>
    <x v="5"/>
    <n v="10"/>
    <n v="4.1700000000000001E-2"/>
    <x v="0"/>
    <x v="0"/>
    <n v="0"/>
    <x v="0"/>
    <n v="0"/>
    <n v="0"/>
    <m/>
    <n v="1"/>
    <n v="1"/>
    <n v="0"/>
    <x v="3"/>
    <n v="0"/>
    <n v="0"/>
    <m/>
    <n v="0"/>
    <n v="0"/>
  </r>
  <r>
    <s v="MT-1-strategy"/>
    <x v="51"/>
    <s v="MT-1"/>
    <x v="6"/>
    <s v="strategy"/>
    <x v="31"/>
    <x v="1"/>
    <x v="5"/>
    <x v="6"/>
    <n v="4"/>
    <n v="2.5000000000000001E-2"/>
    <x v="0"/>
    <x v="2"/>
    <n v="50"/>
    <x v="2"/>
    <n v="0"/>
    <n v="0"/>
    <m/>
    <n v="1"/>
    <n v="1"/>
    <n v="0"/>
    <x v="1"/>
    <n v="1"/>
    <m/>
    <s v="document"/>
    <n v="50"/>
    <n v="50"/>
  </r>
  <r>
    <s v="MT-1-annual-report"/>
    <x v="51"/>
    <s v="MT-1"/>
    <x v="0"/>
    <s v="annual-report"/>
    <x v="32"/>
    <x v="1"/>
    <x v="5"/>
    <x v="6"/>
    <n v="5"/>
    <n v="2.5000000000000001E-2"/>
    <x v="0"/>
    <x v="2"/>
    <n v="0"/>
    <x v="0"/>
    <n v="0"/>
    <n v="0"/>
    <m/>
    <n v="1"/>
    <n v="1"/>
    <n v="0"/>
    <x v="0"/>
    <n v="0"/>
    <m/>
    <s v="document"/>
    <n v="50"/>
    <n v="0"/>
  </r>
  <r>
    <s v="MT-1-allocation"/>
    <x v="51"/>
    <s v="MT-1"/>
    <x v="6"/>
    <s v="allocation"/>
    <x v="33"/>
    <x v="1"/>
    <x v="5"/>
    <x v="6"/>
    <n v="6"/>
    <n v="2.5000000000000001E-2"/>
    <x v="0"/>
    <x v="2"/>
    <n v="50"/>
    <x v="2"/>
    <n v="0"/>
    <n v="0"/>
    <m/>
    <n v="1"/>
    <n v="1"/>
    <n v="0"/>
    <x v="1"/>
    <n v="1"/>
    <m/>
    <s v="document"/>
    <n v="50"/>
    <n v="50"/>
  </r>
  <r>
    <s v="MT-1-procurement-policy"/>
    <x v="51"/>
    <s v="MT-1"/>
    <x v="6"/>
    <s v="procurement-policy"/>
    <x v="34"/>
    <x v="1"/>
    <x v="5"/>
    <x v="6"/>
    <n v="7"/>
    <n v="2.5000000000000001E-2"/>
    <x v="0"/>
    <x v="2"/>
    <n v="50"/>
    <x v="2"/>
    <n v="0"/>
    <n v="0"/>
    <m/>
    <n v="1"/>
    <n v="1"/>
    <n v="0"/>
    <x v="1"/>
    <n v="1"/>
    <m/>
    <s v="document"/>
    <n v="50"/>
    <n v="50"/>
  </r>
  <r>
    <s v="MT-1-country-strategy"/>
    <x v="51"/>
    <s v="MT-1"/>
    <x v="0"/>
    <s v="country-strategy"/>
    <x v="35"/>
    <x v="1"/>
    <x v="5"/>
    <x v="6"/>
    <n v="8"/>
    <n v="2.5000000000000001E-2"/>
    <x v="0"/>
    <x v="2"/>
    <n v="0"/>
    <x v="0"/>
    <n v="0"/>
    <n v="0"/>
    <m/>
    <n v="1"/>
    <n v="1"/>
    <n v="0"/>
    <x v="0"/>
    <n v="0"/>
    <m/>
    <s v="document"/>
    <n v="50"/>
    <n v="0"/>
  </r>
  <r>
    <s v="MT-1-foia"/>
    <x v="51"/>
    <s v="MT-1"/>
    <x v="15"/>
    <s v="foia"/>
    <x v="36"/>
    <x v="2"/>
    <x v="6"/>
    <x v="7"/>
    <n v="1"/>
    <n v="3.3300000000000003E-2"/>
    <x v="0"/>
    <x v="5"/>
    <n v="66.66"/>
    <x v="6"/>
    <n v="0"/>
    <n v="0"/>
    <m/>
    <n v="1"/>
    <n v="1"/>
    <n v="0"/>
    <x v="3"/>
    <n v="0"/>
    <n v="66.66"/>
    <m/>
    <n v="0"/>
    <n v="66.66"/>
  </r>
  <r>
    <s v="MT-1-accessibility"/>
    <x v="51"/>
    <s v="MT-1"/>
    <x v="0"/>
    <s v="accessibility"/>
    <x v="37"/>
    <x v="2"/>
    <x v="6"/>
    <x v="7"/>
    <n v="3"/>
    <n v="3.3300000000000003E-2"/>
    <x v="0"/>
    <x v="5"/>
    <n v="0"/>
    <x v="0"/>
    <n v="0"/>
    <n v="0"/>
    <m/>
    <n v="1"/>
    <n v="1"/>
    <n v="0"/>
    <x v="3"/>
    <n v="0"/>
    <n v="0"/>
    <m/>
    <n v="0"/>
    <n v="0"/>
  </r>
  <r>
    <s v="MT-1-implementation-schedules"/>
    <x v="51"/>
    <s v="MT-1"/>
    <x v="0"/>
    <s v="implementation-schedules"/>
    <x v="38"/>
    <x v="2"/>
    <x v="6"/>
    <x v="7"/>
    <n v="2"/>
    <n v="3.3300000000000003E-2"/>
    <x v="0"/>
    <x v="5"/>
    <n v="0"/>
    <x v="0"/>
    <n v="0"/>
    <n v="0"/>
    <m/>
    <n v="1"/>
    <n v="1"/>
    <n v="0"/>
    <x v="3"/>
    <n v="0"/>
    <n v="0"/>
    <m/>
    <n v="0"/>
    <n v="0"/>
  </r>
  <r>
    <s v="IT-4-dates-actual"/>
    <x v="52"/>
    <s v="IT-4"/>
    <x v="0"/>
    <s v="dates-actual"/>
    <x v="0"/>
    <x v="0"/>
    <x v="0"/>
    <x v="0"/>
    <n v="17"/>
    <n v="1.6299999999999999E-2"/>
    <x v="0"/>
    <x v="0"/>
    <n v="0"/>
    <x v="0"/>
    <n v="0"/>
    <n v="0"/>
    <m/>
    <n v="1"/>
    <n v="1"/>
    <n v="0"/>
    <x v="0"/>
    <n v="0"/>
    <m/>
    <m/>
    <n v="0"/>
    <n v="0"/>
  </r>
  <r>
    <s v="IT-4-contact-details"/>
    <x v="52"/>
    <s v="IT-4"/>
    <x v="1"/>
    <s v="contact-details"/>
    <x v="1"/>
    <x v="0"/>
    <x v="0"/>
    <x v="0"/>
    <n v="19"/>
    <n v="1.6299999999999999E-2"/>
    <x v="0"/>
    <x v="1"/>
    <n v="33.33"/>
    <x v="1"/>
    <n v="0"/>
    <n v="0"/>
    <m/>
    <n v="1"/>
    <n v="1"/>
    <n v="0"/>
    <x v="1"/>
    <n v="1"/>
    <m/>
    <s v="website"/>
    <n v="33.33"/>
    <n v="33.33"/>
  </r>
  <r>
    <s v="IT-4-current-status"/>
    <x v="52"/>
    <s v="IT-4"/>
    <x v="0"/>
    <s v="current-status"/>
    <x v="2"/>
    <x v="0"/>
    <x v="0"/>
    <x v="0"/>
    <n v="18"/>
    <n v="1.6299999999999999E-2"/>
    <x v="0"/>
    <x v="1"/>
    <n v="0"/>
    <x v="0"/>
    <n v="0"/>
    <n v="0"/>
    <m/>
    <n v="1"/>
    <n v="1"/>
    <n v="0"/>
    <x v="2"/>
    <n v="0"/>
    <m/>
    <s v="website"/>
    <n v="33.33"/>
    <n v="0"/>
  </r>
  <r>
    <s v="IT-4-description"/>
    <x v="52"/>
    <s v="IT-4"/>
    <x v="1"/>
    <s v="description"/>
    <x v="3"/>
    <x v="0"/>
    <x v="0"/>
    <x v="0"/>
    <n v="15"/>
    <n v="1.6299999999999999E-2"/>
    <x v="0"/>
    <x v="1"/>
    <n v="33.33"/>
    <x v="1"/>
    <n v="0"/>
    <n v="0"/>
    <m/>
    <n v="1"/>
    <n v="1"/>
    <n v="0"/>
    <x v="1"/>
    <n v="1"/>
    <m/>
    <s v="website"/>
    <n v="33.33"/>
    <n v="33.33"/>
  </r>
  <r>
    <s v="IT-4-implementer"/>
    <x v="52"/>
    <s v="IT-4"/>
    <x v="1"/>
    <s v="implementer"/>
    <x v="4"/>
    <x v="0"/>
    <x v="0"/>
    <x v="0"/>
    <n v="12"/>
    <n v="1.6299999999999999E-2"/>
    <x v="0"/>
    <x v="1"/>
    <n v="33.33"/>
    <x v="1"/>
    <n v="0"/>
    <n v="0"/>
    <m/>
    <n v="1"/>
    <n v="1"/>
    <n v="0"/>
    <x v="1"/>
    <n v="1"/>
    <m/>
    <s v="website"/>
    <n v="33.33"/>
    <n v="33.33"/>
  </r>
  <r>
    <s v="IT-4-dates-planned"/>
    <x v="52"/>
    <s v="IT-4"/>
    <x v="0"/>
    <s v="dates-planned"/>
    <x v="5"/>
    <x v="0"/>
    <x v="0"/>
    <x v="0"/>
    <n v="16"/>
    <n v="1.6299999999999999E-2"/>
    <x v="0"/>
    <x v="1"/>
    <n v="0"/>
    <x v="0"/>
    <n v="0"/>
    <n v="0"/>
    <m/>
    <n v="1"/>
    <n v="1"/>
    <n v="0"/>
    <x v="2"/>
    <n v="0"/>
    <m/>
    <s v="website"/>
    <n v="33.33"/>
    <n v="0"/>
  </r>
  <r>
    <s v="IT-4-title"/>
    <x v="52"/>
    <s v="IT-4"/>
    <x v="1"/>
    <s v="title"/>
    <x v="6"/>
    <x v="0"/>
    <x v="0"/>
    <x v="0"/>
    <n v="14"/>
    <n v="1.6299999999999999E-2"/>
    <x v="0"/>
    <x v="1"/>
    <n v="33.33"/>
    <x v="1"/>
    <n v="0"/>
    <n v="0"/>
    <m/>
    <n v="1"/>
    <n v="1"/>
    <n v="0"/>
    <x v="1"/>
    <n v="1"/>
    <m/>
    <s v="website"/>
    <n v="33.33"/>
    <n v="33.33"/>
  </r>
  <r>
    <s v="IT-4-unique-id"/>
    <x v="52"/>
    <s v="IT-4"/>
    <x v="0"/>
    <s v="unique-id"/>
    <x v="7"/>
    <x v="0"/>
    <x v="0"/>
    <x v="0"/>
    <n v="13"/>
    <n v="1.6299999999999999E-2"/>
    <x v="0"/>
    <x v="0"/>
    <n v="0"/>
    <x v="0"/>
    <n v="0"/>
    <n v="0"/>
    <m/>
    <n v="1"/>
    <n v="1"/>
    <n v="0"/>
    <x v="2"/>
    <n v="0"/>
    <m/>
    <m/>
    <n v="0"/>
    <n v="0"/>
  </r>
  <r>
    <s v="IT-4-aid-type"/>
    <x v="52"/>
    <s v="IT-4"/>
    <x v="0"/>
    <s v="aid-type"/>
    <x v="8"/>
    <x v="0"/>
    <x v="1"/>
    <x v="1"/>
    <n v="22"/>
    <n v="1.8599999999999998E-2"/>
    <x v="0"/>
    <x v="0"/>
    <n v="0"/>
    <x v="0"/>
    <n v="0"/>
    <n v="0"/>
    <m/>
    <n v="1"/>
    <n v="1"/>
    <n v="0"/>
    <x v="0"/>
    <n v="0"/>
    <m/>
    <m/>
    <n v="0"/>
    <n v="0"/>
  </r>
  <r>
    <s v="IT-4-collaboration-type"/>
    <x v="52"/>
    <s v="IT-4"/>
    <x v="8"/>
    <s v="collaboration-type"/>
    <x v="9"/>
    <x v="0"/>
    <x v="1"/>
    <x v="1"/>
    <n v="20"/>
    <n v="1.8599999999999998E-2"/>
    <x v="0"/>
    <x v="1"/>
    <n v="33.33"/>
    <x v="1"/>
    <n v="0"/>
    <n v="0"/>
    <m/>
    <n v="1"/>
    <n v="1"/>
    <n v="0"/>
    <x v="1"/>
    <n v="1"/>
    <m/>
    <s v="website"/>
    <n v="33.33"/>
    <n v="33.33"/>
  </r>
  <r>
    <s v="IT-4-finance-type"/>
    <x v="52"/>
    <s v="IT-4"/>
    <x v="8"/>
    <s v="finance-type"/>
    <x v="10"/>
    <x v="0"/>
    <x v="1"/>
    <x v="1"/>
    <n v="23"/>
    <n v="1.8599999999999998E-2"/>
    <x v="0"/>
    <x v="1"/>
    <n v="33.33"/>
    <x v="1"/>
    <n v="0"/>
    <n v="0"/>
    <m/>
    <n v="1"/>
    <n v="1"/>
    <n v="0"/>
    <x v="1"/>
    <n v="1"/>
    <m/>
    <s v="website"/>
    <n v="33.33"/>
    <n v="33.33"/>
  </r>
  <r>
    <s v="IT-4-flow-type"/>
    <x v="52"/>
    <s v="IT-4"/>
    <x v="0"/>
    <s v="flow-type"/>
    <x v="11"/>
    <x v="0"/>
    <x v="1"/>
    <x v="1"/>
    <n v="21"/>
    <n v="1.8599999999999998E-2"/>
    <x v="0"/>
    <x v="0"/>
    <n v="0"/>
    <x v="0"/>
    <n v="0"/>
    <n v="0"/>
    <m/>
    <n v="1"/>
    <n v="1"/>
    <n v="0"/>
    <x v="0"/>
    <n v="0"/>
    <m/>
    <m/>
    <n v="0"/>
    <n v="0"/>
  </r>
  <r>
    <s v="IT-4-sector"/>
    <x v="52"/>
    <s v="IT-4"/>
    <x v="8"/>
    <s v="sector"/>
    <x v="12"/>
    <x v="0"/>
    <x v="1"/>
    <x v="1"/>
    <n v="24"/>
    <n v="1.8599999999999998E-2"/>
    <x v="0"/>
    <x v="1"/>
    <n v="33.33"/>
    <x v="1"/>
    <n v="0"/>
    <n v="0"/>
    <m/>
    <n v="1"/>
    <n v="1"/>
    <n v="0"/>
    <x v="1"/>
    <n v="1"/>
    <m/>
    <s v="website"/>
    <n v="33.33"/>
    <n v="33.33"/>
  </r>
  <r>
    <s v="IT-4-location"/>
    <x v="52"/>
    <s v="IT-4"/>
    <x v="0"/>
    <s v="location"/>
    <x v="13"/>
    <x v="0"/>
    <x v="1"/>
    <x v="1"/>
    <n v="25"/>
    <n v="1.8599999999999998E-2"/>
    <x v="0"/>
    <x v="1"/>
    <n v="0"/>
    <x v="0"/>
    <n v="0"/>
    <n v="0"/>
    <m/>
    <n v="1"/>
    <n v="1"/>
    <n v="0"/>
    <x v="2"/>
    <n v="0"/>
    <m/>
    <s v="website"/>
    <n v="33.33"/>
    <n v="0"/>
  </r>
  <r>
    <s v="IT-4-tied-aid-status"/>
    <x v="52"/>
    <s v="IT-4"/>
    <x v="0"/>
    <s v="tied-aid-status"/>
    <x v="14"/>
    <x v="0"/>
    <x v="1"/>
    <x v="1"/>
    <n v="26"/>
    <n v="1.8599999999999998E-2"/>
    <x v="0"/>
    <x v="0"/>
    <n v="0"/>
    <x v="0"/>
    <n v="0"/>
    <n v="0"/>
    <m/>
    <n v="1"/>
    <n v="1"/>
    <n v="0"/>
    <x v="0"/>
    <n v="0"/>
    <m/>
    <m/>
    <n v="0"/>
    <n v="0"/>
  </r>
  <r>
    <s v="IT-4-expenditure-actual"/>
    <x v="52"/>
    <s v="IT-4"/>
    <x v="0"/>
    <s v="expenditure-actual"/>
    <x v="15"/>
    <x v="0"/>
    <x v="2"/>
    <x v="2"/>
    <n v="35"/>
    <n v="3.2500000000000001E-2"/>
    <x v="0"/>
    <x v="0"/>
    <n v="0"/>
    <x v="0"/>
    <n v="0"/>
    <n v="0"/>
    <m/>
    <n v="1"/>
    <n v="1"/>
    <n v="0"/>
    <x v="0"/>
    <n v="0"/>
    <m/>
    <m/>
    <n v="0"/>
    <n v="0"/>
  </r>
  <r>
    <s v="IT-4-cost-overall"/>
    <x v="52"/>
    <s v="IT-4"/>
    <x v="0"/>
    <s v="cost-overall"/>
    <x v="16"/>
    <x v="0"/>
    <x v="2"/>
    <x v="2"/>
    <n v="33"/>
    <n v="3.2500000000000001E-2"/>
    <x v="0"/>
    <x v="0"/>
    <n v="0"/>
    <x v="0"/>
    <n v="0"/>
    <n v="0"/>
    <m/>
    <n v="1"/>
    <n v="1"/>
    <n v="0"/>
    <x v="0"/>
    <n v="0"/>
    <m/>
    <m/>
    <n v="0"/>
    <n v="0"/>
  </r>
  <r>
    <s v="IT-4-expenditure-planned"/>
    <x v="52"/>
    <s v="IT-4"/>
    <x v="2"/>
    <s v="expenditure-planned"/>
    <x v="17"/>
    <x v="0"/>
    <x v="2"/>
    <x v="2"/>
    <n v="34"/>
    <n v="3.2500000000000001E-2"/>
    <x v="0"/>
    <x v="1"/>
    <n v="33.33"/>
    <x v="1"/>
    <n v="0"/>
    <n v="0"/>
    <m/>
    <n v="1"/>
    <n v="1"/>
    <n v="0"/>
    <x v="1"/>
    <n v="1"/>
    <m/>
    <s v="website"/>
    <n v="33.33"/>
    <n v="33.33"/>
  </r>
  <r>
    <s v="IT-4-budget-identifier"/>
    <x v="52"/>
    <s v="IT-4"/>
    <x v="0"/>
    <s v="budget-identifier"/>
    <x v="18"/>
    <x v="0"/>
    <x v="2"/>
    <x v="2"/>
    <n v="36"/>
    <n v="3.2500000000000001E-2"/>
    <x v="0"/>
    <x v="0"/>
    <n v="0"/>
    <x v="0"/>
    <n v="0"/>
    <n v="0"/>
    <m/>
    <n v="1"/>
    <n v="1"/>
    <n v="0"/>
    <x v="0"/>
    <n v="0"/>
    <m/>
    <m/>
    <n v="0"/>
    <n v="0"/>
  </r>
  <r>
    <s v="IT-4-conditions"/>
    <x v="52"/>
    <s v="IT-4"/>
    <x v="0"/>
    <s v="conditions"/>
    <x v="19"/>
    <x v="0"/>
    <x v="3"/>
    <x v="3"/>
    <n v="39"/>
    <n v="4.3299999999999998E-2"/>
    <x v="0"/>
    <x v="2"/>
    <n v="0"/>
    <x v="0"/>
    <n v="0"/>
    <n v="0"/>
    <m/>
    <n v="1"/>
    <n v="1"/>
    <n v="0"/>
    <x v="0"/>
    <n v="0"/>
    <m/>
    <s v="document"/>
    <n v="50"/>
    <n v="0"/>
  </r>
  <r>
    <s v="IT-4-impact-appraisals"/>
    <x v="52"/>
    <s v="IT-4"/>
    <x v="0"/>
    <s v="impact-appraisals"/>
    <x v="20"/>
    <x v="0"/>
    <x v="3"/>
    <x v="3"/>
    <n v="38"/>
    <n v="4.3299999999999998E-2"/>
    <x v="0"/>
    <x v="2"/>
    <n v="0"/>
    <x v="0"/>
    <n v="0"/>
    <n v="0"/>
    <m/>
    <n v="1"/>
    <n v="1"/>
    <n v="0"/>
    <x v="0"/>
    <n v="0"/>
    <m/>
    <s v="document"/>
    <n v="50"/>
    <n v="0"/>
  </r>
  <r>
    <s v="IT-4-results"/>
    <x v="52"/>
    <s v="IT-4"/>
    <x v="0"/>
    <s v="results"/>
    <x v="21"/>
    <x v="0"/>
    <x v="3"/>
    <x v="3"/>
    <n v="37"/>
    <n v="4.3299999999999998E-2"/>
    <x v="0"/>
    <x v="3"/>
    <n v="0"/>
    <x v="0"/>
    <n v="0"/>
    <n v="0"/>
    <m/>
    <n v="1"/>
    <n v="1"/>
    <n v="0"/>
    <x v="2"/>
    <n v="0"/>
    <m/>
    <s v="pdf"/>
    <n v="16.664999999999999"/>
    <n v="0"/>
  </r>
  <r>
    <s v="IT-4-budget"/>
    <x v="52"/>
    <s v="IT-4"/>
    <x v="0"/>
    <s v="budget"/>
    <x v="22"/>
    <x v="0"/>
    <x v="4"/>
    <x v="4"/>
    <n v="30"/>
    <n v="2.1700000000000001E-2"/>
    <x v="0"/>
    <x v="2"/>
    <n v="0"/>
    <x v="0"/>
    <n v="0"/>
    <n v="0"/>
    <m/>
    <n v="1"/>
    <n v="1"/>
    <n v="0"/>
    <x v="0"/>
    <n v="0"/>
    <m/>
    <s v="document"/>
    <n v="50"/>
    <n v="0"/>
  </r>
  <r>
    <s v="IT-4-contracts"/>
    <x v="52"/>
    <s v="IT-4"/>
    <x v="0"/>
    <s v="contracts"/>
    <x v="23"/>
    <x v="0"/>
    <x v="4"/>
    <x v="4"/>
    <n v="31"/>
    <n v="2.1700000000000001E-2"/>
    <x v="0"/>
    <x v="2"/>
    <n v="0"/>
    <x v="0"/>
    <n v="0"/>
    <n v="0"/>
    <m/>
    <n v="1"/>
    <n v="1"/>
    <n v="0"/>
    <x v="0"/>
    <n v="0"/>
    <m/>
    <s v="document"/>
    <n v="50"/>
    <n v="0"/>
  </r>
  <r>
    <s v="IT-4-evaluations"/>
    <x v="52"/>
    <s v="IT-4"/>
    <x v="0"/>
    <s v="evaluations"/>
    <x v="24"/>
    <x v="0"/>
    <x v="4"/>
    <x v="4"/>
    <n v="28"/>
    <n v="2.1700000000000001E-2"/>
    <x v="0"/>
    <x v="2"/>
    <n v="0"/>
    <x v="0"/>
    <n v="0"/>
    <n v="0"/>
    <m/>
    <n v="1"/>
    <n v="1"/>
    <n v="0"/>
    <x v="2"/>
    <n v="0"/>
    <m/>
    <s v="document"/>
    <n v="50"/>
    <n v="0"/>
  </r>
  <r>
    <s v="IT-4-mou"/>
    <x v="52"/>
    <s v="IT-4"/>
    <x v="0"/>
    <s v="mou"/>
    <x v="25"/>
    <x v="0"/>
    <x v="4"/>
    <x v="4"/>
    <n v="27"/>
    <n v="2.1700000000000001E-2"/>
    <x v="0"/>
    <x v="2"/>
    <n v="0"/>
    <x v="0"/>
    <n v="0"/>
    <n v="0"/>
    <m/>
    <n v="1"/>
    <n v="1"/>
    <n v="0"/>
    <x v="0"/>
    <n v="0"/>
    <m/>
    <s v="document"/>
    <n v="50"/>
    <n v="0"/>
  </r>
  <r>
    <s v="IT-4-objectives"/>
    <x v="52"/>
    <s v="IT-4"/>
    <x v="0"/>
    <s v="objectives"/>
    <x v="26"/>
    <x v="0"/>
    <x v="4"/>
    <x v="4"/>
    <n v="29"/>
    <n v="2.1700000000000001E-2"/>
    <x v="0"/>
    <x v="2"/>
    <n v="0"/>
    <x v="0"/>
    <n v="0"/>
    <n v="0"/>
    <m/>
    <n v="1"/>
    <n v="1"/>
    <n v="0"/>
    <x v="2"/>
    <n v="0"/>
    <m/>
    <s v="document"/>
    <n v="50"/>
    <n v="0"/>
  </r>
  <r>
    <s v="IT-4-tenders"/>
    <x v="52"/>
    <s v="IT-4"/>
    <x v="3"/>
    <s v="tenders"/>
    <x v="27"/>
    <x v="0"/>
    <x v="4"/>
    <x v="4"/>
    <n v="32"/>
    <n v="2.1700000000000001E-2"/>
    <x v="0"/>
    <x v="2"/>
    <n v="50"/>
    <x v="2"/>
    <n v="0"/>
    <n v="0"/>
    <m/>
    <n v="1"/>
    <n v="1"/>
    <n v="0"/>
    <x v="1"/>
    <n v="1"/>
    <m/>
    <s v="document"/>
    <n v="50"/>
    <n v="50"/>
  </r>
  <r>
    <s v="IT-4-audit"/>
    <x v="52"/>
    <s v="IT-4"/>
    <x v="4"/>
    <s v="audit"/>
    <x v="28"/>
    <x v="1"/>
    <x v="2"/>
    <x v="5"/>
    <n v="11"/>
    <n v="4.1700000000000001E-2"/>
    <x v="0"/>
    <x v="2"/>
    <n v="50"/>
    <x v="2"/>
    <n v="0"/>
    <n v="0"/>
    <m/>
    <n v="1"/>
    <n v="1"/>
    <n v="0"/>
    <x v="1"/>
    <n v="1"/>
    <m/>
    <s v="document"/>
    <n v="50"/>
    <n v="50"/>
  </r>
  <r>
    <s v="IT-4-total-budget"/>
    <x v="52"/>
    <s v="IT-4"/>
    <x v="0"/>
    <s v="total-budget"/>
    <x v="29"/>
    <x v="1"/>
    <x v="2"/>
    <x v="5"/>
    <n v="9"/>
    <n v="4.1700000000000001E-2"/>
    <x v="0"/>
    <x v="0"/>
    <n v="0"/>
    <x v="0"/>
    <n v="0"/>
    <n v="0"/>
    <m/>
    <n v="1"/>
    <n v="1"/>
    <n v="0"/>
    <x v="3"/>
    <n v="0"/>
    <n v="0"/>
    <m/>
    <n v="0"/>
    <n v="0"/>
  </r>
  <r>
    <s v="IT-4-disaggregated-budgets"/>
    <x v="52"/>
    <s v="IT-4"/>
    <x v="0"/>
    <s v="disaggregated-budgets"/>
    <x v="30"/>
    <x v="1"/>
    <x v="2"/>
    <x v="5"/>
    <n v="10"/>
    <n v="4.1700000000000001E-2"/>
    <x v="0"/>
    <x v="0"/>
    <n v="0"/>
    <x v="0"/>
    <n v="0"/>
    <n v="0"/>
    <m/>
    <n v="1"/>
    <n v="1"/>
    <n v="0"/>
    <x v="3"/>
    <n v="0"/>
    <n v="0"/>
    <m/>
    <n v="0"/>
    <n v="0"/>
  </r>
  <r>
    <s v="IT-4-strategy"/>
    <x v="52"/>
    <s v="IT-4"/>
    <x v="6"/>
    <s v="strategy"/>
    <x v="31"/>
    <x v="1"/>
    <x v="5"/>
    <x v="6"/>
    <n v="4"/>
    <n v="2.5000000000000001E-2"/>
    <x v="0"/>
    <x v="2"/>
    <n v="50"/>
    <x v="2"/>
    <n v="0"/>
    <n v="0"/>
    <m/>
    <n v="1"/>
    <n v="1"/>
    <n v="0"/>
    <x v="1"/>
    <n v="1"/>
    <m/>
    <s v="document"/>
    <n v="50"/>
    <n v="50"/>
  </r>
  <r>
    <s v="IT-4-annual-report"/>
    <x v="52"/>
    <s v="IT-4"/>
    <x v="6"/>
    <s v="annual-report"/>
    <x v="32"/>
    <x v="1"/>
    <x v="5"/>
    <x v="6"/>
    <n v="5"/>
    <n v="2.5000000000000001E-2"/>
    <x v="0"/>
    <x v="2"/>
    <n v="50"/>
    <x v="2"/>
    <n v="0"/>
    <n v="0"/>
    <m/>
    <n v="1"/>
    <n v="1"/>
    <n v="0"/>
    <x v="1"/>
    <n v="1"/>
    <m/>
    <s v="document"/>
    <n v="50"/>
    <n v="50"/>
  </r>
  <r>
    <s v="IT-4-allocation"/>
    <x v="52"/>
    <s v="IT-4"/>
    <x v="6"/>
    <s v="allocation"/>
    <x v="33"/>
    <x v="1"/>
    <x v="5"/>
    <x v="6"/>
    <n v="6"/>
    <n v="2.5000000000000001E-2"/>
    <x v="0"/>
    <x v="2"/>
    <n v="50"/>
    <x v="2"/>
    <n v="0"/>
    <n v="0"/>
    <m/>
    <n v="1"/>
    <n v="1"/>
    <n v="0"/>
    <x v="1"/>
    <n v="1"/>
    <m/>
    <s v="document"/>
    <n v="50"/>
    <n v="50"/>
  </r>
  <r>
    <s v="IT-4-procurement-policy"/>
    <x v="52"/>
    <s v="IT-4"/>
    <x v="6"/>
    <s v="procurement-policy"/>
    <x v="34"/>
    <x v="1"/>
    <x v="5"/>
    <x v="6"/>
    <n v="7"/>
    <n v="2.5000000000000001E-2"/>
    <x v="0"/>
    <x v="2"/>
    <n v="50"/>
    <x v="2"/>
    <n v="0"/>
    <n v="0"/>
    <m/>
    <n v="1"/>
    <n v="1"/>
    <n v="0"/>
    <x v="1"/>
    <n v="1"/>
    <m/>
    <s v="document"/>
    <n v="50"/>
    <n v="50"/>
  </r>
  <r>
    <s v="IT-4-country-strategy"/>
    <x v="52"/>
    <s v="IT-4"/>
    <x v="6"/>
    <s v="country-strategy"/>
    <x v="35"/>
    <x v="1"/>
    <x v="5"/>
    <x v="6"/>
    <n v="8"/>
    <n v="2.5000000000000001E-2"/>
    <x v="0"/>
    <x v="2"/>
    <n v="50"/>
    <x v="2"/>
    <n v="0"/>
    <n v="0"/>
    <m/>
    <n v="1"/>
    <n v="1"/>
    <n v="0"/>
    <x v="1"/>
    <n v="1"/>
    <m/>
    <s v="document"/>
    <n v="50"/>
    <n v="50"/>
  </r>
  <r>
    <s v="IT-4-foia"/>
    <x v="52"/>
    <s v="IT-4"/>
    <x v="7"/>
    <s v="foia"/>
    <x v="36"/>
    <x v="2"/>
    <x v="6"/>
    <x v="7"/>
    <n v="1"/>
    <n v="3.3300000000000003E-2"/>
    <x v="0"/>
    <x v="5"/>
    <n v="33.33"/>
    <x v="1"/>
    <n v="0"/>
    <n v="0"/>
    <m/>
    <n v="1"/>
    <n v="1"/>
    <n v="0"/>
    <x v="3"/>
    <n v="0"/>
    <n v="33.33"/>
    <m/>
    <n v="0"/>
    <n v="33.33"/>
  </r>
  <r>
    <s v="IT-4-accessibility"/>
    <x v="52"/>
    <s v="IT-4"/>
    <x v="0"/>
    <s v="accessibility"/>
    <x v="37"/>
    <x v="2"/>
    <x v="6"/>
    <x v="7"/>
    <n v="3"/>
    <n v="3.3300000000000003E-2"/>
    <x v="0"/>
    <x v="5"/>
    <n v="0"/>
    <x v="0"/>
    <n v="0"/>
    <n v="0"/>
    <m/>
    <n v="1"/>
    <n v="1"/>
    <n v="0"/>
    <x v="3"/>
    <n v="0"/>
    <n v="0"/>
    <m/>
    <n v="0"/>
    <n v="0"/>
  </r>
  <r>
    <s v="IT-4-implementation-schedules"/>
    <x v="52"/>
    <s v="IT-4"/>
    <x v="0"/>
    <s v="implementation-schedules"/>
    <x v="38"/>
    <x v="2"/>
    <x v="6"/>
    <x v="7"/>
    <n v="2"/>
    <n v="3.3300000000000003E-2"/>
    <x v="0"/>
    <x v="5"/>
    <n v="0"/>
    <x v="0"/>
    <n v="0"/>
    <n v="0"/>
    <m/>
    <n v="1"/>
    <n v="1"/>
    <n v="0"/>
    <x v="3"/>
    <n v="0"/>
    <n v="0"/>
    <m/>
    <n v="0"/>
    <n v="0"/>
  </r>
  <r>
    <s v="EU-1-dates-actual"/>
    <x v="53"/>
    <s v="EU-1"/>
    <x v="245"/>
    <s v="dates-actual"/>
    <x v="0"/>
    <x v="0"/>
    <x v="0"/>
    <x v="0"/>
    <n v="17"/>
    <n v="1.6299999999999999E-2"/>
    <x v="1"/>
    <x v="6"/>
    <n v="50"/>
    <x v="200"/>
    <n v="99.582431896599999"/>
    <n v="49.7912159483"/>
    <s v="quarterly"/>
    <n v="0.9"/>
    <n v="0.9"/>
    <n v="44.812094353500001"/>
    <x v="3"/>
    <m/>
    <m/>
    <m/>
    <m/>
    <n v="0"/>
  </r>
  <r>
    <s v="EU-1-contact-details"/>
    <x v="53"/>
    <s v="EU-1"/>
    <x v="26"/>
    <s v="contact-details"/>
    <x v="1"/>
    <x v="0"/>
    <x v="0"/>
    <x v="0"/>
    <n v="19"/>
    <n v="1.6299999999999999E-2"/>
    <x v="1"/>
    <x v="6"/>
    <n v="50"/>
    <x v="12"/>
    <n v="100"/>
    <n v="50"/>
    <s v="quarterly"/>
    <n v="0.9"/>
    <n v="0.9"/>
    <n v="45"/>
    <x v="3"/>
    <m/>
    <m/>
    <m/>
    <m/>
    <n v="0"/>
  </r>
  <r>
    <s v="EU-1-current-status"/>
    <x v="53"/>
    <s v="EU-1"/>
    <x v="26"/>
    <s v="current-status"/>
    <x v="2"/>
    <x v="0"/>
    <x v="0"/>
    <x v="0"/>
    <n v="18"/>
    <n v="1.6299999999999999E-2"/>
    <x v="1"/>
    <x v="6"/>
    <n v="50"/>
    <x v="12"/>
    <n v="100"/>
    <n v="50"/>
    <s v="quarterly"/>
    <n v="0.9"/>
    <n v="0.9"/>
    <n v="45"/>
    <x v="3"/>
    <m/>
    <m/>
    <m/>
    <m/>
    <n v="0"/>
  </r>
  <r>
    <s v="EU-1-description"/>
    <x v="53"/>
    <s v="EU-1"/>
    <x v="246"/>
    <s v="description"/>
    <x v="3"/>
    <x v="0"/>
    <x v="0"/>
    <x v="0"/>
    <n v="15"/>
    <n v="1.6299999999999999E-2"/>
    <x v="1"/>
    <x v="6"/>
    <n v="50"/>
    <x v="201"/>
    <n v="66.499037021199996"/>
    <n v="33.249518510599998"/>
    <s v="quarterly"/>
    <n v="0.9"/>
    <n v="0.9"/>
    <n v="29.924566659500002"/>
    <x v="3"/>
    <m/>
    <m/>
    <m/>
    <m/>
    <n v="0"/>
  </r>
  <r>
    <s v="EU-1-implementer"/>
    <x v="53"/>
    <s v="EU-1"/>
    <x v="247"/>
    <s v="implementer"/>
    <x v="4"/>
    <x v="0"/>
    <x v="0"/>
    <x v="0"/>
    <n v="12"/>
    <n v="1.6299999999999999E-2"/>
    <x v="1"/>
    <x v="6"/>
    <n v="50"/>
    <x v="202"/>
    <n v="90.961123110200006"/>
    <n v="45.480561555100003"/>
    <s v="quarterly"/>
    <n v="0.9"/>
    <n v="0.9"/>
    <n v="40.932505399599997"/>
    <x v="3"/>
    <m/>
    <m/>
    <m/>
    <m/>
    <n v="0"/>
  </r>
  <r>
    <s v="EU-1-dates-planned"/>
    <x v="53"/>
    <s v="EU-1"/>
    <x v="248"/>
    <s v="dates-planned"/>
    <x v="5"/>
    <x v="0"/>
    <x v="0"/>
    <x v="0"/>
    <n v="16"/>
    <n v="1.6299999999999999E-2"/>
    <x v="1"/>
    <x v="6"/>
    <n v="50"/>
    <x v="203"/>
    <n v="99.336614594500006"/>
    <n v="49.668307297200002"/>
    <s v="quarterly"/>
    <n v="0.9"/>
    <n v="0.9"/>
    <n v="44.701476567500002"/>
    <x v="3"/>
    <m/>
    <m/>
    <m/>
    <m/>
    <n v="0"/>
  </r>
  <r>
    <s v="EU-1-title"/>
    <x v="53"/>
    <s v="EU-1"/>
    <x v="249"/>
    <s v="title"/>
    <x v="6"/>
    <x v="0"/>
    <x v="0"/>
    <x v="0"/>
    <n v="14"/>
    <n v="1.6299999999999999E-2"/>
    <x v="1"/>
    <x v="6"/>
    <n v="50"/>
    <x v="204"/>
    <n v="99.764605178699995"/>
    <n v="49.882302589299996"/>
    <s v="quarterly"/>
    <n v="0.9"/>
    <n v="0.9"/>
    <n v="44.8940723304"/>
    <x v="3"/>
    <m/>
    <m/>
    <m/>
    <m/>
    <n v="0"/>
  </r>
  <r>
    <s v="EU-1-unique-id"/>
    <x v="53"/>
    <s v="EU-1"/>
    <x v="26"/>
    <s v="unique-id"/>
    <x v="7"/>
    <x v="0"/>
    <x v="0"/>
    <x v="0"/>
    <n v="13"/>
    <n v="1.6299999999999999E-2"/>
    <x v="1"/>
    <x v="6"/>
    <n v="50"/>
    <x v="12"/>
    <n v="100"/>
    <n v="50"/>
    <s v="quarterly"/>
    <n v="0.9"/>
    <n v="0.9"/>
    <n v="45"/>
    <x v="3"/>
    <m/>
    <m/>
    <m/>
    <m/>
    <n v="0"/>
  </r>
  <r>
    <s v="EU-1-aid-type"/>
    <x v="53"/>
    <s v="EU-1"/>
    <x v="29"/>
    <s v="aid-type"/>
    <x v="8"/>
    <x v="0"/>
    <x v="1"/>
    <x v="1"/>
    <n v="22"/>
    <n v="1.8599999999999998E-2"/>
    <x v="1"/>
    <x v="6"/>
    <n v="50"/>
    <x v="12"/>
    <n v="100"/>
    <n v="50"/>
    <s v="quarterly"/>
    <n v="0.9"/>
    <n v="0.9"/>
    <n v="45"/>
    <x v="3"/>
    <m/>
    <m/>
    <m/>
    <m/>
    <n v="0"/>
  </r>
  <r>
    <s v="EU-1-collaboration-type"/>
    <x v="53"/>
    <s v="EU-1"/>
    <x v="29"/>
    <s v="collaboration-type"/>
    <x v="9"/>
    <x v="0"/>
    <x v="1"/>
    <x v="1"/>
    <n v="20"/>
    <n v="1.8599999999999998E-2"/>
    <x v="1"/>
    <x v="6"/>
    <n v="50"/>
    <x v="12"/>
    <n v="100"/>
    <n v="50"/>
    <s v="quarterly"/>
    <n v="0.9"/>
    <n v="0.9"/>
    <n v="45"/>
    <x v="3"/>
    <m/>
    <m/>
    <m/>
    <m/>
    <n v="0"/>
  </r>
  <r>
    <s v="EU-1-finance-type"/>
    <x v="53"/>
    <s v="EU-1"/>
    <x v="29"/>
    <s v="finance-type"/>
    <x v="10"/>
    <x v="0"/>
    <x v="1"/>
    <x v="1"/>
    <n v="23"/>
    <n v="1.8599999999999998E-2"/>
    <x v="1"/>
    <x v="6"/>
    <n v="50"/>
    <x v="12"/>
    <n v="100"/>
    <n v="50"/>
    <s v="quarterly"/>
    <n v="0.9"/>
    <n v="0.9"/>
    <n v="45"/>
    <x v="3"/>
    <m/>
    <m/>
    <m/>
    <m/>
    <n v="0"/>
  </r>
  <r>
    <s v="EU-1-flow-type"/>
    <x v="53"/>
    <s v="EU-1"/>
    <x v="29"/>
    <s v="flow-type"/>
    <x v="11"/>
    <x v="0"/>
    <x v="1"/>
    <x v="1"/>
    <n v="21"/>
    <n v="1.8599999999999998E-2"/>
    <x v="1"/>
    <x v="6"/>
    <n v="50"/>
    <x v="12"/>
    <n v="100"/>
    <n v="50"/>
    <s v="quarterly"/>
    <n v="0.9"/>
    <n v="0.9"/>
    <n v="45"/>
    <x v="3"/>
    <m/>
    <m/>
    <m/>
    <m/>
    <n v="0"/>
  </r>
  <r>
    <s v="EU-1-sector"/>
    <x v="53"/>
    <s v="EU-1"/>
    <x v="29"/>
    <s v="sector"/>
    <x v="12"/>
    <x v="0"/>
    <x v="1"/>
    <x v="1"/>
    <n v="24"/>
    <n v="1.8599999999999998E-2"/>
    <x v="1"/>
    <x v="6"/>
    <n v="50"/>
    <x v="12"/>
    <n v="100"/>
    <n v="50"/>
    <s v="quarterly"/>
    <n v="0.9"/>
    <n v="0.9"/>
    <n v="45"/>
    <x v="3"/>
    <m/>
    <m/>
    <m/>
    <m/>
    <n v="0"/>
  </r>
  <r>
    <s v="EU-1-location"/>
    <x v="53"/>
    <s v="EU-1"/>
    <x v="250"/>
    <s v="location"/>
    <x v="13"/>
    <x v="0"/>
    <x v="1"/>
    <x v="1"/>
    <n v="25"/>
    <n v="1.8599999999999998E-2"/>
    <x v="1"/>
    <x v="6"/>
    <n v="50"/>
    <x v="205"/>
    <n v="82.809822958300003"/>
    <n v="41.404911479200003"/>
    <s v="quarterly"/>
    <n v="0.9"/>
    <n v="0.9"/>
    <n v="37.2644203312"/>
    <x v="3"/>
    <m/>
    <m/>
    <m/>
    <m/>
    <n v="0"/>
  </r>
  <r>
    <s v="EU-1-tied-aid-status"/>
    <x v="53"/>
    <s v="EU-1"/>
    <x v="251"/>
    <s v="tied-aid-status"/>
    <x v="14"/>
    <x v="0"/>
    <x v="1"/>
    <x v="1"/>
    <n v="26"/>
    <n v="1.8599999999999998E-2"/>
    <x v="1"/>
    <x v="6"/>
    <n v="50"/>
    <x v="206"/>
    <n v="94.028077753800005"/>
    <n v="47.014038876900003"/>
    <s v="quarterly"/>
    <n v="0.9"/>
    <n v="0.9"/>
    <n v="42.312634989199999"/>
    <x v="3"/>
    <m/>
    <m/>
    <m/>
    <m/>
    <n v="0"/>
  </r>
  <r>
    <s v="EU-1-expenditure-actual"/>
    <x v="53"/>
    <s v="EU-1"/>
    <x v="252"/>
    <s v="expenditure-actual"/>
    <x v="15"/>
    <x v="0"/>
    <x v="2"/>
    <x v="2"/>
    <n v="35"/>
    <n v="3.2500000000000001E-2"/>
    <x v="1"/>
    <x v="6"/>
    <n v="50"/>
    <x v="207"/>
    <n v="93.326133909299998"/>
    <n v="46.663066954599998"/>
    <s v="quarterly"/>
    <n v="0.9"/>
    <n v="0.9"/>
    <n v="41.996760259200002"/>
    <x v="3"/>
    <m/>
    <m/>
    <m/>
    <m/>
    <n v="0"/>
  </r>
  <r>
    <s v="EU-1-cost-overall"/>
    <x v="53"/>
    <s v="EU-1"/>
    <x v="253"/>
    <s v="cost-overall"/>
    <x v="16"/>
    <x v="0"/>
    <x v="2"/>
    <x v="2"/>
    <n v="33"/>
    <n v="3.2500000000000001E-2"/>
    <x v="1"/>
    <x v="6"/>
    <n v="50"/>
    <x v="208"/>
    <n v="43.498049414800001"/>
    <n v="21.7490247074"/>
    <s v="quarterly"/>
    <n v="0.9"/>
    <n v="0.9"/>
    <n v="19.574122236699999"/>
    <x v="3"/>
    <m/>
    <m/>
    <m/>
    <m/>
    <n v="0"/>
  </r>
  <r>
    <s v="EU-1-expenditure-planned"/>
    <x v="53"/>
    <s v="EU-1"/>
    <x v="60"/>
    <s v="expenditure-planned"/>
    <x v="17"/>
    <x v="0"/>
    <x v="2"/>
    <x v="2"/>
    <n v="34"/>
    <n v="3.2500000000000001E-2"/>
    <x v="1"/>
    <x v="6"/>
    <n v="50"/>
    <x v="12"/>
    <n v="100"/>
    <n v="50"/>
    <s v="quarterly"/>
    <n v="0.9"/>
    <n v="0.9"/>
    <n v="45"/>
    <x v="3"/>
    <m/>
    <m/>
    <m/>
    <m/>
    <n v="0"/>
  </r>
  <r>
    <s v="EU-1-audit"/>
    <x v="53"/>
    <s v="EU-1"/>
    <x v="42"/>
    <s v="audit"/>
    <x v="28"/>
    <x v="1"/>
    <x v="2"/>
    <x v="5"/>
    <n v="11"/>
    <n v="4.1700000000000001E-2"/>
    <x v="1"/>
    <x v="6"/>
    <n v="50"/>
    <x v="5"/>
    <n v="100"/>
    <n v="50"/>
    <s v="quarterly"/>
    <n v="0.9"/>
    <n v="1"/>
    <n v="50"/>
    <x v="3"/>
    <m/>
    <m/>
    <m/>
    <m/>
    <n v="0"/>
  </r>
  <r>
    <s v="EU-1-total-budget"/>
    <x v="53"/>
    <s v="EU-1"/>
    <x v="42"/>
    <s v="total-budget"/>
    <x v="29"/>
    <x v="1"/>
    <x v="2"/>
    <x v="5"/>
    <n v="9"/>
    <n v="4.1700000000000001E-2"/>
    <x v="1"/>
    <x v="6"/>
    <n v="50"/>
    <x v="5"/>
    <n v="100"/>
    <n v="50"/>
    <s v="quarterly"/>
    <n v="0.9"/>
    <n v="1"/>
    <n v="50"/>
    <x v="3"/>
    <m/>
    <m/>
    <m/>
    <m/>
    <n v="0"/>
  </r>
  <r>
    <s v="EU-1-disaggregated-budgets"/>
    <x v="53"/>
    <s v="EU-1"/>
    <x v="69"/>
    <s v="disaggregated-budgets"/>
    <x v="30"/>
    <x v="1"/>
    <x v="2"/>
    <x v="5"/>
    <n v="10"/>
    <n v="4.1700000000000001E-2"/>
    <x v="1"/>
    <x v="6"/>
    <n v="50"/>
    <x v="41"/>
    <n v="33.333333333299997"/>
    <n v="16.666666666699999"/>
    <s v="quarterly"/>
    <n v="0.9"/>
    <n v="1"/>
    <n v="16.666666666699999"/>
    <x v="3"/>
    <m/>
    <m/>
    <m/>
    <m/>
    <n v="0"/>
  </r>
  <r>
    <s v="EU-1-strategy"/>
    <x v="53"/>
    <s v="EU-1"/>
    <x v="43"/>
    <s v="strategy"/>
    <x v="31"/>
    <x v="1"/>
    <x v="5"/>
    <x v="6"/>
    <n v="4"/>
    <n v="2.5000000000000001E-2"/>
    <x v="1"/>
    <x v="6"/>
    <n v="50"/>
    <x v="5"/>
    <n v="100"/>
    <n v="50"/>
    <s v="quarterly"/>
    <n v="0.9"/>
    <n v="1"/>
    <n v="50"/>
    <x v="3"/>
    <m/>
    <m/>
    <m/>
    <m/>
    <n v="0"/>
  </r>
  <r>
    <s v="EU-1-annual-report"/>
    <x v="53"/>
    <s v="EU-1"/>
    <x v="43"/>
    <s v="annual-report"/>
    <x v="32"/>
    <x v="1"/>
    <x v="5"/>
    <x v="6"/>
    <n v="5"/>
    <n v="2.5000000000000001E-2"/>
    <x v="1"/>
    <x v="6"/>
    <n v="50"/>
    <x v="5"/>
    <n v="100"/>
    <n v="50"/>
    <s v="quarterly"/>
    <n v="0.9"/>
    <n v="1"/>
    <n v="50"/>
    <x v="3"/>
    <m/>
    <m/>
    <m/>
    <m/>
    <n v="0"/>
  </r>
  <r>
    <s v="EU-1-allocation"/>
    <x v="53"/>
    <s v="EU-1"/>
    <x v="43"/>
    <s v="allocation"/>
    <x v="33"/>
    <x v="1"/>
    <x v="5"/>
    <x v="6"/>
    <n v="6"/>
    <n v="2.5000000000000001E-2"/>
    <x v="1"/>
    <x v="6"/>
    <n v="50"/>
    <x v="5"/>
    <n v="100"/>
    <n v="50"/>
    <s v="quarterly"/>
    <n v="0.9"/>
    <n v="1"/>
    <n v="50"/>
    <x v="3"/>
    <m/>
    <m/>
    <m/>
    <m/>
    <n v="0"/>
  </r>
  <r>
    <s v="EU-1-procurement-policy"/>
    <x v="53"/>
    <s v="EU-1"/>
    <x v="43"/>
    <s v="procurement-policy"/>
    <x v="34"/>
    <x v="1"/>
    <x v="5"/>
    <x v="6"/>
    <n v="7"/>
    <n v="2.5000000000000001E-2"/>
    <x v="1"/>
    <x v="6"/>
    <n v="50"/>
    <x v="5"/>
    <n v="100"/>
    <n v="50"/>
    <s v="quarterly"/>
    <n v="0.9"/>
    <n v="1"/>
    <n v="50"/>
    <x v="3"/>
    <m/>
    <m/>
    <m/>
    <m/>
    <n v="0"/>
  </r>
  <r>
    <s v="EU-1-country-strategy"/>
    <x v="53"/>
    <s v="EU-1"/>
    <x v="254"/>
    <s v="country-strategy"/>
    <x v="35"/>
    <x v="1"/>
    <x v="5"/>
    <x v="6"/>
    <n v="8"/>
    <n v="2.5000000000000001E-2"/>
    <x v="1"/>
    <x v="6"/>
    <n v="50"/>
    <x v="209"/>
    <n v="37.5"/>
    <n v="18.75"/>
    <s v="quarterly"/>
    <n v="0.9"/>
    <n v="1"/>
    <n v="18.75"/>
    <x v="3"/>
    <m/>
    <m/>
    <m/>
    <m/>
    <n v="0"/>
  </r>
  <r>
    <s v="EU-1-budget-identifier"/>
    <x v="53"/>
    <s v="EU-1"/>
    <x v="0"/>
    <s v="budget-identifier"/>
    <x v="18"/>
    <x v="0"/>
    <x v="2"/>
    <x v="2"/>
    <n v="36"/>
    <n v="3.2500000000000001E-2"/>
    <x v="0"/>
    <x v="0"/>
    <n v="0"/>
    <x v="0"/>
    <n v="0"/>
    <n v="0"/>
    <s v="quarterly"/>
    <n v="0.9"/>
    <n v="1"/>
    <n v="0"/>
    <x v="0"/>
    <n v="0"/>
    <m/>
    <m/>
    <n v="0"/>
    <n v="0"/>
  </r>
  <r>
    <s v="EU-1-conditions"/>
    <x v="53"/>
    <s v="EU-1"/>
    <x v="0"/>
    <s v="conditions"/>
    <x v="19"/>
    <x v="0"/>
    <x v="3"/>
    <x v="3"/>
    <n v="39"/>
    <n v="4.3299999999999998E-2"/>
    <x v="0"/>
    <x v="2"/>
    <n v="0"/>
    <x v="0"/>
    <n v="0"/>
    <n v="0"/>
    <s v="quarterly"/>
    <n v="0.9"/>
    <n v="1"/>
    <n v="0"/>
    <x v="2"/>
    <n v="0"/>
    <m/>
    <s v="document"/>
    <n v="50"/>
    <n v="0"/>
  </r>
  <r>
    <s v="EU-1-impact-appraisals"/>
    <x v="53"/>
    <s v="EU-1"/>
    <x v="0"/>
    <s v="impact-appraisals"/>
    <x v="20"/>
    <x v="0"/>
    <x v="3"/>
    <x v="3"/>
    <n v="38"/>
    <n v="4.3299999999999998E-2"/>
    <x v="0"/>
    <x v="2"/>
    <n v="0"/>
    <x v="0"/>
    <n v="0"/>
    <n v="0"/>
    <s v="quarterly"/>
    <n v="0.9"/>
    <n v="1"/>
    <n v="0"/>
    <x v="2"/>
    <n v="0"/>
    <m/>
    <s v="document"/>
    <n v="50"/>
    <n v="0"/>
  </r>
  <r>
    <s v="EU-1-results"/>
    <x v="53"/>
    <s v="EU-1"/>
    <x v="0"/>
    <s v="results"/>
    <x v="21"/>
    <x v="0"/>
    <x v="3"/>
    <x v="3"/>
    <n v="37"/>
    <n v="4.3299999999999998E-2"/>
    <x v="0"/>
    <x v="3"/>
    <n v="0"/>
    <x v="0"/>
    <n v="0"/>
    <n v="0"/>
    <s v="quarterly"/>
    <n v="0.9"/>
    <n v="1"/>
    <n v="0"/>
    <x v="2"/>
    <n v="0"/>
    <m/>
    <s v="pdf"/>
    <n v="16.664999999999999"/>
    <n v="0"/>
  </r>
  <r>
    <s v="EU-1-budget"/>
    <x v="53"/>
    <s v="EU-1"/>
    <x v="0"/>
    <s v="budget"/>
    <x v="22"/>
    <x v="0"/>
    <x v="4"/>
    <x v="4"/>
    <n v="30"/>
    <n v="2.1700000000000001E-2"/>
    <x v="0"/>
    <x v="2"/>
    <n v="0"/>
    <x v="0"/>
    <n v="0"/>
    <n v="0"/>
    <s v="quarterly"/>
    <n v="0.9"/>
    <n v="1"/>
    <n v="0"/>
    <x v="2"/>
    <n v="0"/>
    <m/>
    <s v="document"/>
    <n v="50"/>
    <n v="0"/>
  </r>
  <r>
    <s v="EU-1-contracts"/>
    <x v="53"/>
    <s v="EU-1"/>
    <x v="3"/>
    <s v="contracts"/>
    <x v="23"/>
    <x v="0"/>
    <x v="4"/>
    <x v="4"/>
    <n v="31"/>
    <n v="2.1700000000000001E-2"/>
    <x v="0"/>
    <x v="2"/>
    <n v="50"/>
    <x v="2"/>
    <n v="0"/>
    <n v="0"/>
    <s v="quarterly"/>
    <n v="0.9"/>
    <n v="1"/>
    <n v="0"/>
    <x v="1"/>
    <n v="1"/>
    <m/>
    <s v="document"/>
    <n v="50"/>
    <n v="50"/>
  </r>
  <r>
    <s v="EU-1-evaluations"/>
    <x v="53"/>
    <s v="EU-1"/>
    <x v="3"/>
    <s v="evaluations"/>
    <x v="24"/>
    <x v="0"/>
    <x v="4"/>
    <x v="4"/>
    <n v="28"/>
    <n v="2.1700000000000001E-2"/>
    <x v="0"/>
    <x v="2"/>
    <n v="50"/>
    <x v="2"/>
    <n v="0"/>
    <n v="0"/>
    <s v="quarterly"/>
    <n v="0.9"/>
    <n v="1"/>
    <n v="0"/>
    <x v="1"/>
    <n v="1"/>
    <m/>
    <s v="document"/>
    <n v="50"/>
    <n v="50"/>
  </r>
  <r>
    <s v="EU-1-mou"/>
    <x v="53"/>
    <s v="EU-1"/>
    <x v="0"/>
    <s v="mou"/>
    <x v="25"/>
    <x v="0"/>
    <x v="4"/>
    <x v="4"/>
    <n v="27"/>
    <n v="2.1700000000000001E-2"/>
    <x v="0"/>
    <x v="2"/>
    <n v="0"/>
    <x v="0"/>
    <n v="0"/>
    <n v="0"/>
    <s v="quarterly"/>
    <n v="0.9"/>
    <n v="1"/>
    <n v="0"/>
    <x v="0"/>
    <n v="0"/>
    <m/>
    <s v="document"/>
    <n v="50"/>
    <n v="0"/>
  </r>
  <r>
    <s v="EU-1-objectives"/>
    <x v="53"/>
    <s v="EU-1"/>
    <x v="0"/>
    <s v="objectives"/>
    <x v="26"/>
    <x v="0"/>
    <x v="4"/>
    <x v="4"/>
    <n v="29"/>
    <n v="2.1700000000000001E-2"/>
    <x v="0"/>
    <x v="2"/>
    <n v="0"/>
    <x v="0"/>
    <n v="0"/>
    <n v="0"/>
    <s v="quarterly"/>
    <n v="0.9"/>
    <n v="1"/>
    <n v="0"/>
    <x v="2"/>
    <n v="0"/>
    <m/>
    <s v="document"/>
    <n v="50"/>
    <n v="0"/>
  </r>
  <r>
    <s v="EU-1-tenders"/>
    <x v="53"/>
    <s v="EU-1"/>
    <x v="3"/>
    <s v="tenders"/>
    <x v="27"/>
    <x v="0"/>
    <x v="4"/>
    <x v="4"/>
    <n v="32"/>
    <n v="2.1700000000000001E-2"/>
    <x v="0"/>
    <x v="2"/>
    <n v="50"/>
    <x v="2"/>
    <n v="0"/>
    <n v="0"/>
    <s v="quarterly"/>
    <n v="0.9"/>
    <n v="1"/>
    <n v="0"/>
    <x v="1"/>
    <n v="1"/>
    <m/>
    <s v="document"/>
    <n v="50"/>
    <n v="50"/>
  </r>
  <r>
    <s v="EU-1-foia"/>
    <x v="53"/>
    <s v="EU-1"/>
    <x v="10"/>
    <s v="foia"/>
    <x v="36"/>
    <x v="2"/>
    <x v="6"/>
    <x v="7"/>
    <n v="1"/>
    <n v="3.3300000000000003E-2"/>
    <x v="0"/>
    <x v="5"/>
    <n v="100"/>
    <x v="5"/>
    <n v="0"/>
    <n v="0"/>
    <s v="quarterly"/>
    <n v="0.9"/>
    <n v="1"/>
    <n v="0"/>
    <x v="3"/>
    <n v="0"/>
    <n v="100"/>
    <m/>
    <n v="0"/>
    <n v="100"/>
  </r>
  <r>
    <s v="EU-1-accessibility"/>
    <x v="53"/>
    <s v="EU-1"/>
    <x v="10"/>
    <s v="accessibility"/>
    <x v="37"/>
    <x v="2"/>
    <x v="6"/>
    <x v="7"/>
    <n v="3"/>
    <n v="3.3300000000000003E-2"/>
    <x v="0"/>
    <x v="5"/>
    <n v="100"/>
    <x v="5"/>
    <n v="0"/>
    <n v="0"/>
    <s v="quarterly"/>
    <n v="0.9"/>
    <n v="1"/>
    <n v="0"/>
    <x v="3"/>
    <n v="0"/>
    <n v="100"/>
    <m/>
    <n v="0"/>
    <n v="100"/>
  </r>
  <r>
    <s v="EU-1-implementation-schedules"/>
    <x v="53"/>
    <s v="EU-1"/>
    <x v="255"/>
    <s v="implementation-schedules"/>
    <x v="38"/>
    <x v="2"/>
    <x v="6"/>
    <x v="7"/>
    <n v="2"/>
    <n v="3.3300000000000003E-2"/>
    <x v="0"/>
    <x v="5"/>
    <n v="87"/>
    <x v="210"/>
    <n v="0"/>
    <n v="0"/>
    <s v="quarterly"/>
    <n v="0.9"/>
    <n v="1"/>
    <n v="0"/>
    <x v="3"/>
    <n v="0"/>
    <n v="87"/>
    <m/>
    <n v="0"/>
    <n v="87"/>
  </r>
  <r>
    <s v="US-11-dates-actual"/>
    <x v="54"/>
    <s v="US-11"/>
    <x v="46"/>
    <s v="dates-actual"/>
    <x v="0"/>
    <x v="0"/>
    <x v="0"/>
    <x v="0"/>
    <n v="17"/>
    <n v="1.6299999999999999E-2"/>
    <x v="1"/>
    <x v="6"/>
    <n v="50"/>
    <x v="5"/>
    <n v="100"/>
    <n v="50"/>
    <s v="monthly"/>
    <n v="1"/>
    <n v="1"/>
    <n v="50"/>
    <x v="3"/>
    <m/>
    <m/>
    <m/>
    <m/>
    <n v="0"/>
  </r>
  <r>
    <s v="US-11-contact-details"/>
    <x v="54"/>
    <s v="US-11"/>
    <x v="46"/>
    <s v="contact-details"/>
    <x v="1"/>
    <x v="0"/>
    <x v="0"/>
    <x v="0"/>
    <n v="19"/>
    <n v="1.6299999999999999E-2"/>
    <x v="1"/>
    <x v="6"/>
    <n v="50"/>
    <x v="5"/>
    <n v="100"/>
    <n v="50"/>
    <s v="monthly"/>
    <n v="1"/>
    <n v="1"/>
    <n v="50"/>
    <x v="3"/>
    <m/>
    <m/>
    <m/>
    <m/>
    <n v="0"/>
  </r>
  <r>
    <s v="US-11-description"/>
    <x v="54"/>
    <s v="US-11"/>
    <x v="130"/>
    <s v="description"/>
    <x v="3"/>
    <x v="0"/>
    <x v="0"/>
    <x v="0"/>
    <n v="15"/>
    <n v="1.6299999999999999E-2"/>
    <x v="1"/>
    <x v="6"/>
    <n v="50"/>
    <x v="30"/>
    <n v="50"/>
    <n v="25"/>
    <s v="monthly"/>
    <n v="1"/>
    <n v="1"/>
    <n v="25"/>
    <x v="3"/>
    <m/>
    <m/>
    <m/>
    <m/>
    <n v="0"/>
  </r>
  <r>
    <s v="US-11-implementer"/>
    <x v="54"/>
    <s v="US-11"/>
    <x v="46"/>
    <s v="implementer"/>
    <x v="4"/>
    <x v="0"/>
    <x v="0"/>
    <x v="0"/>
    <n v="12"/>
    <n v="1.6299999999999999E-2"/>
    <x v="1"/>
    <x v="6"/>
    <n v="50"/>
    <x v="5"/>
    <n v="100"/>
    <n v="50"/>
    <s v="monthly"/>
    <n v="1"/>
    <n v="1"/>
    <n v="50"/>
    <x v="3"/>
    <m/>
    <m/>
    <m/>
    <m/>
    <n v="0"/>
  </r>
  <r>
    <s v="US-11-title"/>
    <x v="54"/>
    <s v="US-11"/>
    <x v="46"/>
    <s v="title"/>
    <x v="6"/>
    <x v="0"/>
    <x v="0"/>
    <x v="0"/>
    <n v="14"/>
    <n v="1.6299999999999999E-2"/>
    <x v="1"/>
    <x v="6"/>
    <n v="50"/>
    <x v="5"/>
    <n v="100"/>
    <n v="50"/>
    <s v="monthly"/>
    <n v="1"/>
    <n v="1"/>
    <n v="50"/>
    <x v="3"/>
    <m/>
    <m/>
    <m/>
    <m/>
    <n v="0"/>
  </r>
  <r>
    <s v="US-11-unique-id"/>
    <x v="54"/>
    <s v="US-11"/>
    <x v="46"/>
    <s v="unique-id"/>
    <x v="7"/>
    <x v="0"/>
    <x v="0"/>
    <x v="0"/>
    <n v="13"/>
    <n v="1.6299999999999999E-2"/>
    <x v="1"/>
    <x v="6"/>
    <n v="50"/>
    <x v="5"/>
    <n v="100"/>
    <n v="50"/>
    <s v="monthly"/>
    <n v="1"/>
    <n v="1"/>
    <n v="50"/>
    <x v="3"/>
    <m/>
    <m/>
    <m/>
    <m/>
    <n v="0"/>
  </r>
  <r>
    <s v="US-11-flow-type"/>
    <x v="54"/>
    <s v="US-11"/>
    <x v="131"/>
    <s v="flow-type"/>
    <x v="11"/>
    <x v="0"/>
    <x v="1"/>
    <x v="1"/>
    <n v="21"/>
    <n v="1.8599999999999998E-2"/>
    <x v="1"/>
    <x v="6"/>
    <n v="50"/>
    <x v="30"/>
    <n v="50"/>
    <n v="25"/>
    <s v="monthly"/>
    <n v="1"/>
    <n v="1"/>
    <n v="25"/>
    <x v="3"/>
    <m/>
    <m/>
    <m/>
    <m/>
    <n v="0"/>
  </r>
  <r>
    <s v="US-11-sector"/>
    <x v="54"/>
    <s v="US-11"/>
    <x v="256"/>
    <s v="sector"/>
    <x v="12"/>
    <x v="0"/>
    <x v="1"/>
    <x v="1"/>
    <n v="24"/>
    <n v="1.8599999999999998E-2"/>
    <x v="1"/>
    <x v="6"/>
    <n v="50"/>
    <x v="211"/>
    <n v="72.736842105299999"/>
    <n v="36.368421052599999"/>
    <s v="monthly"/>
    <n v="1"/>
    <n v="1"/>
    <n v="36.368421052599999"/>
    <x v="3"/>
    <m/>
    <m/>
    <m/>
    <m/>
    <n v="0"/>
  </r>
  <r>
    <s v="US-11-tied-aid-status"/>
    <x v="54"/>
    <s v="US-11"/>
    <x v="47"/>
    <s v="tied-aid-status"/>
    <x v="14"/>
    <x v="0"/>
    <x v="1"/>
    <x v="1"/>
    <n v="26"/>
    <n v="1.8599999999999998E-2"/>
    <x v="1"/>
    <x v="6"/>
    <n v="50"/>
    <x v="5"/>
    <n v="100"/>
    <n v="50"/>
    <s v="monthly"/>
    <n v="1"/>
    <n v="1"/>
    <n v="50"/>
    <x v="3"/>
    <m/>
    <m/>
    <m/>
    <m/>
    <n v="0"/>
  </r>
  <r>
    <s v="US-11-expenditure-actual"/>
    <x v="54"/>
    <s v="US-11"/>
    <x v="51"/>
    <s v="expenditure-actual"/>
    <x v="15"/>
    <x v="0"/>
    <x v="2"/>
    <x v="2"/>
    <n v="35"/>
    <n v="3.2500000000000001E-2"/>
    <x v="1"/>
    <x v="6"/>
    <n v="50"/>
    <x v="5"/>
    <n v="100"/>
    <n v="50"/>
    <s v="monthly"/>
    <n v="1"/>
    <n v="1"/>
    <n v="50"/>
    <x v="3"/>
    <m/>
    <m/>
    <m/>
    <m/>
    <n v="0"/>
  </r>
  <r>
    <s v="US-11-expenditure-planned"/>
    <x v="54"/>
    <s v="US-11"/>
    <x v="51"/>
    <s v="expenditure-planned"/>
    <x v="17"/>
    <x v="0"/>
    <x v="2"/>
    <x v="2"/>
    <n v="34"/>
    <n v="3.2500000000000001E-2"/>
    <x v="1"/>
    <x v="6"/>
    <n v="50"/>
    <x v="5"/>
    <n v="100"/>
    <n v="50"/>
    <s v="monthly"/>
    <n v="1"/>
    <n v="1"/>
    <n v="50"/>
    <x v="3"/>
    <m/>
    <m/>
    <m/>
    <m/>
    <n v="0"/>
  </r>
  <r>
    <s v="US-11-current-status"/>
    <x v="54"/>
    <s v="US-11"/>
    <x v="0"/>
    <s v="current-status"/>
    <x v="2"/>
    <x v="0"/>
    <x v="0"/>
    <x v="0"/>
    <n v="18"/>
    <n v="1.6299999999999999E-2"/>
    <x v="0"/>
    <x v="0"/>
    <n v="0"/>
    <x v="0"/>
    <n v="0"/>
    <n v="0"/>
    <s v="monthly"/>
    <n v="1"/>
    <n v="1"/>
    <n v="0"/>
    <x v="0"/>
    <n v="0"/>
    <m/>
    <m/>
    <n v="0"/>
    <n v="0"/>
  </r>
  <r>
    <s v="US-11-dates-planned"/>
    <x v="54"/>
    <s v="US-11"/>
    <x v="0"/>
    <s v="dates-planned"/>
    <x v="5"/>
    <x v="0"/>
    <x v="0"/>
    <x v="0"/>
    <n v="16"/>
    <n v="1.6299999999999999E-2"/>
    <x v="0"/>
    <x v="1"/>
    <n v="0"/>
    <x v="0"/>
    <n v="0"/>
    <n v="0"/>
    <s v="monthly"/>
    <n v="1"/>
    <n v="1"/>
    <n v="0"/>
    <x v="2"/>
    <n v="0"/>
    <m/>
    <s v="website"/>
    <n v="33.33"/>
    <n v="0"/>
  </r>
  <r>
    <s v="US-11-aid-type"/>
    <x v="54"/>
    <s v="US-11"/>
    <x v="12"/>
    <s v="aid-type"/>
    <x v="8"/>
    <x v="0"/>
    <x v="1"/>
    <x v="1"/>
    <n v="22"/>
    <n v="1.8599999999999998E-2"/>
    <x v="0"/>
    <x v="4"/>
    <n v="50"/>
    <x v="2"/>
    <n v="0"/>
    <n v="0"/>
    <s v="monthly"/>
    <n v="1"/>
    <n v="1"/>
    <n v="0"/>
    <x v="1"/>
    <n v="1"/>
    <m/>
    <s v="machine-readable"/>
    <n v="50"/>
    <n v="50"/>
  </r>
  <r>
    <s v="US-11-collaboration-type"/>
    <x v="54"/>
    <s v="US-11"/>
    <x v="0"/>
    <s v="collaboration-type"/>
    <x v="9"/>
    <x v="0"/>
    <x v="1"/>
    <x v="1"/>
    <n v="20"/>
    <n v="1.8599999999999998E-2"/>
    <x v="0"/>
    <x v="1"/>
    <n v="0"/>
    <x v="0"/>
    <n v="0"/>
    <n v="0"/>
    <s v="monthly"/>
    <n v="1"/>
    <n v="1"/>
    <n v="0"/>
    <x v="2"/>
    <n v="0"/>
    <m/>
    <s v="website"/>
    <n v="33.33"/>
    <n v="0"/>
  </r>
  <r>
    <s v="US-11-finance-type"/>
    <x v="54"/>
    <s v="US-11"/>
    <x v="12"/>
    <s v="finance-type"/>
    <x v="10"/>
    <x v="0"/>
    <x v="1"/>
    <x v="1"/>
    <n v="23"/>
    <n v="1.8599999999999998E-2"/>
    <x v="0"/>
    <x v="4"/>
    <n v="50"/>
    <x v="2"/>
    <n v="0"/>
    <n v="0"/>
    <s v="monthly"/>
    <n v="1"/>
    <n v="1"/>
    <n v="0"/>
    <x v="1"/>
    <n v="1"/>
    <m/>
    <s v="machine-readable"/>
    <n v="50"/>
    <n v="50"/>
  </r>
  <r>
    <s v="US-11-location"/>
    <x v="54"/>
    <s v="US-11"/>
    <x v="0"/>
    <s v="location"/>
    <x v="13"/>
    <x v="0"/>
    <x v="1"/>
    <x v="1"/>
    <n v="25"/>
    <n v="1.8599999999999998E-2"/>
    <x v="0"/>
    <x v="0"/>
    <n v="0"/>
    <x v="0"/>
    <n v="0"/>
    <n v="0"/>
    <s v="monthly"/>
    <n v="1"/>
    <n v="1"/>
    <n v="0"/>
    <x v="0"/>
    <n v="0"/>
    <m/>
    <m/>
    <n v="0"/>
    <n v="0"/>
  </r>
  <r>
    <s v="US-11-cost-overall"/>
    <x v="54"/>
    <s v="US-11"/>
    <x v="0"/>
    <s v="cost-overall"/>
    <x v="16"/>
    <x v="0"/>
    <x v="2"/>
    <x v="2"/>
    <n v="33"/>
    <n v="3.2500000000000001E-2"/>
    <x v="0"/>
    <x v="3"/>
    <n v="0"/>
    <x v="0"/>
    <n v="0"/>
    <n v="0"/>
    <s v="monthly"/>
    <n v="1"/>
    <n v="1"/>
    <n v="0"/>
    <x v="2"/>
    <n v="0"/>
    <m/>
    <s v="pdf"/>
    <n v="16.664999999999999"/>
    <n v="0"/>
  </r>
  <r>
    <s v="US-11-budget-identifier"/>
    <x v="54"/>
    <s v="US-11"/>
    <x v="0"/>
    <s v="budget-identifier"/>
    <x v="18"/>
    <x v="0"/>
    <x v="2"/>
    <x v="2"/>
    <n v="36"/>
    <n v="3.2500000000000001E-2"/>
    <x v="0"/>
    <x v="0"/>
    <n v="0"/>
    <x v="0"/>
    <n v="0"/>
    <n v="0"/>
    <s v="monthly"/>
    <n v="1"/>
    <n v="1"/>
    <n v="0"/>
    <x v="0"/>
    <n v="0"/>
    <m/>
    <m/>
    <n v="0"/>
    <n v="0"/>
  </r>
  <r>
    <s v="US-11-conditions"/>
    <x v="54"/>
    <s v="US-11"/>
    <x v="0"/>
    <s v="conditions"/>
    <x v="19"/>
    <x v="0"/>
    <x v="3"/>
    <x v="3"/>
    <n v="39"/>
    <n v="4.3299999999999998E-2"/>
    <x v="0"/>
    <x v="2"/>
    <n v="0"/>
    <x v="0"/>
    <n v="0"/>
    <n v="0"/>
    <s v="monthly"/>
    <n v="1"/>
    <n v="1"/>
    <n v="0"/>
    <x v="0"/>
    <n v="0"/>
    <m/>
    <s v="document"/>
    <n v="50"/>
    <n v="0"/>
  </r>
  <r>
    <s v="US-11-impact-appraisals"/>
    <x v="54"/>
    <s v="US-11"/>
    <x v="0"/>
    <s v="impact-appraisals"/>
    <x v="20"/>
    <x v="0"/>
    <x v="3"/>
    <x v="3"/>
    <n v="38"/>
    <n v="4.3299999999999998E-2"/>
    <x v="0"/>
    <x v="2"/>
    <n v="0"/>
    <x v="0"/>
    <n v="0"/>
    <n v="0"/>
    <s v="monthly"/>
    <n v="1"/>
    <n v="1"/>
    <n v="0"/>
    <x v="2"/>
    <n v="0"/>
    <m/>
    <s v="document"/>
    <n v="50"/>
    <n v="0"/>
  </r>
  <r>
    <s v="US-11-results"/>
    <x v="54"/>
    <s v="US-11"/>
    <x v="0"/>
    <s v="results"/>
    <x v="21"/>
    <x v="0"/>
    <x v="3"/>
    <x v="3"/>
    <n v="37"/>
    <n v="4.3299999999999998E-2"/>
    <x v="0"/>
    <x v="3"/>
    <n v="0"/>
    <x v="0"/>
    <n v="0"/>
    <n v="0"/>
    <s v="monthly"/>
    <n v="1"/>
    <n v="1"/>
    <n v="0"/>
    <x v="2"/>
    <n v="0"/>
    <m/>
    <s v="pdf"/>
    <n v="16.664999999999999"/>
    <n v="0"/>
  </r>
  <r>
    <s v="US-11-budget"/>
    <x v="54"/>
    <s v="US-11"/>
    <x v="0"/>
    <s v="budget"/>
    <x v="22"/>
    <x v="0"/>
    <x v="4"/>
    <x v="4"/>
    <n v="30"/>
    <n v="2.1700000000000001E-2"/>
    <x v="0"/>
    <x v="2"/>
    <n v="0"/>
    <x v="0"/>
    <n v="0"/>
    <n v="0"/>
    <s v="monthly"/>
    <n v="1"/>
    <n v="1"/>
    <n v="0"/>
    <x v="0"/>
    <n v="0"/>
    <m/>
    <s v="document"/>
    <n v="50"/>
    <n v="0"/>
  </r>
  <r>
    <s v="US-11-contracts"/>
    <x v="54"/>
    <s v="US-11"/>
    <x v="3"/>
    <s v="contracts"/>
    <x v="23"/>
    <x v="0"/>
    <x v="4"/>
    <x v="4"/>
    <n v="31"/>
    <n v="2.1700000000000001E-2"/>
    <x v="0"/>
    <x v="2"/>
    <n v="50"/>
    <x v="2"/>
    <n v="0"/>
    <n v="0"/>
    <s v="monthly"/>
    <n v="1"/>
    <n v="1"/>
    <n v="0"/>
    <x v="1"/>
    <n v="1"/>
    <m/>
    <s v="document"/>
    <n v="50"/>
    <n v="50"/>
  </r>
  <r>
    <s v="US-11-evaluations"/>
    <x v="54"/>
    <s v="US-11"/>
    <x v="0"/>
    <s v="evaluations"/>
    <x v="24"/>
    <x v="0"/>
    <x v="4"/>
    <x v="4"/>
    <n v="28"/>
    <n v="2.1700000000000001E-2"/>
    <x v="0"/>
    <x v="2"/>
    <n v="0"/>
    <x v="0"/>
    <n v="0"/>
    <n v="0"/>
    <s v="monthly"/>
    <n v="1"/>
    <n v="1"/>
    <n v="0"/>
    <x v="2"/>
    <n v="0"/>
    <m/>
    <s v="document"/>
    <n v="50"/>
    <n v="0"/>
  </r>
  <r>
    <s v="US-11-mou"/>
    <x v="54"/>
    <s v="US-11"/>
    <x v="0"/>
    <s v="mou"/>
    <x v="25"/>
    <x v="0"/>
    <x v="4"/>
    <x v="4"/>
    <n v="27"/>
    <n v="2.1700000000000001E-2"/>
    <x v="0"/>
    <x v="2"/>
    <n v="0"/>
    <x v="0"/>
    <n v="0"/>
    <n v="0"/>
    <s v="monthly"/>
    <n v="1"/>
    <n v="1"/>
    <n v="0"/>
    <x v="0"/>
    <n v="0"/>
    <m/>
    <s v="document"/>
    <n v="50"/>
    <n v="0"/>
  </r>
  <r>
    <s v="US-11-objectives"/>
    <x v="54"/>
    <s v="US-11"/>
    <x v="0"/>
    <s v="objectives"/>
    <x v="26"/>
    <x v="0"/>
    <x v="4"/>
    <x v="4"/>
    <n v="29"/>
    <n v="2.1700000000000001E-2"/>
    <x v="0"/>
    <x v="2"/>
    <n v="0"/>
    <x v="0"/>
    <n v="0"/>
    <n v="0"/>
    <s v="monthly"/>
    <n v="1"/>
    <n v="1"/>
    <n v="0"/>
    <x v="2"/>
    <n v="0"/>
    <m/>
    <s v="document"/>
    <n v="50"/>
    <n v="0"/>
  </r>
  <r>
    <s v="US-11-tenders"/>
    <x v="54"/>
    <s v="US-11"/>
    <x v="3"/>
    <s v="tenders"/>
    <x v="27"/>
    <x v="0"/>
    <x v="4"/>
    <x v="4"/>
    <n v="32"/>
    <n v="2.1700000000000001E-2"/>
    <x v="0"/>
    <x v="2"/>
    <n v="50"/>
    <x v="2"/>
    <n v="0"/>
    <n v="0"/>
    <s v="monthly"/>
    <n v="1"/>
    <n v="1"/>
    <n v="0"/>
    <x v="1"/>
    <n v="1"/>
    <m/>
    <s v="document"/>
    <n v="50"/>
    <n v="50"/>
  </r>
  <r>
    <s v="US-11-audit"/>
    <x v="54"/>
    <s v="US-11"/>
    <x v="4"/>
    <s v="audit"/>
    <x v="28"/>
    <x v="1"/>
    <x v="2"/>
    <x v="5"/>
    <n v="11"/>
    <n v="4.1700000000000001E-2"/>
    <x v="0"/>
    <x v="2"/>
    <n v="50"/>
    <x v="2"/>
    <n v="0"/>
    <n v="0"/>
    <s v="monthly"/>
    <n v="1"/>
    <n v="1"/>
    <n v="0"/>
    <x v="1"/>
    <n v="1"/>
    <m/>
    <s v="document"/>
    <n v="50"/>
    <n v="50"/>
  </r>
  <r>
    <s v="US-11-total-budget"/>
    <x v="54"/>
    <s v="US-11"/>
    <x v="24"/>
    <s v="total-budget"/>
    <x v="29"/>
    <x v="1"/>
    <x v="2"/>
    <x v="5"/>
    <n v="9"/>
    <n v="4.1700000000000001E-2"/>
    <x v="0"/>
    <x v="3"/>
    <n v="5.5549999999999997"/>
    <x v="10"/>
    <n v="0"/>
    <n v="0"/>
    <s v="monthly"/>
    <n v="1"/>
    <n v="1"/>
    <n v="0"/>
    <x v="3"/>
    <n v="0"/>
    <n v="1"/>
    <s v="pdf"/>
    <n v="16.664999999999999"/>
    <n v="5.5549999999999997"/>
  </r>
  <r>
    <s v="US-11-disaggregated-budgets"/>
    <x v="54"/>
    <s v="US-11"/>
    <x v="0"/>
    <s v="disaggregated-budgets"/>
    <x v="30"/>
    <x v="1"/>
    <x v="2"/>
    <x v="5"/>
    <n v="10"/>
    <n v="4.1700000000000001E-2"/>
    <x v="0"/>
    <x v="0"/>
    <n v="0"/>
    <x v="0"/>
    <n v="0"/>
    <n v="0"/>
    <s v="monthly"/>
    <n v="1"/>
    <n v="1"/>
    <n v="0"/>
    <x v="3"/>
    <n v="0"/>
    <n v="0"/>
    <m/>
    <n v="0"/>
    <n v="0"/>
  </r>
  <r>
    <s v="US-11-strategy"/>
    <x v="54"/>
    <s v="US-11"/>
    <x v="6"/>
    <s v="strategy"/>
    <x v="31"/>
    <x v="1"/>
    <x v="5"/>
    <x v="6"/>
    <n v="4"/>
    <n v="2.5000000000000001E-2"/>
    <x v="0"/>
    <x v="2"/>
    <n v="50"/>
    <x v="2"/>
    <n v="0"/>
    <n v="0"/>
    <s v="monthly"/>
    <n v="1"/>
    <n v="1"/>
    <n v="0"/>
    <x v="1"/>
    <n v="1"/>
    <m/>
    <s v="document"/>
    <n v="50"/>
    <n v="50"/>
  </r>
  <r>
    <s v="US-11-annual-report"/>
    <x v="54"/>
    <s v="US-11"/>
    <x v="6"/>
    <s v="annual-report"/>
    <x v="32"/>
    <x v="1"/>
    <x v="5"/>
    <x v="6"/>
    <n v="5"/>
    <n v="2.5000000000000001E-2"/>
    <x v="0"/>
    <x v="2"/>
    <n v="50"/>
    <x v="2"/>
    <n v="0"/>
    <n v="0"/>
    <s v="monthly"/>
    <n v="1"/>
    <n v="1"/>
    <n v="0"/>
    <x v="1"/>
    <n v="1"/>
    <m/>
    <s v="document"/>
    <n v="50"/>
    <n v="50"/>
  </r>
  <r>
    <s v="US-11-allocation"/>
    <x v="54"/>
    <s v="US-11"/>
    <x v="6"/>
    <s v="allocation"/>
    <x v="33"/>
    <x v="1"/>
    <x v="5"/>
    <x v="6"/>
    <n v="6"/>
    <n v="2.5000000000000001E-2"/>
    <x v="0"/>
    <x v="2"/>
    <n v="50"/>
    <x v="2"/>
    <n v="0"/>
    <n v="0"/>
    <s v="monthly"/>
    <n v="1"/>
    <n v="1"/>
    <n v="0"/>
    <x v="1"/>
    <n v="1"/>
    <m/>
    <s v="document"/>
    <n v="50"/>
    <n v="50"/>
  </r>
  <r>
    <s v="US-11-procurement-policy"/>
    <x v="54"/>
    <s v="US-11"/>
    <x v="6"/>
    <s v="procurement-policy"/>
    <x v="34"/>
    <x v="1"/>
    <x v="5"/>
    <x v="6"/>
    <n v="7"/>
    <n v="2.5000000000000001E-2"/>
    <x v="0"/>
    <x v="2"/>
    <n v="50"/>
    <x v="2"/>
    <n v="0"/>
    <n v="0"/>
    <s v="monthly"/>
    <n v="1"/>
    <n v="1"/>
    <n v="0"/>
    <x v="1"/>
    <n v="1"/>
    <m/>
    <s v="document"/>
    <n v="50"/>
    <n v="50"/>
  </r>
  <r>
    <s v="US-11-country-strategy"/>
    <x v="54"/>
    <s v="US-11"/>
    <x v="6"/>
    <s v="country-strategy"/>
    <x v="35"/>
    <x v="1"/>
    <x v="5"/>
    <x v="6"/>
    <n v="8"/>
    <n v="2.5000000000000001E-2"/>
    <x v="0"/>
    <x v="2"/>
    <n v="50"/>
    <x v="2"/>
    <n v="0"/>
    <n v="0"/>
    <s v="monthly"/>
    <n v="1"/>
    <n v="1"/>
    <n v="0"/>
    <x v="1"/>
    <n v="1"/>
    <m/>
    <s v="document"/>
    <n v="50"/>
    <n v="50"/>
  </r>
  <r>
    <s v="US-11-foia"/>
    <x v="54"/>
    <s v="US-11"/>
    <x v="15"/>
    <s v="foia"/>
    <x v="36"/>
    <x v="2"/>
    <x v="6"/>
    <x v="7"/>
    <n v="1"/>
    <n v="3.3300000000000003E-2"/>
    <x v="0"/>
    <x v="5"/>
    <n v="66.66"/>
    <x v="6"/>
    <n v="0"/>
    <n v="0"/>
    <s v="monthly"/>
    <n v="1"/>
    <n v="1"/>
    <n v="0"/>
    <x v="3"/>
    <n v="0"/>
    <n v="66.66"/>
    <m/>
    <n v="0"/>
    <n v="66.66"/>
  </r>
  <r>
    <s v="US-11-accessibility"/>
    <x v="54"/>
    <s v="US-11"/>
    <x v="15"/>
    <s v="accessibility"/>
    <x v="37"/>
    <x v="2"/>
    <x v="6"/>
    <x v="7"/>
    <n v="3"/>
    <n v="3.3300000000000003E-2"/>
    <x v="0"/>
    <x v="5"/>
    <n v="66.66"/>
    <x v="6"/>
    <n v="0"/>
    <n v="0"/>
    <s v="monthly"/>
    <n v="1"/>
    <n v="1"/>
    <n v="0"/>
    <x v="3"/>
    <n v="0"/>
    <n v="66.66"/>
    <m/>
    <n v="0"/>
    <n v="66.66"/>
  </r>
  <r>
    <s v="US-11-implementation-schedules"/>
    <x v="54"/>
    <s v="US-11"/>
    <x v="133"/>
    <s v="implementation-schedules"/>
    <x v="38"/>
    <x v="2"/>
    <x v="6"/>
    <x v="7"/>
    <n v="2"/>
    <n v="3.3300000000000003E-2"/>
    <x v="0"/>
    <x v="5"/>
    <n v="31"/>
    <x v="95"/>
    <n v="0"/>
    <n v="0"/>
    <s v="monthly"/>
    <n v="1"/>
    <n v="1"/>
    <n v="0"/>
    <x v="3"/>
    <n v="0"/>
    <n v="31"/>
    <m/>
    <n v="0"/>
    <n v="31"/>
  </r>
  <r>
    <s v="41114-dates-actual"/>
    <x v="55"/>
    <n v="41114"/>
    <x v="257"/>
    <s v="dates-actual"/>
    <x v="0"/>
    <x v="0"/>
    <x v="0"/>
    <x v="0"/>
    <n v="17"/>
    <n v="1.6299999999999999E-2"/>
    <x v="1"/>
    <x v="6"/>
    <n v="50"/>
    <x v="212"/>
    <n v="97.802197802199998"/>
    <n v="48.901098901099999"/>
    <s v="monthly"/>
    <n v="1"/>
    <n v="1"/>
    <n v="48.901098901099999"/>
    <x v="3"/>
    <m/>
    <m/>
    <m/>
    <m/>
    <n v="0"/>
  </r>
  <r>
    <s v="41114-contact-details"/>
    <x v="55"/>
    <n v="41114"/>
    <x v="46"/>
    <s v="contact-details"/>
    <x v="1"/>
    <x v="0"/>
    <x v="0"/>
    <x v="0"/>
    <n v="19"/>
    <n v="1.6299999999999999E-2"/>
    <x v="1"/>
    <x v="6"/>
    <n v="50"/>
    <x v="5"/>
    <n v="100"/>
    <n v="50"/>
    <s v="monthly"/>
    <n v="1"/>
    <n v="1"/>
    <n v="50"/>
    <x v="3"/>
    <m/>
    <m/>
    <m/>
    <m/>
    <n v="0"/>
  </r>
  <r>
    <s v="41114-current-status"/>
    <x v="55"/>
    <n v="41114"/>
    <x v="46"/>
    <s v="current-status"/>
    <x v="2"/>
    <x v="0"/>
    <x v="0"/>
    <x v="0"/>
    <n v="18"/>
    <n v="1.6299999999999999E-2"/>
    <x v="1"/>
    <x v="6"/>
    <n v="50"/>
    <x v="5"/>
    <n v="100"/>
    <n v="50"/>
    <s v="monthly"/>
    <n v="1"/>
    <n v="1"/>
    <n v="50"/>
    <x v="3"/>
    <m/>
    <m/>
    <m/>
    <m/>
    <n v="0"/>
  </r>
  <r>
    <s v="41114-description"/>
    <x v="55"/>
    <n v="41114"/>
    <x v="258"/>
    <s v="description"/>
    <x v="3"/>
    <x v="0"/>
    <x v="0"/>
    <x v="0"/>
    <n v="15"/>
    <n v="1.6299999999999999E-2"/>
    <x v="1"/>
    <x v="6"/>
    <n v="50"/>
    <x v="213"/>
    <n v="91.602105681400005"/>
    <n v="45.801052840700002"/>
    <s v="monthly"/>
    <n v="1"/>
    <n v="1"/>
    <n v="45.801052840700002"/>
    <x v="3"/>
    <m/>
    <m/>
    <m/>
    <m/>
    <n v="0"/>
  </r>
  <r>
    <s v="41114-implementer"/>
    <x v="55"/>
    <n v="41114"/>
    <x v="259"/>
    <s v="implementer"/>
    <x v="4"/>
    <x v="0"/>
    <x v="0"/>
    <x v="0"/>
    <n v="12"/>
    <n v="1.6299999999999999E-2"/>
    <x v="1"/>
    <x v="6"/>
    <n v="50"/>
    <x v="214"/>
    <n v="99.342105263199997"/>
    <n v="49.671052631599999"/>
    <s v="monthly"/>
    <n v="1"/>
    <n v="1"/>
    <n v="49.671052631599999"/>
    <x v="3"/>
    <m/>
    <m/>
    <m/>
    <m/>
    <n v="0"/>
  </r>
  <r>
    <s v="41114-dates-planned"/>
    <x v="55"/>
    <n v="41114"/>
    <x v="46"/>
    <s v="dates-planned"/>
    <x v="5"/>
    <x v="0"/>
    <x v="0"/>
    <x v="0"/>
    <n v="16"/>
    <n v="1.6299999999999999E-2"/>
    <x v="1"/>
    <x v="6"/>
    <n v="50"/>
    <x v="5"/>
    <n v="100"/>
    <n v="50"/>
    <s v="monthly"/>
    <n v="1"/>
    <n v="1"/>
    <n v="50"/>
    <x v="3"/>
    <m/>
    <m/>
    <m/>
    <m/>
    <n v="0"/>
  </r>
  <r>
    <s v="41114-title"/>
    <x v="55"/>
    <n v="41114"/>
    <x v="260"/>
    <s v="title"/>
    <x v="6"/>
    <x v="0"/>
    <x v="0"/>
    <x v="0"/>
    <n v="14"/>
    <n v="1.6299999999999999E-2"/>
    <x v="1"/>
    <x v="6"/>
    <n v="50"/>
    <x v="215"/>
    <n v="99.150774731799999"/>
    <n v="49.575387365899999"/>
    <s v="monthly"/>
    <n v="1"/>
    <n v="1"/>
    <n v="49.575387365899999"/>
    <x v="3"/>
    <m/>
    <m/>
    <m/>
    <m/>
    <n v="0"/>
  </r>
  <r>
    <s v="41114-unique-id"/>
    <x v="55"/>
    <n v="41114"/>
    <x v="46"/>
    <s v="unique-id"/>
    <x v="7"/>
    <x v="0"/>
    <x v="0"/>
    <x v="0"/>
    <n v="13"/>
    <n v="1.6299999999999999E-2"/>
    <x v="1"/>
    <x v="6"/>
    <n v="50"/>
    <x v="5"/>
    <n v="100"/>
    <n v="50"/>
    <s v="monthly"/>
    <n v="1"/>
    <n v="1"/>
    <n v="50"/>
    <x v="3"/>
    <m/>
    <m/>
    <m/>
    <m/>
    <n v="0"/>
  </r>
  <r>
    <s v="41114-aid-type"/>
    <x v="55"/>
    <n v="41114"/>
    <x v="47"/>
    <s v="aid-type"/>
    <x v="8"/>
    <x v="0"/>
    <x v="1"/>
    <x v="1"/>
    <n v="22"/>
    <n v="1.8599999999999998E-2"/>
    <x v="1"/>
    <x v="6"/>
    <n v="50"/>
    <x v="5"/>
    <n v="100"/>
    <n v="50"/>
    <s v="monthly"/>
    <n v="1"/>
    <n v="1"/>
    <n v="50"/>
    <x v="3"/>
    <m/>
    <m/>
    <m/>
    <m/>
    <n v="0"/>
  </r>
  <r>
    <s v="41114-collaboration-type"/>
    <x v="55"/>
    <n v="41114"/>
    <x v="47"/>
    <s v="collaboration-type"/>
    <x v="9"/>
    <x v="0"/>
    <x v="1"/>
    <x v="1"/>
    <n v="20"/>
    <n v="1.8599999999999998E-2"/>
    <x v="1"/>
    <x v="6"/>
    <n v="50"/>
    <x v="5"/>
    <n v="100"/>
    <n v="50"/>
    <s v="monthly"/>
    <n v="1"/>
    <n v="1"/>
    <n v="50"/>
    <x v="3"/>
    <m/>
    <m/>
    <m/>
    <m/>
    <n v="0"/>
  </r>
  <r>
    <s v="41114-finance-type"/>
    <x v="55"/>
    <n v="41114"/>
    <x v="47"/>
    <s v="finance-type"/>
    <x v="10"/>
    <x v="0"/>
    <x v="1"/>
    <x v="1"/>
    <n v="23"/>
    <n v="1.8599999999999998E-2"/>
    <x v="1"/>
    <x v="6"/>
    <n v="50"/>
    <x v="5"/>
    <n v="100"/>
    <n v="50"/>
    <s v="monthly"/>
    <n v="1"/>
    <n v="1"/>
    <n v="50"/>
    <x v="3"/>
    <m/>
    <m/>
    <m/>
    <m/>
    <n v="0"/>
  </r>
  <r>
    <s v="41114-flow-type"/>
    <x v="55"/>
    <n v="41114"/>
    <x v="47"/>
    <s v="flow-type"/>
    <x v="11"/>
    <x v="0"/>
    <x v="1"/>
    <x v="1"/>
    <n v="21"/>
    <n v="1.8599999999999998E-2"/>
    <x v="1"/>
    <x v="6"/>
    <n v="50"/>
    <x v="5"/>
    <n v="100"/>
    <n v="50"/>
    <s v="monthly"/>
    <n v="1"/>
    <n v="1"/>
    <n v="50"/>
    <x v="3"/>
    <m/>
    <m/>
    <m/>
    <m/>
    <n v="0"/>
  </r>
  <r>
    <s v="41114-sector"/>
    <x v="55"/>
    <n v="41114"/>
    <x v="47"/>
    <s v="sector"/>
    <x v="12"/>
    <x v="0"/>
    <x v="1"/>
    <x v="1"/>
    <n v="24"/>
    <n v="1.8599999999999998E-2"/>
    <x v="1"/>
    <x v="6"/>
    <n v="50"/>
    <x v="5"/>
    <n v="100"/>
    <n v="50"/>
    <s v="monthly"/>
    <n v="1"/>
    <n v="1"/>
    <n v="50"/>
    <x v="3"/>
    <m/>
    <m/>
    <m/>
    <m/>
    <n v="0"/>
  </r>
  <r>
    <s v="41114-location"/>
    <x v="55"/>
    <n v="41114"/>
    <x v="261"/>
    <s v="location"/>
    <x v="13"/>
    <x v="0"/>
    <x v="1"/>
    <x v="1"/>
    <n v="25"/>
    <n v="1.8599999999999998E-2"/>
    <x v="1"/>
    <x v="6"/>
    <n v="50"/>
    <x v="216"/>
    <n v="93.473724150999999"/>
    <n v="46.736862075499999"/>
    <s v="monthly"/>
    <n v="1"/>
    <n v="1"/>
    <n v="46.736862075499999"/>
    <x v="3"/>
    <m/>
    <m/>
    <m/>
    <m/>
    <n v="0"/>
  </r>
  <r>
    <s v="41114-tied-aid-status"/>
    <x v="55"/>
    <n v="41114"/>
    <x v="47"/>
    <s v="tied-aid-status"/>
    <x v="14"/>
    <x v="0"/>
    <x v="1"/>
    <x v="1"/>
    <n v="26"/>
    <n v="1.8599999999999998E-2"/>
    <x v="1"/>
    <x v="6"/>
    <n v="50"/>
    <x v="5"/>
    <n v="100"/>
    <n v="50"/>
    <s v="monthly"/>
    <n v="1"/>
    <n v="1"/>
    <n v="50"/>
    <x v="3"/>
    <m/>
    <m/>
    <m/>
    <m/>
    <n v="0"/>
  </r>
  <r>
    <s v="41114-expenditure-actual"/>
    <x v="55"/>
    <n v="41114"/>
    <x v="51"/>
    <s v="expenditure-actual"/>
    <x v="15"/>
    <x v="0"/>
    <x v="2"/>
    <x v="2"/>
    <n v="35"/>
    <n v="3.2500000000000001E-2"/>
    <x v="1"/>
    <x v="6"/>
    <n v="50"/>
    <x v="5"/>
    <n v="100"/>
    <n v="50"/>
    <s v="monthly"/>
    <n v="1"/>
    <n v="1"/>
    <n v="50"/>
    <x v="3"/>
    <m/>
    <m/>
    <m/>
    <m/>
    <n v="0"/>
  </r>
  <r>
    <s v="41114-cost-overall"/>
    <x v="55"/>
    <n v="41114"/>
    <x v="217"/>
    <s v="cost-overall"/>
    <x v="16"/>
    <x v="0"/>
    <x v="2"/>
    <x v="2"/>
    <n v="33"/>
    <n v="3.2500000000000001E-2"/>
    <x v="1"/>
    <x v="6"/>
    <n v="50"/>
    <x v="30"/>
    <n v="50"/>
    <n v="25"/>
    <s v="monthly"/>
    <n v="1"/>
    <n v="1"/>
    <n v="25"/>
    <x v="3"/>
    <m/>
    <m/>
    <m/>
    <m/>
    <n v="0"/>
  </r>
  <r>
    <s v="41114-expenditure-planned"/>
    <x v="55"/>
    <n v="41114"/>
    <x v="262"/>
    <s v="expenditure-planned"/>
    <x v="17"/>
    <x v="0"/>
    <x v="2"/>
    <x v="2"/>
    <n v="34"/>
    <n v="3.2500000000000001E-2"/>
    <x v="1"/>
    <x v="6"/>
    <n v="50"/>
    <x v="217"/>
    <n v="99.983232729700006"/>
    <n v="49.991616364899997"/>
    <s v="monthly"/>
    <n v="1"/>
    <n v="1"/>
    <n v="49.991616364899997"/>
    <x v="3"/>
    <m/>
    <m/>
    <m/>
    <m/>
    <n v="0"/>
  </r>
  <r>
    <s v="41114-budget-identifier"/>
    <x v="55"/>
    <n v="41114"/>
    <x v="263"/>
    <s v="budget-identifier"/>
    <x v="18"/>
    <x v="0"/>
    <x v="2"/>
    <x v="2"/>
    <n v="36"/>
    <n v="3.2500000000000001E-2"/>
    <x v="1"/>
    <x v="6"/>
    <n v="50"/>
    <x v="218"/>
    <n v="32.7967806841"/>
    <n v="16.398390342100001"/>
    <s v="monthly"/>
    <n v="1"/>
    <n v="1"/>
    <n v="16.398390342100001"/>
    <x v="3"/>
    <m/>
    <m/>
    <m/>
    <m/>
    <n v="0"/>
  </r>
  <r>
    <s v="41114-conditions"/>
    <x v="55"/>
    <n v="41114"/>
    <x v="264"/>
    <s v="conditions"/>
    <x v="19"/>
    <x v="0"/>
    <x v="3"/>
    <x v="3"/>
    <n v="39"/>
    <n v="4.3299999999999998E-2"/>
    <x v="1"/>
    <x v="6"/>
    <n v="50"/>
    <x v="219"/>
    <n v="79.873294346999998"/>
    <n v="39.936647173499999"/>
    <s v="monthly"/>
    <n v="1"/>
    <n v="1"/>
    <n v="39.936647173499999"/>
    <x v="3"/>
    <m/>
    <m/>
    <m/>
    <m/>
    <n v="0"/>
  </r>
  <r>
    <s v="41114-impact-appraisals"/>
    <x v="55"/>
    <n v="41114"/>
    <x v="265"/>
    <s v="impact-appraisals"/>
    <x v="20"/>
    <x v="0"/>
    <x v="3"/>
    <x v="3"/>
    <n v="38"/>
    <n v="4.3299999999999998E-2"/>
    <x v="1"/>
    <x v="6"/>
    <n v="50"/>
    <x v="220"/>
    <n v="59.770955165700002"/>
    <n v="29.8854775828"/>
    <s v="monthly"/>
    <n v="1"/>
    <n v="1"/>
    <n v="29.8854775828"/>
    <x v="3"/>
    <m/>
    <m/>
    <m/>
    <m/>
    <n v="0"/>
  </r>
  <r>
    <s v="41114-results"/>
    <x v="55"/>
    <n v="41114"/>
    <x v="266"/>
    <s v="results"/>
    <x v="21"/>
    <x v="0"/>
    <x v="3"/>
    <x v="3"/>
    <n v="37"/>
    <n v="4.3299999999999998E-2"/>
    <x v="1"/>
    <x v="6"/>
    <n v="50"/>
    <x v="221"/>
    <n v="30.555555555600002"/>
    <n v="15.277777777800001"/>
    <s v="monthly"/>
    <n v="1"/>
    <n v="1"/>
    <n v="15.277777777800001"/>
    <x v="3"/>
    <m/>
    <m/>
    <m/>
    <m/>
    <n v="0"/>
  </r>
  <r>
    <s v="41114-budget"/>
    <x v="55"/>
    <n v="41114"/>
    <x v="267"/>
    <s v="budget"/>
    <x v="22"/>
    <x v="0"/>
    <x v="4"/>
    <x v="4"/>
    <n v="30"/>
    <n v="2.1700000000000001E-2"/>
    <x v="1"/>
    <x v="6"/>
    <n v="50"/>
    <x v="222"/>
    <n v="62.183235867400001"/>
    <n v="31.0916179337"/>
    <s v="monthly"/>
    <n v="1"/>
    <n v="1"/>
    <n v="31.0916179337"/>
    <x v="3"/>
    <m/>
    <m/>
    <m/>
    <m/>
    <n v="0"/>
  </r>
  <r>
    <s v="41114-contracts"/>
    <x v="55"/>
    <n v="41114"/>
    <x v="268"/>
    <s v="contracts"/>
    <x v="23"/>
    <x v="0"/>
    <x v="4"/>
    <x v="4"/>
    <n v="31"/>
    <n v="2.1700000000000001E-2"/>
    <x v="1"/>
    <x v="6"/>
    <n v="50"/>
    <x v="223"/>
    <n v="64.303118908399995"/>
    <n v="32.151559454199997"/>
    <s v="monthly"/>
    <n v="1"/>
    <n v="1"/>
    <n v="32.151559454199997"/>
    <x v="3"/>
    <m/>
    <m/>
    <m/>
    <m/>
    <n v="0"/>
  </r>
  <r>
    <s v="41114-evaluations"/>
    <x v="55"/>
    <n v="41114"/>
    <x v="269"/>
    <s v="evaluations"/>
    <x v="24"/>
    <x v="0"/>
    <x v="4"/>
    <x v="4"/>
    <n v="28"/>
    <n v="2.1700000000000001E-2"/>
    <x v="1"/>
    <x v="6"/>
    <n v="50"/>
    <x v="224"/>
    <n v="14.285714285699999"/>
    <n v="7.1428571428599996"/>
    <s v="monthly"/>
    <n v="1"/>
    <n v="1"/>
    <n v="7.1428571428599996"/>
    <x v="3"/>
    <m/>
    <m/>
    <m/>
    <m/>
    <n v="0"/>
  </r>
  <r>
    <s v="41114-mou"/>
    <x v="55"/>
    <n v="41114"/>
    <x v="270"/>
    <s v="mou"/>
    <x v="25"/>
    <x v="0"/>
    <x v="4"/>
    <x v="4"/>
    <n v="27"/>
    <n v="2.1700000000000001E-2"/>
    <x v="1"/>
    <x v="6"/>
    <n v="50"/>
    <x v="225"/>
    <n v="85.063352826499994"/>
    <n v="42.531676413299998"/>
    <s v="monthly"/>
    <n v="1"/>
    <n v="1"/>
    <n v="42.531676413299998"/>
    <x v="3"/>
    <m/>
    <m/>
    <m/>
    <m/>
    <n v="0"/>
  </r>
  <r>
    <s v="41114-objectives"/>
    <x v="55"/>
    <n v="41114"/>
    <x v="271"/>
    <s v="objectives"/>
    <x v="26"/>
    <x v="0"/>
    <x v="4"/>
    <x v="4"/>
    <n v="29"/>
    <n v="2.1700000000000001E-2"/>
    <x v="1"/>
    <x v="6"/>
    <n v="50"/>
    <x v="226"/>
    <n v="59.746588694000003"/>
    <n v="29.873294347000002"/>
    <s v="monthly"/>
    <n v="1"/>
    <n v="1"/>
    <n v="29.873294347000002"/>
    <x v="3"/>
    <m/>
    <m/>
    <m/>
    <m/>
    <n v="0"/>
  </r>
  <r>
    <s v="41114-tenders"/>
    <x v="55"/>
    <n v="41114"/>
    <x v="272"/>
    <s v="tenders"/>
    <x v="27"/>
    <x v="0"/>
    <x v="4"/>
    <x v="4"/>
    <n v="32"/>
    <n v="2.1700000000000001E-2"/>
    <x v="1"/>
    <x v="6"/>
    <n v="50"/>
    <x v="227"/>
    <n v="6.5545808966900001"/>
    <n v="3.2772904483400001"/>
    <s v="monthly"/>
    <n v="1"/>
    <n v="1"/>
    <n v="3.2772904483400001"/>
    <x v="3"/>
    <m/>
    <m/>
    <m/>
    <m/>
    <n v="0"/>
  </r>
  <r>
    <s v="41114-audit"/>
    <x v="55"/>
    <n v="41114"/>
    <x v="42"/>
    <s v="audit"/>
    <x v="28"/>
    <x v="1"/>
    <x v="2"/>
    <x v="5"/>
    <n v="11"/>
    <n v="4.1700000000000001E-2"/>
    <x v="1"/>
    <x v="6"/>
    <n v="50"/>
    <x v="5"/>
    <n v="100"/>
    <n v="50"/>
    <s v="monthly"/>
    <n v="1"/>
    <n v="1"/>
    <n v="50"/>
    <x v="3"/>
    <m/>
    <m/>
    <m/>
    <m/>
    <n v="0"/>
  </r>
  <r>
    <s v="41114-total-budget"/>
    <x v="55"/>
    <n v="41114"/>
    <x v="42"/>
    <s v="total-budget"/>
    <x v="29"/>
    <x v="1"/>
    <x v="2"/>
    <x v="5"/>
    <n v="9"/>
    <n v="4.1700000000000001E-2"/>
    <x v="1"/>
    <x v="6"/>
    <n v="50"/>
    <x v="5"/>
    <n v="100"/>
    <n v="50"/>
    <s v="monthly"/>
    <n v="1"/>
    <n v="1"/>
    <n v="50"/>
    <x v="3"/>
    <m/>
    <m/>
    <m/>
    <m/>
    <n v="0"/>
  </r>
  <r>
    <s v="41114-disaggregated-budgets"/>
    <x v="55"/>
    <n v="41114"/>
    <x v="42"/>
    <s v="disaggregated-budgets"/>
    <x v="30"/>
    <x v="1"/>
    <x v="2"/>
    <x v="5"/>
    <n v="10"/>
    <n v="4.1700000000000001E-2"/>
    <x v="1"/>
    <x v="6"/>
    <n v="50"/>
    <x v="5"/>
    <n v="100"/>
    <n v="50"/>
    <s v="monthly"/>
    <n v="1"/>
    <n v="1"/>
    <n v="50"/>
    <x v="3"/>
    <m/>
    <m/>
    <m/>
    <m/>
    <n v="0"/>
  </r>
  <r>
    <s v="41114-strategy"/>
    <x v="55"/>
    <n v="41114"/>
    <x v="43"/>
    <s v="strategy"/>
    <x v="31"/>
    <x v="1"/>
    <x v="5"/>
    <x v="6"/>
    <n v="4"/>
    <n v="2.5000000000000001E-2"/>
    <x v="1"/>
    <x v="6"/>
    <n v="50"/>
    <x v="5"/>
    <n v="100"/>
    <n v="50"/>
    <s v="monthly"/>
    <n v="1"/>
    <n v="1"/>
    <n v="50"/>
    <x v="3"/>
    <m/>
    <m/>
    <m/>
    <m/>
    <n v="0"/>
  </r>
  <r>
    <s v="41114-annual-report"/>
    <x v="55"/>
    <n v="41114"/>
    <x v="43"/>
    <s v="annual-report"/>
    <x v="32"/>
    <x v="1"/>
    <x v="5"/>
    <x v="6"/>
    <n v="5"/>
    <n v="2.5000000000000001E-2"/>
    <x v="1"/>
    <x v="6"/>
    <n v="50"/>
    <x v="5"/>
    <n v="100"/>
    <n v="50"/>
    <s v="monthly"/>
    <n v="1"/>
    <n v="1"/>
    <n v="50"/>
    <x v="3"/>
    <m/>
    <m/>
    <m/>
    <m/>
    <n v="0"/>
  </r>
  <r>
    <s v="41114-allocation"/>
    <x v="55"/>
    <n v="41114"/>
    <x v="43"/>
    <s v="allocation"/>
    <x v="33"/>
    <x v="1"/>
    <x v="5"/>
    <x v="6"/>
    <n v="6"/>
    <n v="2.5000000000000001E-2"/>
    <x v="1"/>
    <x v="6"/>
    <n v="50"/>
    <x v="5"/>
    <n v="100"/>
    <n v="50"/>
    <s v="monthly"/>
    <n v="1"/>
    <n v="1"/>
    <n v="50"/>
    <x v="3"/>
    <m/>
    <m/>
    <m/>
    <m/>
    <n v="0"/>
  </r>
  <r>
    <s v="41114-procurement-policy"/>
    <x v="55"/>
    <n v="41114"/>
    <x v="43"/>
    <s v="procurement-policy"/>
    <x v="34"/>
    <x v="1"/>
    <x v="5"/>
    <x v="6"/>
    <n v="7"/>
    <n v="2.5000000000000001E-2"/>
    <x v="1"/>
    <x v="6"/>
    <n v="50"/>
    <x v="5"/>
    <n v="100"/>
    <n v="50"/>
    <s v="monthly"/>
    <n v="1"/>
    <n v="1"/>
    <n v="50"/>
    <x v="3"/>
    <m/>
    <m/>
    <m/>
    <m/>
    <n v="0"/>
  </r>
  <r>
    <s v="41114-country-strategy"/>
    <x v="55"/>
    <n v="41114"/>
    <x v="273"/>
    <s v="country-strategy"/>
    <x v="35"/>
    <x v="1"/>
    <x v="5"/>
    <x v="6"/>
    <n v="8"/>
    <n v="2.5000000000000001E-2"/>
    <x v="1"/>
    <x v="6"/>
    <n v="50"/>
    <x v="228"/>
    <n v="99.350649350599994"/>
    <n v="49.675324675299997"/>
    <s v="monthly"/>
    <n v="1"/>
    <n v="1"/>
    <n v="49.675324675299997"/>
    <x v="3"/>
    <m/>
    <m/>
    <m/>
    <m/>
    <n v="0"/>
  </r>
  <r>
    <s v="41114-foia"/>
    <x v="55"/>
    <n v="41114"/>
    <x v="15"/>
    <s v="foia"/>
    <x v="36"/>
    <x v="2"/>
    <x v="6"/>
    <x v="7"/>
    <n v="1"/>
    <n v="3.3300000000000003E-2"/>
    <x v="0"/>
    <x v="5"/>
    <n v="66.66"/>
    <x v="6"/>
    <n v="0"/>
    <n v="0"/>
    <s v="monthly"/>
    <n v="1"/>
    <n v="1"/>
    <n v="0"/>
    <x v="3"/>
    <n v="0"/>
    <n v="66.66"/>
    <m/>
    <n v="0"/>
    <n v="66.66"/>
  </r>
  <r>
    <s v="41114-accessibility"/>
    <x v="55"/>
    <n v="41114"/>
    <x v="10"/>
    <s v="accessibility"/>
    <x v="37"/>
    <x v="2"/>
    <x v="6"/>
    <x v="7"/>
    <n v="3"/>
    <n v="3.3300000000000003E-2"/>
    <x v="0"/>
    <x v="5"/>
    <n v="100"/>
    <x v="5"/>
    <n v="0"/>
    <n v="0"/>
    <s v="monthly"/>
    <n v="1"/>
    <n v="1"/>
    <n v="0"/>
    <x v="3"/>
    <n v="0"/>
    <n v="100"/>
    <m/>
    <n v="0"/>
    <n v="100"/>
  </r>
  <r>
    <s v="41114-implementation-schedules"/>
    <x v="55"/>
    <n v="41114"/>
    <x v="274"/>
    <s v="implementation-schedules"/>
    <x v="38"/>
    <x v="2"/>
    <x v="6"/>
    <x v="7"/>
    <n v="2"/>
    <n v="3.3300000000000003E-2"/>
    <x v="0"/>
    <x v="5"/>
    <n v="97"/>
    <x v="229"/>
    <n v="0"/>
    <n v="0"/>
    <s v="monthly"/>
    <n v="1"/>
    <n v="1"/>
    <n v="0"/>
    <x v="3"/>
    <n v="0"/>
    <n v="97"/>
    <m/>
    <n v="0"/>
    <n v="97"/>
  </r>
  <r>
    <s v="44004-dates-actual"/>
    <x v="56"/>
    <n v="44004"/>
    <x v="0"/>
    <s v="dates-actual"/>
    <x v="0"/>
    <x v="0"/>
    <x v="0"/>
    <x v="0"/>
    <n v="17"/>
    <n v="1.6299999999999999E-2"/>
    <x v="0"/>
    <x v="4"/>
    <n v="0"/>
    <x v="0"/>
    <n v="0"/>
    <n v="0"/>
    <m/>
    <n v="1"/>
    <n v="1"/>
    <n v="0"/>
    <x v="2"/>
    <n v="0"/>
    <m/>
    <s v="machine-readable"/>
    <n v="50"/>
    <n v="0"/>
  </r>
  <r>
    <s v="44004-contact-details"/>
    <x v="56"/>
    <n v="44004"/>
    <x v="1"/>
    <s v="contact-details"/>
    <x v="1"/>
    <x v="0"/>
    <x v="0"/>
    <x v="0"/>
    <n v="19"/>
    <n v="1.6299999999999999E-2"/>
    <x v="0"/>
    <x v="1"/>
    <n v="33.33"/>
    <x v="1"/>
    <n v="0"/>
    <n v="0"/>
    <m/>
    <n v="1"/>
    <n v="1"/>
    <n v="0"/>
    <x v="1"/>
    <n v="1"/>
    <m/>
    <s v="website"/>
    <n v="33.33"/>
    <n v="33.33"/>
  </r>
  <r>
    <s v="44004-current-status"/>
    <x v="56"/>
    <n v="44004"/>
    <x v="11"/>
    <s v="current-status"/>
    <x v="2"/>
    <x v="0"/>
    <x v="0"/>
    <x v="0"/>
    <n v="18"/>
    <n v="1.6299999999999999E-2"/>
    <x v="0"/>
    <x v="4"/>
    <n v="50"/>
    <x v="2"/>
    <n v="0"/>
    <n v="0"/>
    <m/>
    <n v="1"/>
    <n v="1"/>
    <n v="0"/>
    <x v="1"/>
    <n v="1"/>
    <m/>
    <s v="machine-readable"/>
    <n v="50"/>
    <n v="50"/>
  </r>
  <r>
    <s v="44004-description"/>
    <x v="56"/>
    <n v="44004"/>
    <x v="1"/>
    <s v="description"/>
    <x v="3"/>
    <x v="0"/>
    <x v="0"/>
    <x v="0"/>
    <n v="15"/>
    <n v="1.6299999999999999E-2"/>
    <x v="0"/>
    <x v="1"/>
    <n v="33.33"/>
    <x v="1"/>
    <n v="0"/>
    <n v="0"/>
    <m/>
    <n v="1"/>
    <n v="1"/>
    <n v="0"/>
    <x v="1"/>
    <n v="1"/>
    <m/>
    <s v="website"/>
    <n v="33.33"/>
    <n v="33.33"/>
  </r>
  <r>
    <s v="44004-implementer"/>
    <x v="56"/>
    <n v="44004"/>
    <x v="11"/>
    <s v="implementer"/>
    <x v="4"/>
    <x v="0"/>
    <x v="0"/>
    <x v="0"/>
    <n v="12"/>
    <n v="1.6299999999999999E-2"/>
    <x v="0"/>
    <x v="4"/>
    <n v="50"/>
    <x v="2"/>
    <n v="0"/>
    <n v="0"/>
    <m/>
    <n v="1"/>
    <n v="1"/>
    <n v="0"/>
    <x v="1"/>
    <n v="1"/>
    <m/>
    <s v="machine-readable"/>
    <n v="50"/>
    <n v="50"/>
  </r>
  <r>
    <s v="44004-dates-planned"/>
    <x v="56"/>
    <n v="44004"/>
    <x v="0"/>
    <s v="dates-planned"/>
    <x v="5"/>
    <x v="0"/>
    <x v="0"/>
    <x v="0"/>
    <n v="16"/>
    <n v="1.6299999999999999E-2"/>
    <x v="0"/>
    <x v="4"/>
    <n v="0"/>
    <x v="0"/>
    <n v="0"/>
    <n v="0"/>
    <m/>
    <n v="1"/>
    <n v="1"/>
    <n v="0"/>
    <x v="2"/>
    <n v="0"/>
    <m/>
    <s v="machine-readable"/>
    <n v="50"/>
    <n v="0"/>
  </r>
  <r>
    <s v="44004-title"/>
    <x v="56"/>
    <n v="44004"/>
    <x v="11"/>
    <s v="title"/>
    <x v="6"/>
    <x v="0"/>
    <x v="0"/>
    <x v="0"/>
    <n v="14"/>
    <n v="1.6299999999999999E-2"/>
    <x v="0"/>
    <x v="4"/>
    <n v="50"/>
    <x v="2"/>
    <n v="0"/>
    <n v="0"/>
    <m/>
    <n v="1"/>
    <n v="1"/>
    <n v="0"/>
    <x v="1"/>
    <n v="1"/>
    <m/>
    <s v="machine-readable"/>
    <n v="50"/>
    <n v="50"/>
  </r>
  <r>
    <s v="44004-unique-id"/>
    <x v="56"/>
    <n v="44004"/>
    <x v="11"/>
    <s v="unique-id"/>
    <x v="7"/>
    <x v="0"/>
    <x v="0"/>
    <x v="0"/>
    <n v="13"/>
    <n v="1.6299999999999999E-2"/>
    <x v="0"/>
    <x v="4"/>
    <n v="50"/>
    <x v="2"/>
    <n v="0"/>
    <n v="0"/>
    <m/>
    <n v="1"/>
    <n v="1"/>
    <n v="0"/>
    <x v="1"/>
    <n v="1"/>
    <m/>
    <s v="machine-readable"/>
    <n v="50"/>
    <n v="50"/>
  </r>
  <r>
    <s v="44004-aid-type"/>
    <x v="56"/>
    <n v="44004"/>
    <x v="12"/>
    <s v="aid-type"/>
    <x v="8"/>
    <x v="0"/>
    <x v="1"/>
    <x v="1"/>
    <n v="22"/>
    <n v="1.8599999999999998E-2"/>
    <x v="0"/>
    <x v="4"/>
    <n v="50"/>
    <x v="2"/>
    <n v="0"/>
    <n v="0"/>
    <m/>
    <n v="1"/>
    <n v="1"/>
    <n v="0"/>
    <x v="1"/>
    <n v="1"/>
    <m/>
    <s v="machine-readable"/>
    <n v="50"/>
    <n v="50"/>
  </r>
  <r>
    <s v="44004-collaboration-type"/>
    <x v="56"/>
    <n v="44004"/>
    <x v="0"/>
    <s v="collaboration-type"/>
    <x v="9"/>
    <x v="0"/>
    <x v="1"/>
    <x v="1"/>
    <n v="20"/>
    <n v="1.8599999999999998E-2"/>
    <x v="0"/>
    <x v="0"/>
    <n v="0"/>
    <x v="0"/>
    <n v="0"/>
    <n v="0"/>
    <m/>
    <n v="1"/>
    <n v="1"/>
    <n v="0"/>
    <x v="0"/>
    <n v="0"/>
    <m/>
    <m/>
    <n v="0"/>
    <n v="0"/>
  </r>
  <r>
    <s v="44004-finance-type"/>
    <x v="56"/>
    <n v="44004"/>
    <x v="12"/>
    <s v="finance-type"/>
    <x v="10"/>
    <x v="0"/>
    <x v="1"/>
    <x v="1"/>
    <n v="23"/>
    <n v="1.8599999999999998E-2"/>
    <x v="0"/>
    <x v="4"/>
    <n v="50"/>
    <x v="2"/>
    <n v="0"/>
    <n v="0"/>
    <m/>
    <n v="1"/>
    <n v="1"/>
    <n v="0"/>
    <x v="1"/>
    <n v="1"/>
    <m/>
    <s v="machine-readable"/>
    <n v="50"/>
    <n v="50"/>
  </r>
  <r>
    <s v="44004-flow-type"/>
    <x v="56"/>
    <n v="44004"/>
    <x v="0"/>
    <s v="flow-type"/>
    <x v="11"/>
    <x v="0"/>
    <x v="1"/>
    <x v="1"/>
    <n v="21"/>
    <n v="1.8599999999999998E-2"/>
    <x v="0"/>
    <x v="0"/>
    <n v="0"/>
    <x v="0"/>
    <n v="0"/>
    <n v="0"/>
    <m/>
    <n v="1"/>
    <n v="1"/>
    <n v="0"/>
    <x v="0"/>
    <n v="0"/>
    <m/>
    <m/>
    <n v="0"/>
    <n v="0"/>
  </r>
  <r>
    <s v="44004-sector"/>
    <x v="56"/>
    <n v="44004"/>
    <x v="12"/>
    <s v="sector"/>
    <x v="12"/>
    <x v="0"/>
    <x v="1"/>
    <x v="1"/>
    <n v="24"/>
    <n v="1.8599999999999998E-2"/>
    <x v="0"/>
    <x v="4"/>
    <n v="50"/>
    <x v="2"/>
    <n v="0"/>
    <n v="0"/>
    <m/>
    <n v="1"/>
    <n v="1"/>
    <n v="0"/>
    <x v="1"/>
    <n v="1"/>
    <m/>
    <s v="machine-readable"/>
    <n v="50"/>
    <n v="50"/>
  </r>
  <r>
    <s v="44004-location"/>
    <x v="56"/>
    <n v="44004"/>
    <x v="0"/>
    <s v="location"/>
    <x v="13"/>
    <x v="0"/>
    <x v="1"/>
    <x v="1"/>
    <n v="25"/>
    <n v="1.8599999999999998E-2"/>
    <x v="0"/>
    <x v="1"/>
    <n v="0"/>
    <x v="0"/>
    <n v="0"/>
    <n v="0"/>
    <m/>
    <n v="1"/>
    <n v="1"/>
    <n v="0"/>
    <x v="2"/>
    <n v="0"/>
    <m/>
    <s v="website"/>
    <n v="33.33"/>
    <n v="0"/>
  </r>
  <r>
    <s v="44004-tied-aid-status"/>
    <x v="56"/>
    <n v="44004"/>
    <x v="0"/>
    <s v="tied-aid-status"/>
    <x v="14"/>
    <x v="0"/>
    <x v="1"/>
    <x v="1"/>
    <n v="26"/>
    <n v="1.8599999999999998E-2"/>
    <x v="0"/>
    <x v="0"/>
    <n v="0"/>
    <x v="0"/>
    <n v="0"/>
    <n v="0"/>
    <m/>
    <n v="1"/>
    <n v="1"/>
    <n v="0"/>
    <x v="0"/>
    <n v="0"/>
    <m/>
    <m/>
    <n v="0"/>
    <n v="0"/>
  </r>
  <r>
    <s v="44004-expenditure-actual"/>
    <x v="56"/>
    <n v="44004"/>
    <x v="0"/>
    <s v="expenditure-actual"/>
    <x v="15"/>
    <x v="0"/>
    <x v="2"/>
    <x v="2"/>
    <n v="35"/>
    <n v="3.2500000000000001E-2"/>
    <x v="0"/>
    <x v="0"/>
    <n v="0"/>
    <x v="0"/>
    <n v="0"/>
    <n v="0"/>
    <m/>
    <n v="1"/>
    <n v="1"/>
    <n v="0"/>
    <x v="0"/>
    <n v="0"/>
    <m/>
    <m/>
    <n v="0"/>
    <n v="0"/>
  </r>
  <r>
    <s v="44004-cost-overall"/>
    <x v="56"/>
    <n v="44004"/>
    <x v="14"/>
    <s v="cost-overall"/>
    <x v="16"/>
    <x v="0"/>
    <x v="2"/>
    <x v="2"/>
    <n v="33"/>
    <n v="3.2500000000000001E-2"/>
    <x v="0"/>
    <x v="4"/>
    <n v="50"/>
    <x v="2"/>
    <n v="0"/>
    <n v="0"/>
    <m/>
    <n v="1"/>
    <n v="1"/>
    <n v="0"/>
    <x v="1"/>
    <n v="1"/>
    <m/>
    <s v="machine-readable"/>
    <n v="50"/>
    <n v="50"/>
  </r>
  <r>
    <s v="44004-expenditure-planned"/>
    <x v="56"/>
    <n v="44004"/>
    <x v="14"/>
    <s v="expenditure-planned"/>
    <x v="17"/>
    <x v="0"/>
    <x v="2"/>
    <x v="2"/>
    <n v="34"/>
    <n v="3.2500000000000001E-2"/>
    <x v="0"/>
    <x v="4"/>
    <n v="50"/>
    <x v="2"/>
    <n v="0"/>
    <n v="0"/>
    <m/>
    <n v="1"/>
    <n v="1"/>
    <n v="0"/>
    <x v="1"/>
    <n v="1"/>
    <m/>
    <s v="machine-readable"/>
    <n v="50"/>
    <n v="50"/>
  </r>
  <r>
    <s v="44004-budget-identifier"/>
    <x v="56"/>
    <n v="44004"/>
    <x v="0"/>
    <s v="budget-identifier"/>
    <x v="18"/>
    <x v="0"/>
    <x v="2"/>
    <x v="2"/>
    <n v="36"/>
    <n v="3.2500000000000001E-2"/>
    <x v="0"/>
    <x v="0"/>
    <n v="0"/>
    <x v="0"/>
    <n v="0"/>
    <n v="0"/>
    <m/>
    <n v="1"/>
    <n v="1"/>
    <n v="0"/>
    <x v="0"/>
    <n v="0"/>
    <m/>
    <m/>
    <n v="0"/>
    <n v="0"/>
  </r>
  <r>
    <s v="44004-conditions"/>
    <x v="56"/>
    <n v="44004"/>
    <x v="0"/>
    <s v="conditions"/>
    <x v="19"/>
    <x v="0"/>
    <x v="3"/>
    <x v="3"/>
    <n v="39"/>
    <n v="4.3299999999999998E-2"/>
    <x v="0"/>
    <x v="2"/>
    <n v="0"/>
    <x v="0"/>
    <n v="0"/>
    <n v="0"/>
    <m/>
    <n v="1"/>
    <n v="1"/>
    <n v="0"/>
    <x v="2"/>
    <n v="0"/>
    <m/>
    <s v="document"/>
    <n v="50"/>
    <n v="0"/>
  </r>
  <r>
    <s v="44004-impact-appraisals"/>
    <x v="56"/>
    <n v="44004"/>
    <x v="20"/>
    <s v="impact-appraisals"/>
    <x v="20"/>
    <x v="0"/>
    <x v="3"/>
    <x v="3"/>
    <n v="38"/>
    <n v="4.3299999999999998E-2"/>
    <x v="0"/>
    <x v="2"/>
    <n v="50"/>
    <x v="2"/>
    <n v="0"/>
    <n v="0"/>
    <m/>
    <n v="1"/>
    <n v="1"/>
    <n v="0"/>
    <x v="1"/>
    <n v="1"/>
    <m/>
    <s v="document"/>
    <n v="50"/>
    <n v="50"/>
  </r>
  <r>
    <s v="44004-results"/>
    <x v="56"/>
    <n v="44004"/>
    <x v="0"/>
    <s v="results"/>
    <x v="21"/>
    <x v="0"/>
    <x v="3"/>
    <x v="3"/>
    <n v="37"/>
    <n v="4.3299999999999998E-2"/>
    <x v="0"/>
    <x v="1"/>
    <n v="0"/>
    <x v="0"/>
    <n v="0"/>
    <n v="0"/>
    <m/>
    <n v="1"/>
    <n v="1"/>
    <n v="0"/>
    <x v="2"/>
    <n v="0"/>
    <m/>
    <s v="website"/>
    <n v="33.33"/>
    <n v="0"/>
  </r>
  <r>
    <s v="44004-budget"/>
    <x v="56"/>
    <n v="44004"/>
    <x v="0"/>
    <s v="budget"/>
    <x v="22"/>
    <x v="0"/>
    <x v="4"/>
    <x v="4"/>
    <n v="30"/>
    <n v="2.1700000000000001E-2"/>
    <x v="0"/>
    <x v="2"/>
    <n v="0"/>
    <x v="0"/>
    <n v="0"/>
    <n v="0"/>
    <m/>
    <n v="1"/>
    <n v="1"/>
    <n v="0"/>
    <x v="0"/>
    <n v="0"/>
    <m/>
    <s v="document"/>
    <n v="50"/>
    <n v="0"/>
  </r>
  <r>
    <s v="44004-contracts"/>
    <x v="56"/>
    <n v="44004"/>
    <x v="0"/>
    <s v="contracts"/>
    <x v="23"/>
    <x v="0"/>
    <x v="4"/>
    <x v="4"/>
    <n v="31"/>
    <n v="2.1700000000000001E-2"/>
    <x v="0"/>
    <x v="2"/>
    <n v="0"/>
    <x v="0"/>
    <n v="0"/>
    <n v="0"/>
    <m/>
    <n v="1"/>
    <n v="1"/>
    <n v="0"/>
    <x v="0"/>
    <n v="0"/>
    <m/>
    <s v="document"/>
    <n v="50"/>
    <n v="0"/>
  </r>
  <r>
    <s v="44004-evaluations"/>
    <x v="56"/>
    <n v="44004"/>
    <x v="3"/>
    <s v="evaluations"/>
    <x v="24"/>
    <x v="0"/>
    <x v="4"/>
    <x v="4"/>
    <n v="28"/>
    <n v="2.1700000000000001E-2"/>
    <x v="0"/>
    <x v="2"/>
    <n v="50"/>
    <x v="2"/>
    <n v="0"/>
    <n v="0"/>
    <m/>
    <n v="1"/>
    <n v="1"/>
    <n v="0"/>
    <x v="1"/>
    <n v="1"/>
    <m/>
    <s v="document"/>
    <n v="50"/>
    <n v="50"/>
  </r>
  <r>
    <s v="44004-mou"/>
    <x v="56"/>
    <n v="44004"/>
    <x v="0"/>
    <s v="mou"/>
    <x v="25"/>
    <x v="0"/>
    <x v="4"/>
    <x v="4"/>
    <n v="27"/>
    <n v="2.1700000000000001E-2"/>
    <x v="0"/>
    <x v="2"/>
    <n v="0"/>
    <x v="0"/>
    <n v="0"/>
    <n v="0"/>
    <m/>
    <n v="1"/>
    <n v="1"/>
    <n v="0"/>
    <x v="0"/>
    <n v="0"/>
    <m/>
    <s v="document"/>
    <n v="50"/>
    <n v="0"/>
  </r>
  <r>
    <s v="44004-objectives"/>
    <x v="56"/>
    <n v="44004"/>
    <x v="3"/>
    <s v="objectives"/>
    <x v="26"/>
    <x v="0"/>
    <x v="4"/>
    <x v="4"/>
    <n v="29"/>
    <n v="2.1700000000000001E-2"/>
    <x v="0"/>
    <x v="2"/>
    <n v="50"/>
    <x v="2"/>
    <n v="0"/>
    <n v="0"/>
    <m/>
    <n v="1"/>
    <n v="1"/>
    <n v="0"/>
    <x v="1"/>
    <n v="1"/>
    <m/>
    <s v="document"/>
    <n v="50"/>
    <n v="50"/>
  </r>
  <r>
    <s v="44004-tenders"/>
    <x v="56"/>
    <n v="44004"/>
    <x v="3"/>
    <s v="tenders"/>
    <x v="27"/>
    <x v="0"/>
    <x v="4"/>
    <x v="4"/>
    <n v="32"/>
    <n v="2.1700000000000001E-2"/>
    <x v="0"/>
    <x v="2"/>
    <n v="50"/>
    <x v="2"/>
    <n v="0"/>
    <n v="0"/>
    <m/>
    <n v="1"/>
    <n v="1"/>
    <n v="0"/>
    <x v="1"/>
    <n v="1"/>
    <m/>
    <s v="document"/>
    <n v="50"/>
    <n v="50"/>
  </r>
  <r>
    <s v="44004-audit"/>
    <x v="56"/>
    <n v="44004"/>
    <x v="4"/>
    <s v="audit"/>
    <x v="28"/>
    <x v="1"/>
    <x v="2"/>
    <x v="5"/>
    <n v="11"/>
    <n v="4.1700000000000001E-2"/>
    <x v="0"/>
    <x v="2"/>
    <n v="50"/>
    <x v="2"/>
    <n v="0"/>
    <n v="0"/>
    <m/>
    <n v="1"/>
    <n v="1"/>
    <n v="0"/>
    <x v="1"/>
    <n v="1"/>
    <m/>
    <s v="document"/>
    <n v="50"/>
    <n v="50"/>
  </r>
  <r>
    <s v="44004-total-budget"/>
    <x v="56"/>
    <n v="44004"/>
    <x v="5"/>
    <s v="total-budget"/>
    <x v="29"/>
    <x v="1"/>
    <x v="2"/>
    <x v="5"/>
    <n v="9"/>
    <n v="4.1700000000000001E-2"/>
    <x v="0"/>
    <x v="3"/>
    <n v="11.11"/>
    <x v="3"/>
    <n v="0"/>
    <n v="0"/>
    <m/>
    <n v="1"/>
    <n v="1"/>
    <n v="0"/>
    <x v="3"/>
    <n v="0"/>
    <n v="2"/>
    <s v="pdf"/>
    <n v="16.664999999999999"/>
    <n v="11.11"/>
  </r>
  <r>
    <s v="44004-disaggregated-budgets"/>
    <x v="56"/>
    <n v="44004"/>
    <x v="5"/>
    <s v="disaggregated-budgets"/>
    <x v="30"/>
    <x v="1"/>
    <x v="2"/>
    <x v="5"/>
    <n v="10"/>
    <n v="4.1700000000000001E-2"/>
    <x v="0"/>
    <x v="3"/>
    <n v="11.11"/>
    <x v="3"/>
    <n v="0"/>
    <n v="0"/>
    <m/>
    <n v="1"/>
    <n v="1"/>
    <n v="0"/>
    <x v="3"/>
    <n v="0"/>
    <n v="2"/>
    <s v="pdf"/>
    <n v="16.664999999999999"/>
    <n v="11.11"/>
  </r>
  <r>
    <s v="44004-strategy"/>
    <x v="56"/>
    <n v="44004"/>
    <x v="6"/>
    <s v="strategy"/>
    <x v="31"/>
    <x v="1"/>
    <x v="5"/>
    <x v="6"/>
    <n v="4"/>
    <n v="2.5000000000000001E-2"/>
    <x v="0"/>
    <x v="2"/>
    <n v="50"/>
    <x v="2"/>
    <n v="0"/>
    <n v="0"/>
    <m/>
    <n v="1"/>
    <n v="1"/>
    <n v="0"/>
    <x v="1"/>
    <n v="1"/>
    <m/>
    <s v="document"/>
    <n v="50"/>
    <n v="50"/>
  </r>
  <r>
    <s v="44004-annual-report"/>
    <x v="56"/>
    <n v="44004"/>
    <x v="6"/>
    <s v="annual-report"/>
    <x v="32"/>
    <x v="1"/>
    <x v="5"/>
    <x v="6"/>
    <n v="5"/>
    <n v="2.5000000000000001E-2"/>
    <x v="0"/>
    <x v="2"/>
    <n v="50"/>
    <x v="2"/>
    <n v="0"/>
    <n v="0"/>
    <m/>
    <n v="1"/>
    <n v="1"/>
    <n v="0"/>
    <x v="1"/>
    <n v="1"/>
    <m/>
    <s v="document"/>
    <n v="50"/>
    <n v="50"/>
  </r>
  <r>
    <s v="44004-allocation"/>
    <x v="56"/>
    <n v="44004"/>
    <x v="6"/>
    <s v="allocation"/>
    <x v="33"/>
    <x v="1"/>
    <x v="5"/>
    <x v="6"/>
    <n v="6"/>
    <n v="2.5000000000000001E-2"/>
    <x v="0"/>
    <x v="2"/>
    <n v="50"/>
    <x v="2"/>
    <n v="0"/>
    <n v="0"/>
    <m/>
    <n v="1"/>
    <n v="1"/>
    <n v="0"/>
    <x v="1"/>
    <n v="1"/>
    <m/>
    <s v="document"/>
    <n v="50"/>
    <n v="50"/>
  </r>
  <r>
    <s v="44004-procurement-policy"/>
    <x v="56"/>
    <n v="44004"/>
    <x v="6"/>
    <s v="procurement-policy"/>
    <x v="34"/>
    <x v="1"/>
    <x v="5"/>
    <x v="6"/>
    <n v="7"/>
    <n v="2.5000000000000001E-2"/>
    <x v="0"/>
    <x v="2"/>
    <n v="50"/>
    <x v="2"/>
    <n v="0"/>
    <n v="0"/>
    <m/>
    <n v="1"/>
    <n v="1"/>
    <n v="0"/>
    <x v="1"/>
    <n v="1"/>
    <m/>
    <s v="document"/>
    <n v="50"/>
    <n v="50"/>
  </r>
  <r>
    <s v="44004-country-strategy"/>
    <x v="56"/>
    <n v="44004"/>
    <x v="6"/>
    <s v="country-strategy"/>
    <x v="35"/>
    <x v="1"/>
    <x v="5"/>
    <x v="6"/>
    <n v="8"/>
    <n v="2.5000000000000001E-2"/>
    <x v="0"/>
    <x v="2"/>
    <n v="50"/>
    <x v="2"/>
    <n v="0"/>
    <n v="0"/>
    <m/>
    <n v="1"/>
    <n v="1"/>
    <n v="0"/>
    <x v="1"/>
    <n v="1"/>
    <m/>
    <s v="document"/>
    <n v="50"/>
    <n v="50"/>
  </r>
  <r>
    <s v="44004-foia"/>
    <x v="56"/>
    <n v="44004"/>
    <x v="15"/>
    <s v="foia"/>
    <x v="36"/>
    <x v="2"/>
    <x v="6"/>
    <x v="7"/>
    <n v="1"/>
    <n v="3.3300000000000003E-2"/>
    <x v="0"/>
    <x v="5"/>
    <n v="66.66"/>
    <x v="6"/>
    <n v="0"/>
    <n v="0"/>
    <m/>
    <n v="1"/>
    <n v="1"/>
    <n v="0"/>
    <x v="3"/>
    <n v="0"/>
    <n v="66.66"/>
    <m/>
    <n v="0"/>
    <n v="66.66"/>
  </r>
  <r>
    <s v="44004-accessibility"/>
    <x v="56"/>
    <n v="44004"/>
    <x v="10"/>
    <s v="accessibility"/>
    <x v="37"/>
    <x v="2"/>
    <x v="6"/>
    <x v="7"/>
    <n v="3"/>
    <n v="3.3300000000000003E-2"/>
    <x v="0"/>
    <x v="5"/>
    <n v="100"/>
    <x v="5"/>
    <n v="0"/>
    <n v="0"/>
    <m/>
    <n v="1"/>
    <n v="1"/>
    <n v="0"/>
    <x v="3"/>
    <n v="0"/>
    <n v="100"/>
    <m/>
    <n v="0"/>
    <n v="100"/>
  </r>
  <r>
    <s v="44004-implementation-schedules"/>
    <x v="56"/>
    <n v="44004"/>
    <x v="0"/>
    <s v="implementation-schedules"/>
    <x v="38"/>
    <x v="2"/>
    <x v="6"/>
    <x v="7"/>
    <n v="2"/>
    <n v="3.3300000000000003E-2"/>
    <x v="0"/>
    <x v="5"/>
    <n v="0"/>
    <x v="0"/>
    <n v="0"/>
    <n v="0"/>
    <m/>
    <n v="1"/>
    <n v="1"/>
    <n v="0"/>
    <x v="3"/>
    <n v="0"/>
    <n v="0"/>
    <m/>
    <n v="0"/>
    <n v="0"/>
  </r>
  <r>
    <s v="EU-5-dates-actual"/>
    <x v="57"/>
    <s v="EU-5"/>
    <x v="275"/>
    <s v="dates-actual"/>
    <x v="0"/>
    <x v="0"/>
    <x v="0"/>
    <x v="0"/>
    <n v="17"/>
    <n v="1.6299999999999999E-2"/>
    <x v="1"/>
    <x v="6"/>
    <n v="50"/>
    <x v="230"/>
    <n v="69.101123595499999"/>
    <n v="34.5505617978"/>
    <s v="monthly"/>
    <n v="1"/>
    <n v="1"/>
    <n v="34.5505617978"/>
    <x v="3"/>
    <m/>
    <m/>
    <m/>
    <m/>
    <n v="0"/>
  </r>
  <r>
    <s v="EU-5-contact-details"/>
    <x v="57"/>
    <s v="EU-5"/>
    <x v="276"/>
    <s v="contact-details"/>
    <x v="1"/>
    <x v="0"/>
    <x v="0"/>
    <x v="0"/>
    <n v="19"/>
    <n v="1.6299999999999999E-2"/>
    <x v="1"/>
    <x v="6"/>
    <n v="50"/>
    <x v="231"/>
    <n v="90.489510489500006"/>
    <n v="45.244755244799997"/>
    <s v="monthly"/>
    <n v="1"/>
    <n v="1"/>
    <n v="45.244755244799997"/>
    <x v="3"/>
    <m/>
    <m/>
    <m/>
    <m/>
    <n v="0"/>
  </r>
  <r>
    <s v="EU-5-current-status"/>
    <x v="57"/>
    <s v="EU-5"/>
    <x v="46"/>
    <s v="current-status"/>
    <x v="2"/>
    <x v="0"/>
    <x v="0"/>
    <x v="0"/>
    <n v="18"/>
    <n v="1.6299999999999999E-2"/>
    <x v="1"/>
    <x v="6"/>
    <n v="50"/>
    <x v="5"/>
    <n v="100"/>
    <n v="50"/>
    <s v="monthly"/>
    <n v="1"/>
    <n v="1"/>
    <n v="50"/>
    <x v="3"/>
    <m/>
    <m/>
    <m/>
    <m/>
    <n v="0"/>
  </r>
  <r>
    <s v="EU-5-description"/>
    <x v="57"/>
    <s v="EU-5"/>
    <x v="277"/>
    <s v="description"/>
    <x v="3"/>
    <x v="0"/>
    <x v="0"/>
    <x v="0"/>
    <n v="15"/>
    <n v="1.6299999999999999E-2"/>
    <x v="1"/>
    <x v="6"/>
    <n v="50"/>
    <x v="232"/>
    <n v="87.552447552399997"/>
    <n v="43.776223776199998"/>
    <s v="monthly"/>
    <n v="1"/>
    <n v="1"/>
    <n v="43.776223776199998"/>
    <x v="3"/>
    <m/>
    <m/>
    <m/>
    <m/>
    <n v="0"/>
  </r>
  <r>
    <s v="EU-5-implementer"/>
    <x v="57"/>
    <s v="EU-5"/>
    <x v="46"/>
    <s v="implementer"/>
    <x v="4"/>
    <x v="0"/>
    <x v="0"/>
    <x v="0"/>
    <n v="12"/>
    <n v="1.6299999999999999E-2"/>
    <x v="1"/>
    <x v="6"/>
    <n v="50"/>
    <x v="5"/>
    <n v="100"/>
    <n v="50"/>
    <s v="monthly"/>
    <n v="1"/>
    <n v="1"/>
    <n v="50"/>
    <x v="3"/>
    <m/>
    <m/>
    <m/>
    <m/>
    <n v="0"/>
  </r>
  <r>
    <s v="EU-5-dates-planned"/>
    <x v="57"/>
    <s v="EU-5"/>
    <x v="278"/>
    <s v="dates-planned"/>
    <x v="5"/>
    <x v="0"/>
    <x v="0"/>
    <x v="0"/>
    <n v="16"/>
    <n v="1.6299999999999999E-2"/>
    <x v="1"/>
    <x v="6"/>
    <n v="50"/>
    <x v="233"/>
    <n v="94.405594405599999"/>
    <n v="47.202797202799999"/>
    <s v="monthly"/>
    <n v="1"/>
    <n v="1"/>
    <n v="47.202797202799999"/>
    <x v="3"/>
    <m/>
    <m/>
    <m/>
    <m/>
    <n v="0"/>
  </r>
  <r>
    <s v="EU-5-title"/>
    <x v="57"/>
    <s v="EU-5"/>
    <x v="279"/>
    <s v="title"/>
    <x v="6"/>
    <x v="0"/>
    <x v="0"/>
    <x v="0"/>
    <n v="14"/>
    <n v="1.6299999999999999E-2"/>
    <x v="1"/>
    <x v="6"/>
    <n v="50"/>
    <x v="234"/>
    <n v="98.741258741300001"/>
    <n v="49.3706293706"/>
    <s v="monthly"/>
    <n v="1"/>
    <n v="1"/>
    <n v="49.3706293706"/>
    <x v="3"/>
    <m/>
    <m/>
    <m/>
    <m/>
    <n v="0"/>
  </r>
  <r>
    <s v="EU-5-unique-id"/>
    <x v="57"/>
    <s v="EU-5"/>
    <x v="280"/>
    <s v="unique-id"/>
    <x v="7"/>
    <x v="0"/>
    <x v="0"/>
    <x v="0"/>
    <n v="13"/>
    <n v="1.6299999999999999E-2"/>
    <x v="1"/>
    <x v="6"/>
    <n v="50"/>
    <x v="235"/>
    <n v="95.244755244800004"/>
    <n v="47.622377622400002"/>
    <s v="monthly"/>
    <n v="1"/>
    <n v="1"/>
    <n v="47.622377622400002"/>
    <x v="3"/>
    <m/>
    <m/>
    <m/>
    <m/>
    <n v="0"/>
  </r>
  <r>
    <s v="EU-5-aid-type"/>
    <x v="57"/>
    <s v="EU-5"/>
    <x v="47"/>
    <s v="aid-type"/>
    <x v="8"/>
    <x v="0"/>
    <x v="1"/>
    <x v="1"/>
    <n v="22"/>
    <n v="1.8599999999999998E-2"/>
    <x v="1"/>
    <x v="6"/>
    <n v="50"/>
    <x v="5"/>
    <n v="100"/>
    <n v="50"/>
    <s v="monthly"/>
    <n v="1"/>
    <n v="1"/>
    <n v="50"/>
    <x v="3"/>
    <m/>
    <m/>
    <m/>
    <m/>
    <n v="0"/>
  </r>
  <r>
    <s v="EU-5-collaboration-type"/>
    <x v="57"/>
    <s v="EU-5"/>
    <x v="47"/>
    <s v="collaboration-type"/>
    <x v="9"/>
    <x v="0"/>
    <x v="1"/>
    <x v="1"/>
    <n v="20"/>
    <n v="1.8599999999999998E-2"/>
    <x v="1"/>
    <x v="6"/>
    <n v="50"/>
    <x v="5"/>
    <n v="100"/>
    <n v="50"/>
    <s v="monthly"/>
    <n v="1"/>
    <n v="1"/>
    <n v="50"/>
    <x v="3"/>
    <m/>
    <m/>
    <m/>
    <m/>
    <n v="0"/>
  </r>
  <r>
    <s v="EU-5-finance-type"/>
    <x v="57"/>
    <s v="EU-5"/>
    <x v="47"/>
    <s v="finance-type"/>
    <x v="10"/>
    <x v="0"/>
    <x v="1"/>
    <x v="1"/>
    <n v="23"/>
    <n v="1.8599999999999998E-2"/>
    <x v="1"/>
    <x v="6"/>
    <n v="50"/>
    <x v="5"/>
    <n v="100"/>
    <n v="50"/>
    <s v="monthly"/>
    <n v="1"/>
    <n v="1"/>
    <n v="50"/>
    <x v="3"/>
    <m/>
    <m/>
    <m/>
    <m/>
    <n v="0"/>
  </r>
  <r>
    <s v="EU-5-flow-type"/>
    <x v="57"/>
    <s v="EU-5"/>
    <x v="47"/>
    <s v="flow-type"/>
    <x v="11"/>
    <x v="0"/>
    <x v="1"/>
    <x v="1"/>
    <n v="21"/>
    <n v="1.8599999999999998E-2"/>
    <x v="1"/>
    <x v="6"/>
    <n v="50"/>
    <x v="5"/>
    <n v="100"/>
    <n v="50"/>
    <s v="monthly"/>
    <n v="1"/>
    <n v="1"/>
    <n v="50"/>
    <x v="3"/>
    <m/>
    <m/>
    <m/>
    <m/>
    <n v="0"/>
  </r>
  <r>
    <s v="EU-5-sector"/>
    <x v="57"/>
    <s v="EU-5"/>
    <x v="47"/>
    <s v="sector"/>
    <x v="12"/>
    <x v="0"/>
    <x v="1"/>
    <x v="1"/>
    <n v="24"/>
    <n v="1.8599999999999998E-2"/>
    <x v="1"/>
    <x v="6"/>
    <n v="50"/>
    <x v="5"/>
    <n v="100"/>
    <n v="50"/>
    <s v="monthly"/>
    <n v="1"/>
    <n v="1"/>
    <n v="50"/>
    <x v="3"/>
    <m/>
    <m/>
    <m/>
    <m/>
    <n v="0"/>
  </r>
  <r>
    <s v="EU-5-tied-aid-status"/>
    <x v="57"/>
    <s v="EU-5"/>
    <x v="281"/>
    <s v="tied-aid-status"/>
    <x v="14"/>
    <x v="0"/>
    <x v="1"/>
    <x v="1"/>
    <n v="26"/>
    <n v="1.8599999999999998E-2"/>
    <x v="1"/>
    <x v="6"/>
    <n v="50"/>
    <x v="236"/>
    <n v="93.75"/>
    <n v="46.875"/>
    <s v="monthly"/>
    <n v="1"/>
    <n v="1"/>
    <n v="46.875"/>
    <x v="3"/>
    <m/>
    <m/>
    <m/>
    <m/>
    <n v="0"/>
  </r>
  <r>
    <s v="EU-5-expenditure-actual"/>
    <x v="57"/>
    <s v="EU-5"/>
    <x v="282"/>
    <s v="expenditure-actual"/>
    <x v="15"/>
    <x v="0"/>
    <x v="2"/>
    <x v="2"/>
    <n v="35"/>
    <n v="3.2500000000000001E-2"/>
    <x v="1"/>
    <x v="6"/>
    <n v="50"/>
    <x v="237"/>
    <n v="74.297752809000002"/>
    <n v="37.148876404500001"/>
    <s v="monthly"/>
    <n v="1"/>
    <n v="1"/>
    <n v="37.148876404500001"/>
    <x v="3"/>
    <m/>
    <m/>
    <m/>
    <m/>
    <n v="0"/>
  </r>
  <r>
    <s v="EU-5-expenditure-planned"/>
    <x v="57"/>
    <s v="EU-5"/>
    <x v="51"/>
    <s v="expenditure-planned"/>
    <x v="17"/>
    <x v="0"/>
    <x v="2"/>
    <x v="2"/>
    <n v="34"/>
    <n v="3.2500000000000001E-2"/>
    <x v="1"/>
    <x v="6"/>
    <n v="50"/>
    <x v="5"/>
    <n v="100"/>
    <n v="50"/>
    <s v="monthly"/>
    <n v="1"/>
    <n v="1"/>
    <n v="50"/>
    <x v="3"/>
    <m/>
    <m/>
    <m/>
    <m/>
    <n v="0"/>
  </r>
  <r>
    <s v="EU-5-audit"/>
    <x v="57"/>
    <s v="EU-5"/>
    <x v="42"/>
    <s v="audit"/>
    <x v="28"/>
    <x v="1"/>
    <x v="2"/>
    <x v="5"/>
    <n v="11"/>
    <n v="4.1700000000000001E-2"/>
    <x v="1"/>
    <x v="6"/>
    <n v="50"/>
    <x v="5"/>
    <n v="100"/>
    <n v="50"/>
    <s v="monthly"/>
    <n v="1"/>
    <n v="1"/>
    <n v="50"/>
    <x v="3"/>
    <m/>
    <m/>
    <m/>
    <m/>
    <n v="0"/>
  </r>
  <r>
    <s v="EU-5-total-budget"/>
    <x v="57"/>
    <s v="EU-5"/>
    <x v="42"/>
    <s v="total-budget"/>
    <x v="29"/>
    <x v="1"/>
    <x v="2"/>
    <x v="5"/>
    <n v="9"/>
    <n v="4.1700000000000001E-2"/>
    <x v="1"/>
    <x v="6"/>
    <n v="50"/>
    <x v="5"/>
    <n v="100"/>
    <n v="50"/>
    <s v="monthly"/>
    <n v="1"/>
    <n v="1"/>
    <n v="50"/>
    <x v="3"/>
    <m/>
    <m/>
    <m/>
    <m/>
    <n v="0"/>
  </r>
  <r>
    <s v="EU-5-strategy"/>
    <x v="57"/>
    <s v="EU-5"/>
    <x v="43"/>
    <s v="strategy"/>
    <x v="31"/>
    <x v="1"/>
    <x v="5"/>
    <x v="6"/>
    <n v="4"/>
    <n v="2.5000000000000001E-2"/>
    <x v="1"/>
    <x v="6"/>
    <n v="50"/>
    <x v="5"/>
    <n v="100"/>
    <n v="50"/>
    <s v="monthly"/>
    <n v="1"/>
    <n v="1"/>
    <n v="50"/>
    <x v="3"/>
    <m/>
    <m/>
    <m/>
    <m/>
    <n v="0"/>
  </r>
  <r>
    <s v="EU-5-annual-report"/>
    <x v="57"/>
    <s v="EU-5"/>
    <x v="43"/>
    <s v="annual-report"/>
    <x v="32"/>
    <x v="1"/>
    <x v="5"/>
    <x v="6"/>
    <n v="5"/>
    <n v="2.5000000000000001E-2"/>
    <x v="1"/>
    <x v="6"/>
    <n v="50"/>
    <x v="5"/>
    <n v="100"/>
    <n v="50"/>
    <s v="monthly"/>
    <n v="1"/>
    <n v="1"/>
    <n v="50"/>
    <x v="3"/>
    <m/>
    <m/>
    <m/>
    <m/>
    <n v="0"/>
  </r>
  <r>
    <s v="EU-5-allocation"/>
    <x v="57"/>
    <s v="EU-5"/>
    <x v="43"/>
    <s v="allocation"/>
    <x v="33"/>
    <x v="1"/>
    <x v="5"/>
    <x v="6"/>
    <n v="6"/>
    <n v="2.5000000000000001E-2"/>
    <x v="1"/>
    <x v="6"/>
    <n v="50"/>
    <x v="5"/>
    <n v="100"/>
    <n v="50"/>
    <s v="monthly"/>
    <n v="1"/>
    <n v="1"/>
    <n v="50"/>
    <x v="3"/>
    <m/>
    <m/>
    <m/>
    <m/>
    <n v="0"/>
  </r>
  <r>
    <s v="EU-5-procurement-policy"/>
    <x v="57"/>
    <s v="EU-5"/>
    <x v="43"/>
    <s v="procurement-policy"/>
    <x v="34"/>
    <x v="1"/>
    <x v="5"/>
    <x v="6"/>
    <n v="7"/>
    <n v="2.5000000000000001E-2"/>
    <x v="1"/>
    <x v="6"/>
    <n v="50"/>
    <x v="5"/>
    <n v="100"/>
    <n v="50"/>
    <s v="monthly"/>
    <n v="1"/>
    <n v="1"/>
    <n v="50"/>
    <x v="3"/>
    <m/>
    <m/>
    <m/>
    <m/>
    <n v="0"/>
  </r>
  <r>
    <s v="EU-5-disaggregated-budgets"/>
    <x v="57"/>
    <s v="EU-5"/>
    <x v="0"/>
    <s v="disaggregated-budgets"/>
    <x v="30"/>
    <x v="1"/>
    <x v="2"/>
    <x v="5"/>
    <n v="10"/>
    <n v="4.1700000000000001E-2"/>
    <x v="0"/>
    <x v="0"/>
    <n v="0"/>
    <x v="0"/>
    <n v="0"/>
    <n v="0"/>
    <s v="monthly"/>
    <n v="1"/>
    <n v="1"/>
    <n v="0"/>
    <x v="3"/>
    <n v="0"/>
    <n v="0"/>
    <m/>
    <n v="0"/>
    <n v="0"/>
  </r>
  <r>
    <s v="EU-5-country-strategy"/>
    <x v="57"/>
    <s v="EU-5"/>
    <x v="6"/>
    <s v="country-strategy"/>
    <x v="35"/>
    <x v="1"/>
    <x v="5"/>
    <x v="6"/>
    <n v="8"/>
    <n v="2.5000000000000001E-2"/>
    <x v="0"/>
    <x v="2"/>
    <n v="50"/>
    <x v="2"/>
    <n v="0"/>
    <n v="0"/>
    <s v="monthly"/>
    <n v="1"/>
    <n v="1"/>
    <n v="0"/>
    <x v="1"/>
    <n v="1"/>
    <m/>
    <s v="document"/>
    <n v="50"/>
    <n v="50"/>
  </r>
  <r>
    <s v="EU-5-location"/>
    <x v="57"/>
    <s v="EU-5"/>
    <x v="0"/>
    <s v="location"/>
    <x v="13"/>
    <x v="0"/>
    <x v="1"/>
    <x v="1"/>
    <n v="25"/>
    <n v="1.8599999999999998E-2"/>
    <x v="0"/>
    <x v="3"/>
    <n v="0"/>
    <x v="0"/>
    <n v="0"/>
    <n v="0"/>
    <s v="monthly"/>
    <n v="1"/>
    <n v="1"/>
    <n v="0"/>
    <x v="2"/>
    <n v="0"/>
    <m/>
    <s v="pdf"/>
    <n v="16.664999999999999"/>
    <n v="0"/>
  </r>
  <r>
    <s v="EU-5-cost-overall"/>
    <x v="57"/>
    <s v="EU-5"/>
    <x v="0"/>
    <s v="cost-overall"/>
    <x v="16"/>
    <x v="0"/>
    <x v="2"/>
    <x v="2"/>
    <n v="33"/>
    <n v="3.2500000000000001E-2"/>
    <x v="0"/>
    <x v="0"/>
    <n v="0"/>
    <x v="0"/>
    <n v="0"/>
    <n v="0"/>
    <s v="monthly"/>
    <n v="1"/>
    <n v="1"/>
    <n v="0"/>
    <x v="0"/>
    <n v="0"/>
    <m/>
    <m/>
    <n v="0"/>
    <n v="0"/>
  </r>
  <r>
    <s v="EU-5-budget-identifier"/>
    <x v="57"/>
    <s v="EU-5"/>
    <x v="0"/>
    <s v="budget-identifier"/>
    <x v="18"/>
    <x v="0"/>
    <x v="2"/>
    <x v="2"/>
    <n v="36"/>
    <n v="3.2500000000000001E-2"/>
    <x v="0"/>
    <x v="0"/>
    <n v="0"/>
    <x v="0"/>
    <n v="0"/>
    <n v="0"/>
    <s v="monthly"/>
    <n v="1"/>
    <n v="1"/>
    <n v="0"/>
    <x v="0"/>
    <n v="0"/>
    <m/>
    <m/>
    <n v="0"/>
    <n v="0"/>
  </r>
  <r>
    <s v="EU-5-conditions"/>
    <x v="57"/>
    <s v="EU-5"/>
    <x v="0"/>
    <s v="conditions"/>
    <x v="19"/>
    <x v="0"/>
    <x v="3"/>
    <x v="3"/>
    <n v="39"/>
    <n v="4.3299999999999998E-2"/>
    <x v="0"/>
    <x v="2"/>
    <n v="0"/>
    <x v="0"/>
    <n v="0"/>
    <n v="0"/>
    <s v="monthly"/>
    <n v="1"/>
    <n v="1"/>
    <n v="0"/>
    <x v="0"/>
    <n v="0"/>
    <m/>
    <s v="document"/>
    <n v="50"/>
    <n v="0"/>
  </r>
  <r>
    <s v="EU-5-impact-appraisals"/>
    <x v="57"/>
    <s v="EU-5"/>
    <x v="0"/>
    <s v="impact-appraisals"/>
    <x v="20"/>
    <x v="0"/>
    <x v="3"/>
    <x v="3"/>
    <n v="38"/>
    <n v="4.3299999999999998E-2"/>
    <x v="0"/>
    <x v="2"/>
    <n v="0"/>
    <x v="0"/>
    <n v="0"/>
    <n v="0"/>
    <s v="monthly"/>
    <n v="1"/>
    <n v="1"/>
    <n v="0"/>
    <x v="2"/>
    <n v="0"/>
    <m/>
    <s v="document"/>
    <n v="50"/>
    <n v="0"/>
  </r>
  <r>
    <s v="EU-5-results"/>
    <x v="57"/>
    <s v="EU-5"/>
    <x v="0"/>
    <s v="results"/>
    <x v="21"/>
    <x v="0"/>
    <x v="3"/>
    <x v="3"/>
    <n v="37"/>
    <n v="4.3299999999999998E-2"/>
    <x v="0"/>
    <x v="3"/>
    <n v="0"/>
    <x v="0"/>
    <n v="0"/>
    <n v="0"/>
    <s v="monthly"/>
    <n v="1"/>
    <n v="1"/>
    <n v="0"/>
    <x v="2"/>
    <n v="0"/>
    <m/>
    <s v="pdf"/>
    <n v="16.664999999999999"/>
    <n v="0"/>
  </r>
  <r>
    <s v="EU-5-budget"/>
    <x v="57"/>
    <s v="EU-5"/>
    <x v="0"/>
    <s v="budget"/>
    <x v="22"/>
    <x v="0"/>
    <x v="4"/>
    <x v="4"/>
    <n v="30"/>
    <n v="2.1700000000000001E-2"/>
    <x v="0"/>
    <x v="2"/>
    <n v="0"/>
    <x v="0"/>
    <n v="0"/>
    <n v="0"/>
    <s v="monthly"/>
    <n v="1"/>
    <n v="1"/>
    <n v="0"/>
    <x v="2"/>
    <n v="0"/>
    <m/>
    <s v="document"/>
    <n v="50"/>
    <n v="0"/>
  </r>
  <r>
    <s v="EU-5-contracts"/>
    <x v="57"/>
    <s v="EU-5"/>
    <x v="3"/>
    <s v="contracts"/>
    <x v="23"/>
    <x v="0"/>
    <x v="4"/>
    <x v="4"/>
    <n v="31"/>
    <n v="2.1700000000000001E-2"/>
    <x v="0"/>
    <x v="2"/>
    <n v="50"/>
    <x v="2"/>
    <n v="0"/>
    <n v="0"/>
    <s v="monthly"/>
    <n v="1"/>
    <n v="1"/>
    <n v="0"/>
    <x v="1"/>
    <n v="1"/>
    <m/>
    <s v="document"/>
    <n v="50"/>
    <n v="50"/>
  </r>
  <r>
    <s v="EU-5-evaluations"/>
    <x v="57"/>
    <s v="EU-5"/>
    <x v="3"/>
    <s v="evaluations"/>
    <x v="24"/>
    <x v="0"/>
    <x v="4"/>
    <x v="4"/>
    <n v="28"/>
    <n v="2.1700000000000001E-2"/>
    <x v="0"/>
    <x v="2"/>
    <n v="50"/>
    <x v="2"/>
    <n v="0"/>
    <n v="0"/>
    <s v="monthly"/>
    <n v="1"/>
    <n v="1"/>
    <n v="0"/>
    <x v="1"/>
    <n v="1"/>
    <m/>
    <s v="document"/>
    <n v="50"/>
    <n v="50"/>
  </r>
  <r>
    <s v="EU-5-mou"/>
    <x v="57"/>
    <s v="EU-5"/>
    <x v="0"/>
    <s v="mou"/>
    <x v="25"/>
    <x v="0"/>
    <x v="4"/>
    <x v="4"/>
    <n v="27"/>
    <n v="2.1700000000000001E-2"/>
    <x v="0"/>
    <x v="2"/>
    <n v="0"/>
    <x v="0"/>
    <n v="0"/>
    <n v="0"/>
    <s v="monthly"/>
    <n v="1"/>
    <n v="1"/>
    <n v="0"/>
    <x v="0"/>
    <n v="0"/>
    <m/>
    <s v="document"/>
    <n v="50"/>
    <n v="0"/>
  </r>
  <r>
    <s v="EU-5-objectives"/>
    <x v="57"/>
    <s v="EU-5"/>
    <x v="0"/>
    <s v="objectives"/>
    <x v="26"/>
    <x v="0"/>
    <x v="4"/>
    <x v="4"/>
    <n v="29"/>
    <n v="2.1700000000000001E-2"/>
    <x v="0"/>
    <x v="2"/>
    <n v="0"/>
    <x v="0"/>
    <n v="0"/>
    <n v="0"/>
    <s v="monthly"/>
    <n v="1"/>
    <n v="1"/>
    <n v="0"/>
    <x v="2"/>
    <n v="0"/>
    <m/>
    <s v="document"/>
    <n v="50"/>
    <n v="0"/>
  </r>
  <r>
    <s v="EU-5-tenders"/>
    <x v="57"/>
    <s v="EU-5"/>
    <x v="3"/>
    <s v="tenders"/>
    <x v="27"/>
    <x v="0"/>
    <x v="4"/>
    <x v="4"/>
    <n v="32"/>
    <n v="2.1700000000000001E-2"/>
    <x v="0"/>
    <x v="2"/>
    <n v="50"/>
    <x v="2"/>
    <n v="0"/>
    <n v="0"/>
    <s v="monthly"/>
    <n v="1"/>
    <n v="1"/>
    <n v="0"/>
    <x v="1"/>
    <n v="1"/>
    <m/>
    <s v="document"/>
    <n v="50"/>
    <n v="50"/>
  </r>
  <r>
    <s v="EU-5-foia"/>
    <x v="57"/>
    <s v="EU-5"/>
    <x v="10"/>
    <s v="foia"/>
    <x v="36"/>
    <x v="2"/>
    <x v="6"/>
    <x v="7"/>
    <n v="1"/>
    <n v="3.3300000000000003E-2"/>
    <x v="0"/>
    <x v="5"/>
    <n v="100"/>
    <x v="5"/>
    <n v="0"/>
    <n v="0"/>
    <s v="monthly"/>
    <n v="1"/>
    <n v="1"/>
    <n v="0"/>
    <x v="3"/>
    <n v="0"/>
    <n v="100"/>
    <m/>
    <n v="0"/>
    <n v="100"/>
  </r>
  <r>
    <s v="EU-5-accessibility"/>
    <x v="57"/>
    <s v="EU-5"/>
    <x v="10"/>
    <s v="accessibility"/>
    <x v="37"/>
    <x v="2"/>
    <x v="6"/>
    <x v="7"/>
    <n v="3"/>
    <n v="3.3300000000000003E-2"/>
    <x v="0"/>
    <x v="5"/>
    <n v="100"/>
    <x v="5"/>
    <n v="0"/>
    <n v="0"/>
    <s v="monthly"/>
    <n v="1"/>
    <n v="1"/>
    <n v="0"/>
    <x v="3"/>
    <n v="0"/>
    <n v="100"/>
    <m/>
    <n v="0"/>
    <n v="100"/>
  </r>
  <r>
    <s v="EU-5-implementation-schedules"/>
    <x v="57"/>
    <s v="EU-5"/>
    <x v="283"/>
    <s v="implementation-schedules"/>
    <x v="38"/>
    <x v="2"/>
    <x v="6"/>
    <x v="7"/>
    <n v="2"/>
    <n v="3.3300000000000003E-2"/>
    <x v="0"/>
    <x v="5"/>
    <n v="77"/>
    <x v="238"/>
    <n v="0"/>
    <n v="0"/>
    <s v="monthly"/>
    <n v="1"/>
    <n v="1"/>
    <n v="0"/>
    <x v="3"/>
    <n v="0"/>
    <n v="77"/>
    <m/>
    <n v="0"/>
    <n v="77"/>
  </r>
  <r>
    <s v="US-EIN-562618866-contact-details"/>
    <x v="58"/>
    <s v="US-EIN-562618866"/>
    <x v="130"/>
    <s v="contact-details"/>
    <x v="1"/>
    <x v="0"/>
    <x v="0"/>
    <x v="0"/>
    <n v="19"/>
    <n v="1.6299999999999999E-2"/>
    <x v="1"/>
    <x v="6"/>
    <n v="50"/>
    <x v="30"/>
    <n v="100"/>
    <n v="50"/>
    <s v="less than quarterly"/>
    <n v="0.5"/>
    <n v="0.5"/>
    <n v="25"/>
    <x v="3"/>
    <m/>
    <m/>
    <m/>
    <m/>
    <n v="0"/>
  </r>
  <r>
    <s v="US-EIN-562618866-current-status"/>
    <x v="58"/>
    <s v="US-EIN-562618866"/>
    <x v="130"/>
    <s v="current-status"/>
    <x v="2"/>
    <x v="0"/>
    <x v="0"/>
    <x v="0"/>
    <n v="18"/>
    <n v="1.6299999999999999E-2"/>
    <x v="1"/>
    <x v="6"/>
    <n v="50"/>
    <x v="30"/>
    <n v="100"/>
    <n v="50"/>
    <s v="less than quarterly"/>
    <n v="0.5"/>
    <n v="0.5"/>
    <n v="25"/>
    <x v="3"/>
    <m/>
    <m/>
    <m/>
    <m/>
    <n v="0"/>
  </r>
  <r>
    <s v="US-EIN-562618866-description"/>
    <x v="58"/>
    <s v="US-EIN-562618866"/>
    <x v="284"/>
    <s v="description"/>
    <x v="3"/>
    <x v="0"/>
    <x v="0"/>
    <x v="0"/>
    <n v="15"/>
    <n v="1.6299999999999999E-2"/>
    <x v="1"/>
    <x v="6"/>
    <n v="50"/>
    <x v="239"/>
    <n v="97.189648200600004"/>
    <n v="48.594824100300002"/>
    <s v="less than quarterly"/>
    <n v="0.5"/>
    <n v="0.5"/>
    <n v="24.2974120501"/>
    <x v="3"/>
    <m/>
    <m/>
    <m/>
    <m/>
    <n v="0"/>
  </r>
  <r>
    <s v="US-EIN-562618866-implementer"/>
    <x v="58"/>
    <s v="US-EIN-562618866"/>
    <x v="130"/>
    <s v="implementer"/>
    <x v="4"/>
    <x v="0"/>
    <x v="0"/>
    <x v="0"/>
    <n v="12"/>
    <n v="1.6299999999999999E-2"/>
    <x v="1"/>
    <x v="6"/>
    <n v="50"/>
    <x v="30"/>
    <n v="100"/>
    <n v="50"/>
    <s v="less than quarterly"/>
    <n v="0.5"/>
    <n v="0.5"/>
    <n v="25"/>
    <x v="3"/>
    <m/>
    <m/>
    <m/>
    <m/>
    <n v="0"/>
  </r>
  <r>
    <s v="US-EIN-562618866-dates-planned"/>
    <x v="58"/>
    <s v="US-EIN-562618866"/>
    <x v="130"/>
    <s v="dates-planned"/>
    <x v="5"/>
    <x v="0"/>
    <x v="0"/>
    <x v="0"/>
    <n v="16"/>
    <n v="1.6299999999999999E-2"/>
    <x v="1"/>
    <x v="6"/>
    <n v="50"/>
    <x v="30"/>
    <n v="100"/>
    <n v="50"/>
    <s v="less than quarterly"/>
    <n v="0.5"/>
    <n v="0.5"/>
    <n v="25"/>
    <x v="3"/>
    <m/>
    <m/>
    <m/>
    <m/>
    <n v="0"/>
  </r>
  <r>
    <s v="US-EIN-562618866-title"/>
    <x v="58"/>
    <s v="US-EIN-562618866"/>
    <x v="285"/>
    <s v="title"/>
    <x v="6"/>
    <x v="0"/>
    <x v="0"/>
    <x v="0"/>
    <n v="14"/>
    <n v="1.6299999999999999E-2"/>
    <x v="1"/>
    <x v="6"/>
    <n v="50"/>
    <x v="240"/>
    <n v="96.947027901300004"/>
    <n v="48.473513950700003"/>
    <s v="less than quarterly"/>
    <n v="0.5"/>
    <n v="0.5"/>
    <n v="24.236756975300001"/>
    <x v="3"/>
    <m/>
    <m/>
    <m/>
    <m/>
    <n v="0"/>
  </r>
  <r>
    <s v="US-EIN-562618866-unique-id"/>
    <x v="58"/>
    <s v="US-EIN-562618866"/>
    <x v="130"/>
    <s v="unique-id"/>
    <x v="7"/>
    <x v="0"/>
    <x v="0"/>
    <x v="0"/>
    <n v="13"/>
    <n v="1.6299999999999999E-2"/>
    <x v="1"/>
    <x v="6"/>
    <n v="50"/>
    <x v="30"/>
    <n v="100"/>
    <n v="50"/>
    <s v="less than quarterly"/>
    <n v="0.5"/>
    <n v="0.5"/>
    <n v="25"/>
    <x v="3"/>
    <m/>
    <m/>
    <m/>
    <m/>
    <n v="0"/>
  </r>
  <r>
    <s v="US-EIN-562618866-aid-type"/>
    <x v="58"/>
    <s v="US-EIN-562618866"/>
    <x v="131"/>
    <s v="aid-type"/>
    <x v="8"/>
    <x v="0"/>
    <x v="1"/>
    <x v="1"/>
    <n v="22"/>
    <n v="1.8599999999999998E-2"/>
    <x v="1"/>
    <x v="6"/>
    <n v="50"/>
    <x v="30"/>
    <n v="100"/>
    <n v="50"/>
    <s v="less than quarterly"/>
    <n v="0.5"/>
    <n v="0.5"/>
    <n v="25"/>
    <x v="3"/>
    <m/>
    <m/>
    <m/>
    <m/>
    <n v="0"/>
  </r>
  <r>
    <s v="US-EIN-562618866-collaboration-type"/>
    <x v="58"/>
    <s v="US-EIN-562618866"/>
    <x v="131"/>
    <s v="collaboration-type"/>
    <x v="9"/>
    <x v="0"/>
    <x v="1"/>
    <x v="1"/>
    <n v="20"/>
    <n v="1.8599999999999998E-2"/>
    <x v="1"/>
    <x v="6"/>
    <n v="50"/>
    <x v="30"/>
    <n v="100"/>
    <n v="50"/>
    <s v="less than quarterly"/>
    <n v="0.5"/>
    <n v="0.5"/>
    <n v="25"/>
    <x v="3"/>
    <m/>
    <m/>
    <m/>
    <m/>
    <n v="0"/>
  </r>
  <r>
    <s v="US-EIN-562618866-finance-type"/>
    <x v="58"/>
    <s v="US-EIN-562618866"/>
    <x v="131"/>
    <s v="finance-type"/>
    <x v="10"/>
    <x v="0"/>
    <x v="1"/>
    <x v="1"/>
    <n v="23"/>
    <n v="1.8599999999999998E-2"/>
    <x v="1"/>
    <x v="6"/>
    <n v="50"/>
    <x v="30"/>
    <n v="100"/>
    <n v="50"/>
    <s v="less than quarterly"/>
    <n v="0.5"/>
    <n v="0.5"/>
    <n v="25"/>
    <x v="3"/>
    <m/>
    <m/>
    <m/>
    <m/>
    <n v="0"/>
  </r>
  <r>
    <s v="US-EIN-562618866-flow-type"/>
    <x v="58"/>
    <s v="US-EIN-562618866"/>
    <x v="131"/>
    <s v="flow-type"/>
    <x v="11"/>
    <x v="0"/>
    <x v="1"/>
    <x v="1"/>
    <n v="21"/>
    <n v="1.8599999999999998E-2"/>
    <x v="1"/>
    <x v="6"/>
    <n v="50"/>
    <x v="30"/>
    <n v="100"/>
    <n v="50"/>
    <s v="less than quarterly"/>
    <n v="0.5"/>
    <n v="0.5"/>
    <n v="25"/>
    <x v="3"/>
    <m/>
    <m/>
    <m/>
    <m/>
    <n v="0"/>
  </r>
  <r>
    <s v="US-EIN-562618866-sector"/>
    <x v="58"/>
    <s v="US-EIN-562618866"/>
    <x v="131"/>
    <s v="sector"/>
    <x v="12"/>
    <x v="0"/>
    <x v="1"/>
    <x v="1"/>
    <n v="24"/>
    <n v="1.8599999999999998E-2"/>
    <x v="1"/>
    <x v="6"/>
    <n v="50"/>
    <x v="30"/>
    <n v="100"/>
    <n v="50"/>
    <s v="less than quarterly"/>
    <n v="0.5"/>
    <n v="0.5"/>
    <n v="25"/>
    <x v="3"/>
    <m/>
    <m/>
    <m/>
    <m/>
    <n v="0"/>
  </r>
  <r>
    <s v="US-EIN-562618866-tied-aid-status"/>
    <x v="58"/>
    <s v="US-EIN-562618866"/>
    <x v="131"/>
    <s v="tied-aid-status"/>
    <x v="14"/>
    <x v="0"/>
    <x v="1"/>
    <x v="1"/>
    <n v="26"/>
    <n v="1.8599999999999998E-2"/>
    <x v="1"/>
    <x v="6"/>
    <n v="50"/>
    <x v="30"/>
    <n v="100"/>
    <n v="50"/>
    <s v="less than quarterly"/>
    <n v="0.5"/>
    <n v="0.5"/>
    <n v="25"/>
    <x v="3"/>
    <m/>
    <m/>
    <m/>
    <m/>
    <n v="0"/>
  </r>
  <r>
    <s v="US-EIN-562618866-expenditure-actual"/>
    <x v="58"/>
    <s v="US-EIN-562618866"/>
    <x v="286"/>
    <s v="expenditure-actual"/>
    <x v="15"/>
    <x v="0"/>
    <x v="2"/>
    <x v="2"/>
    <n v="35"/>
    <n v="3.2500000000000001E-2"/>
    <x v="1"/>
    <x v="6"/>
    <n v="50"/>
    <x v="241"/>
    <n v="98.584714921100002"/>
    <n v="49.292357460600002"/>
    <s v="less than quarterly"/>
    <n v="0.5"/>
    <n v="0.5"/>
    <n v="24.646178730300001"/>
    <x v="3"/>
    <m/>
    <m/>
    <m/>
    <m/>
    <n v="0"/>
  </r>
  <r>
    <s v="US-EIN-562618866-cost-overall"/>
    <x v="58"/>
    <s v="US-EIN-562618866"/>
    <x v="287"/>
    <s v="cost-overall"/>
    <x v="16"/>
    <x v="0"/>
    <x v="2"/>
    <x v="2"/>
    <n v="33"/>
    <n v="3.2500000000000001E-2"/>
    <x v="1"/>
    <x v="6"/>
    <n v="50"/>
    <x v="242"/>
    <n v="41.673306772899998"/>
    <n v="20.8366533865"/>
    <s v="less than quarterly"/>
    <n v="0.5"/>
    <n v="0.5"/>
    <n v="10.418326693199999"/>
    <x v="3"/>
    <m/>
    <m/>
    <m/>
    <m/>
    <n v="0"/>
  </r>
  <r>
    <s v="US-EIN-562618866-expenditure-planned"/>
    <x v="58"/>
    <s v="US-EIN-562618866"/>
    <x v="288"/>
    <s v="expenditure-planned"/>
    <x v="17"/>
    <x v="0"/>
    <x v="2"/>
    <x v="2"/>
    <n v="34"/>
    <n v="3.2500000000000001E-2"/>
    <x v="1"/>
    <x v="6"/>
    <n v="50"/>
    <x v="243"/>
    <n v="95.551961180800006"/>
    <n v="47.775980590400003"/>
    <s v="less than quarterly"/>
    <n v="0.5"/>
    <n v="0.5"/>
    <n v="23.887990295200002"/>
    <x v="3"/>
    <m/>
    <m/>
    <m/>
    <m/>
    <n v="0"/>
  </r>
  <r>
    <s v="US-EIN-562618866-budget-identifier"/>
    <x v="58"/>
    <s v="US-EIN-562618866"/>
    <x v="289"/>
    <s v="budget-identifier"/>
    <x v="18"/>
    <x v="0"/>
    <x v="2"/>
    <x v="2"/>
    <n v="36"/>
    <n v="3.2500000000000001E-2"/>
    <x v="1"/>
    <x v="6"/>
    <n v="50"/>
    <x v="244"/>
    <n v="44.541043267299997"/>
    <n v="22.270521633600001"/>
    <s v="less than quarterly"/>
    <n v="0.5"/>
    <n v="0.5"/>
    <n v="11.135260816800001"/>
    <x v="3"/>
    <m/>
    <m/>
    <m/>
    <m/>
    <n v="0"/>
  </r>
  <r>
    <s v="US-EIN-562618866-audit"/>
    <x v="58"/>
    <s v="US-EIN-562618866"/>
    <x v="42"/>
    <s v="audit"/>
    <x v="28"/>
    <x v="1"/>
    <x v="2"/>
    <x v="5"/>
    <n v="11"/>
    <n v="4.1700000000000001E-2"/>
    <x v="1"/>
    <x v="6"/>
    <n v="50"/>
    <x v="5"/>
    <n v="100"/>
    <n v="50"/>
    <s v="less than quarterly"/>
    <n v="0.5"/>
    <n v="1"/>
    <n v="50"/>
    <x v="3"/>
    <m/>
    <m/>
    <m/>
    <m/>
    <n v="0"/>
  </r>
  <r>
    <s v="US-EIN-562618866-strategy"/>
    <x v="58"/>
    <s v="US-EIN-562618866"/>
    <x v="43"/>
    <s v="strategy"/>
    <x v="31"/>
    <x v="1"/>
    <x v="5"/>
    <x v="6"/>
    <n v="4"/>
    <n v="2.5000000000000001E-2"/>
    <x v="1"/>
    <x v="6"/>
    <n v="50"/>
    <x v="5"/>
    <n v="100"/>
    <n v="50"/>
    <s v="less than quarterly"/>
    <n v="0.5"/>
    <n v="1"/>
    <n v="50"/>
    <x v="3"/>
    <m/>
    <m/>
    <m/>
    <m/>
    <n v="0"/>
  </r>
  <r>
    <s v="US-EIN-562618866-annual-report"/>
    <x v="58"/>
    <s v="US-EIN-562618866"/>
    <x v="43"/>
    <s v="annual-report"/>
    <x v="32"/>
    <x v="1"/>
    <x v="5"/>
    <x v="6"/>
    <n v="5"/>
    <n v="2.5000000000000001E-2"/>
    <x v="1"/>
    <x v="6"/>
    <n v="50"/>
    <x v="5"/>
    <n v="100"/>
    <n v="50"/>
    <s v="less than quarterly"/>
    <n v="0.5"/>
    <n v="1"/>
    <n v="50"/>
    <x v="3"/>
    <m/>
    <m/>
    <m/>
    <m/>
    <n v="0"/>
  </r>
  <r>
    <s v="US-EIN-562618866-allocation"/>
    <x v="58"/>
    <s v="US-EIN-562618866"/>
    <x v="43"/>
    <s v="allocation"/>
    <x v="33"/>
    <x v="1"/>
    <x v="5"/>
    <x v="6"/>
    <n v="6"/>
    <n v="2.5000000000000001E-2"/>
    <x v="1"/>
    <x v="6"/>
    <n v="50"/>
    <x v="5"/>
    <n v="100"/>
    <n v="50"/>
    <s v="less than quarterly"/>
    <n v="0.5"/>
    <n v="1"/>
    <n v="50"/>
    <x v="3"/>
    <m/>
    <m/>
    <m/>
    <m/>
    <n v="0"/>
  </r>
  <r>
    <s v="US-EIN-562618866-procurement-policy"/>
    <x v="58"/>
    <s v="US-EIN-562618866"/>
    <x v="43"/>
    <s v="procurement-policy"/>
    <x v="34"/>
    <x v="1"/>
    <x v="5"/>
    <x v="6"/>
    <n v="7"/>
    <n v="2.5000000000000001E-2"/>
    <x v="1"/>
    <x v="6"/>
    <n v="50"/>
    <x v="5"/>
    <n v="100"/>
    <n v="50"/>
    <s v="less than quarterly"/>
    <n v="0.5"/>
    <n v="1"/>
    <n v="50"/>
    <x v="3"/>
    <m/>
    <m/>
    <m/>
    <m/>
    <n v="0"/>
  </r>
  <r>
    <s v="US-EIN-562618866-total-budget"/>
    <x v="58"/>
    <s v="US-EIN-562618866"/>
    <x v="0"/>
    <s v="total-budget"/>
    <x v="29"/>
    <x v="1"/>
    <x v="2"/>
    <x v="5"/>
    <n v="9"/>
    <n v="4.1700000000000001E-2"/>
    <x v="0"/>
    <x v="0"/>
    <n v="0"/>
    <x v="0"/>
    <n v="0"/>
    <n v="0"/>
    <s v="less than quarterly"/>
    <n v="0.5"/>
    <n v="1"/>
    <n v="0"/>
    <x v="3"/>
    <n v="0"/>
    <n v="0"/>
    <m/>
    <n v="0"/>
    <n v="0"/>
  </r>
  <r>
    <s v="US-EIN-562618866-disaggregated-budgets"/>
    <x v="58"/>
    <s v="US-EIN-562618866"/>
    <x v="0"/>
    <s v="disaggregated-budgets"/>
    <x v="30"/>
    <x v="1"/>
    <x v="2"/>
    <x v="5"/>
    <n v="10"/>
    <n v="4.1700000000000001E-2"/>
    <x v="0"/>
    <x v="0"/>
    <n v="0"/>
    <x v="0"/>
    <n v="0"/>
    <n v="0"/>
    <s v="less than quarterly"/>
    <n v="0.5"/>
    <n v="1"/>
    <n v="0"/>
    <x v="3"/>
    <n v="0"/>
    <n v="0"/>
    <m/>
    <n v="0"/>
    <n v="0"/>
  </r>
  <r>
    <s v="US-EIN-562618866-dates-actual"/>
    <x v="58"/>
    <s v="US-EIN-562618866"/>
    <x v="0"/>
    <s v="dates-actual"/>
    <x v="0"/>
    <x v="0"/>
    <x v="0"/>
    <x v="0"/>
    <n v="17"/>
    <n v="1.6299999999999999E-2"/>
    <x v="0"/>
    <x v="0"/>
    <n v="0"/>
    <x v="0"/>
    <n v="0"/>
    <n v="0"/>
    <s v="less than quarterly"/>
    <n v="0.5"/>
    <n v="1"/>
    <n v="0"/>
    <x v="0"/>
    <n v="0"/>
    <m/>
    <m/>
    <n v="0"/>
    <n v="0"/>
  </r>
  <r>
    <s v="US-EIN-562618866-country-strategy"/>
    <x v="58"/>
    <s v="US-EIN-562618866"/>
    <x v="6"/>
    <s v="country-strategy"/>
    <x v="35"/>
    <x v="1"/>
    <x v="5"/>
    <x v="6"/>
    <n v="8"/>
    <n v="2.5000000000000001E-2"/>
    <x v="0"/>
    <x v="2"/>
    <n v="50"/>
    <x v="2"/>
    <n v="0"/>
    <n v="0"/>
    <s v="less than quarterly"/>
    <n v="0.5"/>
    <n v="1"/>
    <n v="0"/>
    <x v="1"/>
    <n v="1"/>
    <m/>
    <s v="document"/>
    <n v="50"/>
    <n v="50"/>
  </r>
  <r>
    <s v="US-EIN-562618866-location"/>
    <x v="58"/>
    <s v="US-EIN-562618866"/>
    <x v="12"/>
    <s v="location"/>
    <x v="13"/>
    <x v="0"/>
    <x v="1"/>
    <x v="1"/>
    <n v="25"/>
    <n v="1.8599999999999998E-2"/>
    <x v="0"/>
    <x v="4"/>
    <n v="50"/>
    <x v="2"/>
    <n v="0"/>
    <n v="0"/>
    <s v="less than quarterly"/>
    <n v="0.5"/>
    <n v="1"/>
    <n v="0"/>
    <x v="1"/>
    <n v="1"/>
    <m/>
    <s v="machine-readable"/>
    <n v="50"/>
    <n v="50"/>
  </r>
  <r>
    <s v="US-EIN-562618866-conditions"/>
    <x v="58"/>
    <s v="US-EIN-562618866"/>
    <x v="0"/>
    <s v="conditions"/>
    <x v="19"/>
    <x v="0"/>
    <x v="3"/>
    <x v="3"/>
    <n v="39"/>
    <n v="4.3299999999999998E-2"/>
    <x v="0"/>
    <x v="2"/>
    <n v="0"/>
    <x v="0"/>
    <n v="0"/>
    <n v="0"/>
    <s v="less than quarterly"/>
    <n v="0.5"/>
    <n v="1"/>
    <n v="0"/>
    <x v="0"/>
    <n v="0"/>
    <m/>
    <s v="document"/>
    <n v="50"/>
    <n v="0"/>
  </r>
  <r>
    <s v="US-EIN-562618866-impact-appraisals"/>
    <x v="58"/>
    <s v="US-EIN-562618866"/>
    <x v="0"/>
    <s v="impact-appraisals"/>
    <x v="20"/>
    <x v="0"/>
    <x v="3"/>
    <x v="3"/>
    <n v="38"/>
    <n v="4.3299999999999998E-2"/>
    <x v="0"/>
    <x v="2"/>
    <n v="0"/>
    <x v="0"/>
    <n v="0"/>
    <n v="0"/>
    <s v="less than quarterly"/>
    <n v="0.5"/>
    <n v="1"/>
    <n v="0"/>
    <x v="0"/>
    <n v="0"/>
    <m/>
    <s v="document"/>
    <n v="50"/>
    <n v="0"/>
  </r>
  <r>
    <s v="US-EIN-562618866-results"/>
    <x v="58"/>
    <s v="US-EIN-562618866"/>
    <x v="0"/>
    <s v="results"/>
    <x v="21"/>
    <x v="0"/>
    <x v="3"/>
    <x v="3"/>
    <n v="37"/>
    <n v="4.3299999999999998E-2"/>
    <x v="0"/>
    <x v="0"/>
    <n v="0"/>
    <x v="0"/>
    <n v="0"/>
    <n v="0"/>
    <s v="less than quarterly"/>
    <n v="0.5"/>
    <n v="1"/>
    <n v="0"/>
    <x v="0"/>
    <n v="0"/>
    <m/>
    <m/>
    <n v="0"/>
    <n v="0"/>
  </r>
  <r>
    <s v="US-EIN-562618866-budget"/>
    <x v="58"/>
    <s v="US-EIN-562618866"/>
    <x v="0"/>
    <s v="budget"/>
    <x v="22"/>
    <x v="0"/>
    <x v="4"/>
    <x v="4"/>
    <n v="30"/>
    <n v="2.1700000000000001E-2"/>
    <x v="0"/>
    <x v="2"/>
    <n v="0"/>
    <x v="0"/>
    <n v="0"/>
    <n v="0"/>
    <s v="less than quarterly"/>
    <n v="0.5"/>
    <n v="1"/>
    <n v="0"/>
    <x v="0"/>
    <n v="0"/>
    <m/>
    <s v="document"/>
    <n v="50"/>
    <n v="0"/>
  </r>
  <r>
    <s v="US-EIN-562618866-contracts"/>
    <x v="58"/>
    <s v="US-EIN-562618866"/>
    <x v="0"/>
    <s v="contracts"/>
    <x v="23"/>
    <x v="0"/>
    <x v="4"/>
    <x v="4"/>
    <n v="31"/>
    <n v="2.1700000000000001E-2"/>
    <x v="0"/>
    <x v="2"/>
    <n v="0"/>
    <x v="0"/>
    <n v="0"/>
    <n v="0"/>
    <s v="less than quarterly"/>
    <n v="0.5"/>
    <n v="1"/>
    <n v="0"/>
    <x v="0"/>
    <n v="0"/>
    <m/>
    <s v="document"/>
    <n v="50"/>
    <n v="0"/>
  </r>
  <r>
    <s v="US-EIN-562618866-evaluations"/>
    <x v="58"/>
    <s v="US-EIN-562618866"/>
    <x v="0"/>
    <s v="evaluations"/>
    <x v="24"/>
    <x v="0"/>
    <x v="4"/>
    <x v="4"/>
    <n v="28"/>
    <n v="2.1700000000000001E-2"/>
    <x v="0"/>
    <x v="2"/>
    <n v="0"/>
    <x v="0"/>
    <n v="0"/>
    <n v="0"/>
    <s v="less than quarterly"/>
    <n v="0.5"/>
    <n v="1"/>
    <n v="0"/>
    <x v="0"/>
    <n v="0"/>
    <m/>
    <s v="document"/>
    <n v="50"/>
    <n v="0"/>
  </r>
  <r>
    <s v="US-EIN-562618866-mou"/>
    <x v="58"/>
    <s v="US-EIN-562618866"/>
    <x v="0"/>
    <s v="mou"/>
    <x v="25"/>
    <x v="0"/>
    <x v="4"/>
    <x v="4"/>
    <n v="27"/>
    <n v="2.1700000000000001E-2"/>
    <x v="0"/>
    <x v="2"/>
    <n v="0"/>
    <x v="0"/>
    <n v="0"/>
    <n v="0"/>
    <s v="less than quarterly"/>
    <n v="0.5"/>
    <n v="1"/>
    <n v="0"/>
    <x v="0"/>
    <n v="0"/>
    <m/>
    <s v="document"/>
    <n v="50"/>
    <n v="0"/>
  </r>
  <r>
    <s v="US-EIN-562618866-objectives"/>
    <x v="58"/>
    <s v="US-EIN-562618866"/>
    <x v="0"/>
    <s v="objectives"/>
    <x v="26"/>
    <x v="0"/>
    <x v="4"/>
    <x v="4"/>
    <n v="29"/>
    <n v="2.1700000000000001E-2"/>
    <x v="0"/>
    <x v="2"/>
    <n v="0"/>
    <x v="0"/>
    <n v="0"/>
    <n v="0"/>
    <s v="less than quarterly"/>
    <n v="0.5"/>
    <n v="1"/>
    <n v="0"/>
    <x v="0"/>
    <n v="0"/>
    <m/>
    <s v="document"/>
    <n v="50"/>
    <n v="0"/>
  </r>
  <r>
    <s v="US-EIN-562618866-tenders"/>
    <x v="58"/>
    <s v="US-EIN-562618866"/>
    <x v="3"/>
    <s v="tenders"/>
    <x v="27"/>
    <x v="0"/>
    <x v="4"/>
    <x v="4"/>
    <n v="32"/>
    <n v="2.1700000000000001E-2"/>
    <x v="0"/>
    <x v="2"/>
    <n v="50"/>
    <x v="2"/>
    <n v="0"/>
    <n v="0"/>
    <s v="less than quarterly"/>
    <n v="0.5"/>
    <n v="1"/>
    <n v="0"/>
    <x v="1"/>
    <n v="1"/>
    <m/>
    <s v="document"/>
    <n v="50"/>
    <n v="50"/>
  </r>
  <r>
    <s v="US-EIN-562618866-foia"/>
    <x v="58"/>
    <s v="US-EIN-562618866"/>
    <x v="7"/>
    <s v="foia"/>
    <x v="36"/>
    <x v="2"/>
    <x v="6"/>
    <x v="7"/>
    <n v="1"/>
    <n v="3.3300000000000003E-2"/>
    <x v="0"/>
    <x v="5"/>
    <n v="33.33"/>
    <x v="1"/>
    <n v="0"/>
    <n v="0"/>
    <s v="less than quarterly"/>
    <n v="0.5"/>
    <n v="1"/>
    <n v="0"/>
    <x v="3"/>
    <n v="0"/>
    <n v="33.33"/>
    <m/>
    <n v="0"/>
    <n v="33.33"/>
  </r>
  <r>
    <s v="US-EIN-562618866-accessibility"/>
    <x v="58"/>
    <s v="US-EIN-562618866"/>
    <x v="7"/>
    <s v="accessibility"/>
    <x v="37"/>
    <x v="2"/>
    <x v="6"/>
    <x v="7"/>
    <n v="3"/>
    <n v="3.3300000000000003E-2"/>
    <x v="0"/>
    <x v="5"/>
    <n v="33.33"/>
    <x v="1"/>
    <n v="0"/>
    <n v="0"/>
    <s v="less than quarterly"/>
    <n v="0.5"/>
    <n v="1"/>
    <n v="0"/>
    <x v="3"/>
    <n v="0"/>
    <n v="33.33"/>
    <m/>
    <n v="0"/>
    <n v="33.33"/>
  </r>
  <r>
    <s v="US-EIN-562618866-implementation-schedules"/>
    <x v="58"/>
    <s v="US-EIN-562618866"/>
    <x v="290"/>
    <s v="implementation-schedules"/>
    <x v="38"/>
    <x v="2"/>
    <x v="6"/>
    <x v="7"/>
    <n v="2"/>
    <n v="3.3300000000000003E-2"/>
    <x v="0"/>
    <x v="5"/>
    <n v="36.5"/>
    <x v="245"/>
    <n v="0"/>
    <n v="0"/>
    <s v="less than quarterly"/>
    <n v="0.5"/>
    <n v="1"/>
    <n v="0"/>
    <x v="3"/>
    <n v="0"/>
    <n v="36.5"/>
    <m/>
    <n v="0"/>
    <n v="36.5"/>
  </r>
  <r>
    <s v="US-14-contact-details"/>
    <x v="59"/>
    <s v="US-14"/>
    <x v="46"/>
    <s v="contact-details"/>
    <x v="1"/>
    <x v="0"/>
    <x v="0"/>
    <x v="0"/>
    <n v="19"/>
    <n v="1.6299999999999999E-2"/>
    <x v="1"/>
    <x v="6"/>
    <n v="50"/>
    <x v="5"/>
    <n v="100"/>
    <n v="50"/>
    <s v="monthly"/>
    <n v="1"/>
    <n v="1"/>
    <n v="50"/>
    <x v="3"/>
    <m/>
    <m/>
    <m/>
    <m/>
    <n v="0"/>
  </r>
  <r>
    <s v="US-14-current-status"/>
    <x v="59"/>
    <s v="US-14"/>
    <x v="46"/>
    <s v="current-status"/>
    <x v="2"/>
    <x v="0"/>
    <x v="0"/>
    <x v="0"/>
    <n v="18"/>
    <n v="1.6299999999999999E-2"/>
    <x v="1"/>
    <x v="6"/>
    <n v="50"/>
    <x v="5"/>
    <n v="100"/>
    <n v="50"/>
    <s v="monthly"/>
    <n v="1"/>
    <n v="1"/>
    <n v="50"/>
    <x v="3"/>
    <m/>
    <m/>
    <m/>
    <m/>
    <n v="0"/>
  </r>
  <r>
    <s v="US-14-description"/>
    <x v="59"/>
    <s v="US-14"/>
    <x v="291"/>
    <s v="description"/>
    <x v="3"/>
    <x v="0"/>
    <x v="0"/>
    <x v="0"/>
    <n v="15"/>
    <n v="1.6299999999999999E-2"/>
    <x v="1"/>
    <x v="6"/>
    <n v="50"/>
    <x v="246"/>
    <n v="91.456536164599996"/>
    <n v="45.728268082299998"/>
    <s v="monthly"/>
    <n v="1"/>
    <n v="1"/>
    <n v="45.728268082299998"/>
    <x v="3"/>
    <m/>
    <m/>
    <m/>
    <m/>
    <n v="0"/>
  </r>
  <r>
    <s v="US-14-implementer"/>
    <x v="59"/>
    <s v="US-14"/>
    <x v="46"/>
    <s v="implementer"/>
    <x v="4"/>
    <x v="0"/>
    <x v="0"/>
    <x v="0"/>
    <n v="12"/>
    <n v="1.6299999999999999E-2"/>
    <x v="1"/>
    <x v="6"/>
    <n v="50"/>
    <x v="5"/>
    <n v="100"/>
    <n v="50"/>
    <s v="monthly"/>
    <n v="1"/>
    <n v="1"/>
    <n v="50"/>
    <x v="3"/>
    <m/>
    <m/>
    <m/>
    <m/>
    <n v="0"/>
  </r>
  <r>
    <s v="US-14-dates-planned"/>
    <x v="59"/>
    <s v="US-14"/>
    <x v="46"/>
    <s v="dates-planned"/>
    <x v="5"/>
    <x v="0"/>
    <x v="0"/>
    <x v="0"/>
    <n v="16"/>
    <n v="1.6299999999999999E-2"/>
    <x v="1"/>
    <x v="6"/>
    <n v="50"/>
    <x v="5"/>
    <n v="100"/>
    <n v="50"/>
    <s v="monthly"/>
    <n v="1"/>
    <n v="1"/>
    <n v="50"/>
    <x v="3"/>
    <m/>
    <m/>
    <m/>
    <m/>
    <n v="0"/>
  </r>
  <r>
    <s v="US-14-title"/>
    <x v="59"/>
    <s v="US-14"/>
    <x v="292"/>
    <s v="title"/>
    <x v="6"/>
    <x v="0"/>
    <x v="0"/>
    <x v="0"/>
    <n v="14"/>
    <n v="1.6299999999999999E-2"/>
    <x v="1"/>
    <x v="6"/>
    <n v="50"/>
    <x v="247"/>
    <n v="82.514930325099996"/>
    <n v="41.257465162599999"/>
    <s v="monthly"/>
    <n v="1"/>
    <n v="1"/>
    <n v="41.257465162599999"/>
    <x v="3"/>
    <m/>
    <m/>
    <m/>
    <m/>
    <n v="0"/>
  </r>
  <r>
    <s v="US-14-unique-id"/>
    <x v="59"/>
    <s v="US-14"/>
    <x v="46"/>
    <s v="unique-id"/>
    <x v="7"/>
    <x v="0"/>
    <x v="0"/>
    <x v="0"/>
    <n v="13"/>
    <n v="1.6299999999999999E-2"/>
    <x v="1"/>
    <x v="6"/>
    <n v="50"/>
    <x v="5"/>
    <n v="100"/>
    <n v="50"/>
    <s v="monthly"/>
    <n v="1"/>
    <n v="1"/>
    <n v="50"/>
    <x v="3"/>
    <m/>
    <m/>
    <m/>
    <m/>
    <n v="0"/>
  </r>
  <r>
    <s v="US-14-aid-type"/>
    <x v="59"/>
    <s v="US-14"/>
    <x v="47"/>
    <s v="aid-type"/>
    <x v="8"/>
    <x v="0"/>
    <x v="1"/>
    <x v="1"/>
    <n v="22"/>
    <n v="1.8599999999999998E-2"/>
    <x v="1"/>
    <x v="6"/>
    <n v="50"/>
    <x v="5"/>
    <n v="100"/>
    <n v="50"/>
    <s v="monthly"/>
    <n v="1"/>
    <n v="1"/>
    <n v="50"/>
    <x v="3"/>
    <m/>
    <m/>
    <m/>
    <m/>
    <n v="0"/>
  </r>
  <r>
    <s v="US-14-collaboration-type"/>
    <x v="59"/>
    <s v="US-14"/>
    <x v="47"/>
    <s v="collaboration-type"/>
    <x v="9"/>
    <x v="0"/>
    <x v="1"/>
    <x v="1"/>
    <n v="20"/>
    <n v="1.8599999999999998E-2"/>
    <x v="1"/>
    <x v="6"/>
    <n v="50"/>
    <x v="5"/>
    <n v="100"/>
    <n v="50"/>
    <s v="monthly"/>
    <n v="1"/>
    <n v="1"/>
    <n v="50"/>
    <x v="3"/>
    <m/>
    <m/>
    <m/>
    <m/>
    <n v="0"/>
  </r>
  <r>
    <s v="US-14-finance-type"/>
    <x v="59"/>
    <s v="US-14"/>
    <x v="47"/>
    <s v="finance-type"/>
    <x v="10"/>
    <x v="0"/>
    <x v="1"/>
    <x v="1"/>
    <n v="23"/>
    <n v="1.8599999999999998E-2"/>
    <x v="1"/>
    <x v="6"/>
    <n v="50"/>
    <x v="5"/>
    <n v="100"/>
    <n v="50"/>
    <s v="monthly"/>
    <n v="1"/>
    <n v="1"/>
    <n v="50"/>
    <x v="3"/>
    <m/>
    <m/>
    <m/>
    <m/>
    <n v="0"/>
  </r>
  <r>
    <s v="US-14-flow-type"/>
    <x v="59"/>
    <s v="US-14"/>
    <x v="47"/>
    <s v="flow-type"/>
    <x v="11"/>
    <x v="0"/>
    <x v="1"/>
    <x v="1"/>
    <n v="21"/>
    <n v="1.8599999999999998E-2"/>
    <x v="1"/>
    <x v="6"/>
    <n v="50"/>
    <x v="5"/>
    <n v="100"/>
    <n v="50"/>
    <s v="monthly"/>
    <n v="1"/>
    <n v="1"/>
    <n v="50"/>
    <x v="3"/>
    <m/>
    <m/>
    <m/>
    <m/>
    <n v="0"/>
  </r>
  <r>
    <s v="US-14-sector"/>
    <x v="59"/>
    <s v="US-14"/>
    <x v="47"/>
    <s v="sector"/>
    <x v="12"/>
    <x v="0"/>
    <x v="1"/>
    <x v="1"/>
    <n v="24"/>
    <n v="1.8599999999999998E-2"/>
    <x v="1"/>
    <x v="6"/>
    <n v="50"/>
    <x v="5"/>
    <n v="100"/>
    <n v="50"/>
    <s v="monthly"/>
    <n v="1"/>
    <n v="1"/>
    <n v="50"/>
    <x v="3"/>
    <m/>
    <m/>
    <m/>
    <m/>
    <n v="0"/>
  </r>
  <r>
    <s v="US-14-tied-aid-status"/>
    <x v="59"/>
    <s v="US-14"/>
    <x v="47"/>
    <s v="tied-aid-status"/>
    <x v="14"/>
    <x v="0"/>
    <x v="1"/>
    <x v="1"/>
    <n v="26"/>
    <n v="1.8599999999999998E-2"/>
    <x v="1"/>
    <x v="6"/>
    <n v="50"/>
    <x v="5"/>
    <n v="100"/>
    <n v="50"/>
    <s v="monthly"/>
    <n v="1"/>
    <n v="1"/>
    <n v="50"/>
    <x v="3"/>
    <m/>
    <m/>
    <m/>
    <m/>
    <n v="0"/>
  </r>
  <r>
    <s v="US-14-cost-overall"/>
    <x v="59"/>
    <s v="US-14"/>
    <x v="217"/>
    <s v="cost-overall"/>
    <x v="16"/>
    <x v="0"/>
    <x v="2"/>
    <x v="2"/>
    <n v="33"/>
    <n v="3.2500000000000001E-2"/>
    <x v="1"/>
    <x v="6"/>
    <n v="50"/>
    <x v="30"/>
    <n v="50"/>
    <n v="25"/>
    <s v="monthly"/>
    <n v="1"/>
    <n v="1"/>
    <n v="25"/>
    <x v="3"/>
    <m/>
    <m/>
    <m/>
    <m/>
    <n v="0"/>
  </r>
  <r>
    <s v="US-14-budget-identifier"/>
    <x v="59"/>
    <s v="US-14"/>
    <x v="217"/>
    <s v="budget-identifier"/>
    <x v="18"/>
    <x v="0"/>
    <x v="2"/>
    <x v="2"/>
    <n v="36"/>
    <n v="3.2500000000000001E-2"/>
    <x v="1"/>
    <x v="6"/>
    <n v="50"/>
    <x v="30"/>
    <n v="50"/>
    <n v="25"/>
    <s v="monthly"/>
    <n v="1"/>
    <n v="1"/>
    <n v="25"/>
    <x v="3"/>
    <m/>
    <m/>
    <m/>
    <m/>
    <n v="0"/>
  </r>
  <r>
    <s v="US-14-audit"/>
    <x v="59"/>
    <s v="US-14"/>
    <x v="4"/>
    <s v="audit"/>
    <x v="28"/>
    <x v="1"/>
    <x v="2"/>
    <x v="5"/>
    <n v="11"/>
    <n v="4.1700000000000001E-2"/>
    <x v="0"/>
    <x v="2"/>
    <n v="50"/>
    <x v="2"/>
    <n v="0"/>
    <n v="0"/>
    <s v="monthly"/>
    <n v="1"/>
    <n v="1"/>
    <n v="0"/>
    <x v="1"/>
    <n v="1"/>
    <m/>
    <s v="document"/>
    <n v="50"/>
    <n v="50"/>
  </r>
  <r>
    <s v="US-14-total-budget"/>
    <x v="59"/>
    <s v="US-14"/>
    <x v="24"/>
    <s v="total-budget"/>
    <x v="29"/>
    <x v="1"/>
    <x v="2"/>
    <x v="5"/>
    <n v="9"/>
    <n v="4.1700000000000001E-2"/>
    <x v="0"/>
    <x v="3"/>
    <n v="5.5549999999999997"/>
    <x v="10"/>
    <n v="0"/>
    <n v="0"/>
    <s v="monthly"/>
    <n v="1"/>
    <n v="1"/>
    <n v="0"/>
    <x v="3"/>
    <n v="0"/>
    <n v="1"/>
    <s v="pdf"/>
    <n v="16.664999999999999"/>
    <n v="5.5549999999999997"/>
  </r>
  <r>
    <s v="US-14-disaggregated-budgets"/>
    <x v="59"/>
    <s v="US-14"/>
    <x v="9"/>
    <s v="disaggregated-budgets"/>
    <x v="30"/>
    <x v="1"/>
    <x v="2"/>
    <x v="5"/>
    <n v="10"/>
    <n v="4.1700000000000001E-2"/>
    <x v="0"/>
    <x v="3"/>
    <n v="16.664999999999999"/>
    <x v="4"/>
    <n v="0"/>
    <n v="0"/>
    <s v="monthly"/>
    <n v="1"/>
    <n v="1"/>
    <n v="0"/>
    <x v="3"/>
    <n v="0"/>
    <n v="3"/>
    <s v="pdf"/>
    <n v="16.664999999999999"/>
    <n v="16.664999999999999"/>
  </r>
  <r>
    <s v="US-14-strategy"/>
    <x v="59"/>
    <s v="US-14"/>
    <x v="6"/>
    <s v="strategy"/>
    <x v="31"/>
    <x v="1"/>
    <x v="5"/>
    <x v="6"/>
    <n v="4"/>
    <n v="2.5000000000000001E-2"/>
    <x v="0"/>
    <x v="2"/>
    <n v="50"/>
    <x v="2"/>
    <n v="0"/>
    <n v="0"/>
    <s v="monthly"/>
    <n v="1"/>
    <n v="1"/>
    <n v="0"/>
    <x v="1"/>
    <n v="1"/>
    <m/>
    <s v="document"/>
    <n v="50"/>
    <n v="50"/>
  </r>
  <r>
    <s v="US-14-dates-actual"/>
    <x v="59"/>
    <s v="US-14"/>
    <x v="0"/>
    <s v="dates-actual"/>
    <x v="0"/>
    <x v="0"/>
    <x v="0"/>
    <x v="0"/>
    <n v="17"/>
    <n v="1.6299999999999999E-2"/>
    <x v="0"/>
    <x v="3"/>
    <n v="0"/>
    <x v="0"/>
    <n v="0"/>
    <n v="0"/>
    <s v="monthly"/>
    <n v="1"/>
    <n v="1"/>
    <n v="0"/>
    <x v="0"/>
    <n v="0"/>
    <m/>
    <s v="pdf"/>
    <n v="16.664999999999999"/>
    <n v="0"/>
  </r>
  <r>
    <s v="US-14-allocation"/>
    <x v="59"/>
    <s v="US-14"/>
    <x v="6"/>
    <s v="allocation"/>
    <x v="33"/>
    <x v="1"/>
    <x v="5"/>
    <x v="6"/>
    <n v="6"/>
    <n v="2.5000000000000001E-2"/>
    <x v="0"/>
    <x v="2"/>
    <n v="50"/>
    <x v="2"/>
    <n v="0"/>
    <n v="0"/>
    <s v="monthly"/>
    <n v="1"/>
    <n v="1"/>
    <n v="0"/>
    <x v="1"/>
    <n v="1"/>
    <m/>
    <s v="document"/>
    <n v="50"/>
    <n v="50"/>
  </r>
  <r>
    <s v="US-14-procurement-policy"/>
    <x v="59"/>
    <s v="US-14"/>
    <x v="6"/>
    <s v="procurement-policy"/>
    <x v="34"/>
    <x v="1"/>
    <x v="5"/>
    <x v="6"/>
    <n v="7"/>
    <n v="2.5000000000000001E-2"/>
    <x v="0"/>
    <x v="2"/>
    <n v="50"/>
    <x v="2"/>
    <n v="0"/>
    <n v="0"/>
    <s v="monthly"/>
    <n v="1"/>
    <n v="1"/>
    <n v="0"/>
    <x v="1"/>
    <n v="1"/>
    <m/>
    <s v="document"/>
    <n v="50"/>
    <n v="50"/>
  </r>
  <r>
    <s v="US-14-country-strategy"/>
    <x v="59"/>
    <s v="US-14"/>
    <x v="0"/>
    <s v="country-strategy"/>
    <x v="35"/>
    <x v="1"/>
    <x v="5"/>
    <x v="6"/>
    <n v="8"/>
    <n v="2.5000000000000001E-2"/>
    <x v="0"/>
    <x v="2"/>
    <n v="0"/>
    <x v="0"/>
    <n v="0"/>
    <n v="0"/>
    <s v="monthly"/>
    <n v="1"/>
    <n v="1"/>
    <n v="0"/>
    <x v="2"/>
    <n v="0"/>
    <m/>
    <s v="document"/>
    <n v="50"/>
    <n v="0"/>
  </r>
  <r>
    <s v="US-14-annual-report"/>
    <x v="59"/>
    <s v="US-14"/>
    <x v="6"/>
    <s v="annual-report"/>
    <x v="32"/>
    <x v="1"/>
    <x v="5"/>
    <x v="6"/>
    <n v="5"/>
    <n v="2.5000000000000001E-2"/>
    <x v="0"/>
    <x v="2"/>
    <n v="50"/>
    <x v="2"/>
    <n v="0"/>
    <n v="0"/>
    <s v="monthly"/>
    <n v="1"/>
    <n v="1"/>
    <n v="0"/>
    <x v="1"/>
    <n v="1"/>
    <m/>
    <s v="document"/>
    <n v="50"/>
    <n v="50"/>
  </r>
  <r>
    <s v="US-14-location"/>
    <x v="59"/>
    <s v="US-14"/>
    <x v="0"/>
    <s v="location"/>
    <x v="13"/>
    <x v="0"/>
    <x v="1"/>
    <x v="1"/>
    <n v="25"/>
    <n v="1.8599999999999998E-2"/>
    <x v="0"/>
    <x v="3"/>
    <n v="0"/>
    <x v="0"/>
    <n v="0"/>
    <n v="0"/>
    <s v="monthly"/>
    <n v="1"/>
    <n v="1"/>
    <n v="0"/>
    <x v="2"/>
    <n v="0"/>
    <m/>
    <s v="pdf"/>
    <n v="16.664999999999999"/>
    <n v="0"/>
  </r>
  <r>
    <s v="US-14-expenditure-actual"/>
    <x v="59"/>
    <s v="US-14"/>
    <x v="0"/>
    <s v="expenditure-actual"/>
    <x v="15"/>
    <x v="0"/>
    <x v="2"/>
    <x v="2"/>
    <n v="35"/>
    <n v="3.2500000000000001E-2"/>
    <x v="0"/>
    <x v="0"/>
    <n v="0"/>
    <x v="0"/>
    <n v="0"/>
    <n v="0"/>
    <s v="monthly"/>
    <n v="1"/>
    <n v="1"/>
    <n v="0"/>
    <x v="0"/>
    <n v="0"/>
    <m/>
    <m/>
    <n v="0"/>
    <n v="0"/>
  </r>
  <r>
    <s v="US-14-expenditure-planned"/>
    <x v="59"/>
    <s v="US-14"/>
    <x v="0"/>
    <s v="expenditure-planned"/>
    <x v="17"/>
    <x v="0"/>
    <x v="2"/>
    <x v="2"/>
    <n v="34"/>
    <n v="3.2500000000000001E-2"/>
    <x v="0"/>
    <x v="3"/>
    <n v="0"/>
    <x v="0"/>
    <n v="0"/>
    <n v="0"/>
    <s v="monthly"/>
    <n v="1"/>
    <n v="1"/>
    <n v="0"/>
    <x v="2"/>
    <n v="0"/>
    <m/>
    <s v="pdf"/>
    <n v="16.664999999999999"/>
    <n v="0"/>
  </r>
  <r>
    <s v="US-14-conditions"/>
    <x v="59"/>
    <s v="US-14"/>
    <x v="0"/>
    <s v="conditions"/>
    <x v="19"/>
    <x v="0"/>
    <x v="3"/>
    <x v="3"/>
    <n v="39"/>
    <n v="4.3299999999999998E-2"/>
    <x v="0"/>
    <x v="2"/>
    <n v="0"/>
    <x v="0"/>
    <n v="0"/>
    <n v="0"/>
    <s v="monthly"/>
    <n v="1"/>
    <n v="1"/>
    <n v="0"/>
    <x v="0"/>
    <n v="0"/>
    <m/>
    <s v="document"/>
    <n v="50"/>
    <n v="0"/>
  </r>
  <r>
    <s v="US-14-impact-appraisals"/>
    <x v="59"/>
    <s v="US-14"/>
    <x v="0"/>
    <s v="impact-appraisals"/>
    <x v="20"/>
    <x v="0"/>
    <x v="3"/>
    <x v="3"/>
    <n v="38"/>
    <n v="4.3299999999999998E-2"/>
    <x v="0"/>
    <x v="2"/>
    <n v="0"/>
    <x v="0"/>
    <n v="0"/>
    <n v="0"/>
    <s v="monthly"/>
    <n v="1"/>
    <n v="1"/>
    <n v="0"/>
    <x v="2"/>
    <n v="0"/>
    <m/>
    <s v="document"/>
    <n v="50"/>
    <n v="0"/>
  </r>
  <r>
    <s v="US-14-results"/>
    <x v="59"/>
    <s v="US-14"/>
    <x v="0"/>
    <s v="results"/>
    <x v="21"/>
    <x v="0"/>
    <x v="3"/>
    <x v="3"/>
    <n v="37"/>
    <n v="4.3299999999999998E-2"/>
    <x v="0"/>
    <x v="1"/>
    <n v="0"/>
    <x v="0"/>
    <n v="0"/>
    <n v="0"/>
    <s v="monthly"/>
    <n v="1"/>
    <n v="1"/>
    <n v="0"/>
    <x v="2"/>
    <n v="0"/>
    <m/>
    <s v="website"/>
    <n v="33.33"/>
    <n v="0"/>
  </r>
  <r>
    <s v="US-14-budget"/>
    <x v="59"/>
    <s v="US-14"/>
    <x v="0"/>
    <s v="budget"/>
    <x v="22"/>
    <x v="0"/>
    <x v="4"/>
    <x v="4"/>
    <n v="30"/>
    <n v="2.1700000000000001E-2"/>
    <x v="0"/>
    <x v="2"/>
    <n v="0"/>
    <x v="0"/>
    <n v="0"/>
    <n v="0"/>
    <s v="monthly"/>
    <n v="1"/>
    <n v="1"/>
    <n v="0"/>
    <x v="0"/>
    <n v="0"/>
    <m/>
    <s v="document"/>
    <n v="50"/>
    <n v="0"/>
  </r>
  <r>
    <s v="US-14-contracts"/>
    <x v="59"/>
    <s v="US-14"/>
    <x v="0"/>
    <s v="contracts"/>
    <x v="23"/>
    <x v="0"/>
    <x v="4"/>
    <x v="4"/>
    <n v="31"/>
    <n v="2.1700000000000001E-2"/>
    <x v="0"/>
    <x v="2"/>
    <n v="0"/>
    <x v="0"/>
    <n v="0"/>
    <n v="0"/>
    <s v="monthly"/>
    <n v="1"/>
    <n v="1"/>
    <n v="0"/>
    <x v="0"/>
    <n v="0"/>
    <m/>
    <s v="document"/>
    <n v="50"/>
    <n v="0"/>
  </r>
  <r>
    <s v="US-14-evaluations"/>
    <x v="59"/>
    <s v="US-14"/>
    <x v="0"/>
    <s v="evaluations"/>
    <x v="24"/>
    <x v="0"/>
    <x v="4"/>
    <x v="4"/>
    <n v="28"/>
    <n v="2.1700000000000001E-2"/>
    <x v="0"/>
    <x v="2"/>
    <n v="0"/>
    <x v="0"/>
    <n v="0"/>
    <n v="0"/>
    <s v="monthly"/>
    <n v="1"/>
    <n v="1"/>
    <n v="0"/>
    <x v="0"/>
    <n v="0"/>
    <m/>
    <s v="document"/>
    <n v="50"/>
    <n v="0"/>
  </r>
  <r>
    <s v="US-14-mou"/>
    <x v="59"/>
    <s v="US-14"/>
    <x v="3"/>
    <s v="mou"/>
    <x v="25"/>
    <x v="0"/>
    <x v="4"/>
    <x v="4"/>
    <n v="27"/>
    <n v="2.1700000000000001E-2"/>
    <x v="0"/>
    <x v="2"/>
    <n v="50"/>
    <x v="2"/>
    <n v="0"/>
    <n v="0"/>
    <s v="monthly"/>
    <n v="1"/>
    <n v="1"/>
    <n v="0"/>
    <x v="1"/>
    <n v="1"/>
    <m/>
    <s v="document"/>
    <n v="50"/>
    <n v="50"/>
  </r>
  <r>
    <s v="US-14-objectives"/>
    <x v="59"/>
    <s v="US-14"/>
    <x v="0"/>
    <s v="objectives"/>
    <x v="26"/>
    <x v="0"/>
    <x v="4"/>
    <x v="4"/>
    <n v="29"/>
    <n v="2.1700000000000001E-2"/>
    <x v="0"/>
    <x v="2"/>
    <n v="0"/>
    <x v="0"/>
    <n v="0"/>
    <n v="0"/>
    <s v="monthly"/>
    <n v="1"/>
    <n v="1"/>
    <n v="0"/>
    <x v="2"/>
    <n v="0"/>
    <m/>
    <s v="document"/>
    <n v="50"/>
    <n v="0"/>
  </r>
  <r>
    <s v="US-14-tenders"/>
    <x v="59"/>
    <s v="US-14"/>
    <x v="3"/>
    <s v="tenders"/>
    <x v="27"/>
    <x v="0"/>
    <x v="4"/>
    <x v="4"/>
    <n v="32"/>
    <n v="2.1700000000000001E-2"/>
    <x v="0"/>
    <x v="2"/>
    <n v="50"/>
    <x v="2"/>
    <n v="0"/>
    <n v="0"/>
    <s v="monthly"/>
    <n v="1"/>
    <n v="1"/>
    <n v="0"/>
    <x v="1"/>
    <n v="1"/>
    <m/>
    <s v="document"/>
    <n v="50"/>
    <n v="50"/>
  </r>
  <r>
    <s v="US-14-foia"/>
    <x v="59"/>
    <s v="US-14"/>
    <x v="15"/>
    <s v="foia"/>
    <x v="36"/>
    <x v="2"/>
    <x v="6"/>
    <x v="7"/>
    <n v="1"/>
    <n v="3.3300000000000003E-2"/>
    <x v="0"/>
    <x v="5"/>
    <n v="66.66"/>
    <x v="6"/>
    <n v="0"/>
    <n v="0"/>
    <s v="monthly"/>
    <n v="1"/>
    <n v="1"/>
    <n v="0"/>
    <x v="3"/>
    <n v="0"/>
    <n v="66.66"/>
    <m/>
    <n v="0"/>
    <n v="66.66"/>
  </r>
  <r>
    <s v="US-14-accessibility"/>
    <x v="59"/>
    <s v="US-14"/>
    <x v="0"/>
    <s v="accessibility"/>
    <x v="37"/>
    <x v="2"/>
    <x v="6"/>
    <x v="7"/>
    <n v="3"/>
    <n v="3.3300000000000003E-2"/>
    <x v="0"/>
    <x v="5"/>
    <n v="0"/>
    <x v="0"/>
    <n v="0"/>
    <n v="0"/>
    <s v="monthly"/>
    <n v="1"/>
    <n v="1"/>
    <n v="0"/>
    <x v="3"/>
    <n v="0"/>
    <n v="0"/>
    <m/>
    <n v="0"/>
    <n v="0"/>
  </r>
  <r>
    <s v="US-14-implementation-schedules"/>
    <x v="59"/>
    <s v="US-14"/>
    <x v="133"/>
    <s v="implementation-schedules"/>
    <x v="38"/>
    <x v="2"/>
    <x v="6"/>
    <x v="7"/>
    <n v="2"/>
    <n v="3.3300000000000003E-2"/>
    <x v="0"/>
    <x v="5"/>
    <n v="31"/>
    <x v="95"/>
    <n v="0"/>
    <n v="0"/>
    <s v="monthly"/>
    <n v="1"/>
    <n v="1"/>
    <n v="0"/>
    <x v="3"/>
    <n v="0"/>
    <n v="31"/>
    <m/>
    <n v="0"/>
    <n v="31"/>
  </r>
  <r>
    <s v="44002-dates-actual"/>
    <x v="60"/>
    <n v="44002"/>
    <x v="26"/>
    <s v="dates-actual"/>
    <x v="0"/>
    <x v="0"/>
    <x v="0"/>
    <x v="0"/>
    <n v="17"/>
    <n v="1.6299999999999999E-2"/>
    <x v="1"/>
    <x v="6"/>
    <n v="50"/>
    <x v="12"/>
    <n v="100"/>
    <n v="50"/>
    <s v="quarterly"/>
    <n v="0.9"/>
    <n v="0.9"/>
    <n v="45"/>
    <x v="3"/>
    <m/>
    <m/>
    <m/>
    <m/>
    <n v="0"/>
  </r>
  <r>
    <s v="44002-contact-details"/>
    <x v="60"/>
    <n v="44002"/>
    <x v="26"/>
    <s v="contact-details"/>
    <x v="1"/>
    <x v="0"/>
    <x v="0"/>
    <x v="0"/>
    <n v="19"/>
    <n v="1.6299999999999999E-2"/>
    <x v="1"/>
    <x v="6"/>
    <n v="50"/>
    <x v="12"/>
    <n v="100"/>
    <n v="50"/>
    <s v="quarterly"/>
    <n v="0.9"/>
    <n v="0.9"/>
    <n v="45"/>
    <x v="3"/>
    <m/>
    <m/>
    <m/>
    <m/>
    <n v="0"/>
  </r>
  <r>
    <s v="44002-current-status"/>
    <x v="60"/>
    <n v="44002"/>
    <x v="26"/>
    <s v="current-status"/>
    <x v="2"/>
    <x v="0"/>
    <x v="0"/>
    <x v="0"/>
    <n v="18"/>
    <n v="1.6299999999999999E-2"/>
    <x v="1"/>
    <x v="6"/>
    <n v="50"/>
    <x v="12"/>
    <n v="100"/>
    <n v="50"/>
    <s v="quarterly"/>
    <n v="0.9"/>
    <n v="0.9"/>
    <n v="45"/>
    <x v="3"/>
    <m/>
    <m/>
    <m/>
    <m/>
    <n v="0"/>
  </r>
  <r>
    <s v="44002-description"/>
    <x v="60"/>
    <n v="44002"/>
    <x v="293"/>
    <s v="description"/>
    <x v="3"/>
    <x v="0"/>
    <x v="0"/>
    <x v="0"/>
    <n v="15"/>
    <n v="1.6299999999999999E-2"/>
    <x v="1"/>
    <x v="6"/>
    <n v="50"/>
    <x v="248"/>
    <n v="99.728014505900006"/>
    <n v="49.864007252900002"/>
    <s v="quarterly"/>
    <n v="0.9"/>
    <n v="0.9"/>
    <n v="44.877606527700003"/>
    <x v="3"/>
    <m/>
    <m/>
    <m/>
    <m/>
    <n v="0"/>
  </r>
  <r>
    <s v="44002-implementer"/>
    <x v="60"/>
    <n v="44002"/>
    <x v="26"/>
    <s v="implementer"/>
    <x v="4"/>
    <x v="0"/>
    <x v="0"/>
    <x v="0"/>
    <n v="12"/>
    <n v="1.6299999999999999E-2"/>
    <x v="1"/>
    <x v="6"/>
    <n v="50"/>
    <x v="12"/>
    <n v="100"/>
    <n v="50"/>
    <s v="quarterly"/>
    <n v="0.9"/>
    <n v="0.9"/>
    <n v="45"/>
    <x v="3"/>
    <m/>
    <m/>
    <m/>
    <m/>
    <n v="0"/>
  </r>
  <r>
    <s v="44002-dates-planned"/>
    <x v="60"/>
    <n v="44002"/>
    <x v="26"/>
    <s v="dates-planned"/>
    <x v="5"/>
    <x v="0"/>
    <x v="0"/>
    <x v="0"/>
    <n v="16"/>
    <n v="1.6299999999999999E-2"/>
    <x v="1"/>
    <x v="6"/>
    <n v="50"/>
    <x v="12"/>
    <n v="100"/>
    <n v="50"/>
    <s v="quarterly"/>
    <n v="0.9"/>
    <n v="0.9"/>
    <n v="45"/>
    <x v="3"/>
    <m/>
    <m/>
    <m/>
    <m/>
    <n v="0"/>
  </r>
  <r>
    <s v="44002-title"/>
    <x v="60"/>
    <n v="44002"/>
    <x v="294"/>
    <s v="title"/>
    <x v="6"/>
    <x v="0"/>
    <x v="0"/>
    <x v="0"/>
    <n v="14"/>
    <n v="1.6299999999999999E-2"/>
    <x v="1"/>
    <x v="6"/>
    <n v="50"/>
    <x v="249"/>
    <n v="98.685403445099993"/>
    <n v="49.342701722599998"/>
    <s v="quarterly"/>
    <n v="0.9"/>
    <n v="0.9"/>
    <n v="44.408431550300001"/>
    <x v="3"/>
    <m/>
    <m/>
    <m/>
    <m/>
    <n v="0"/>
  </r>
  <r>
    <s v="44002-unique-id"/>
    <x v="60"/>
    <n v="44002"/>
    <x v="26"/>
    <s v="unique-id"/>
    <x v="7"/>
    <x v="0"/>
    <x v="0"/>
    <x v="0"/>
    <n v="13"/>
    <n v="1.6299999999999999E-2"/>
    <x v="1"/>
    <x v="6"/>
    <n v="50"/>
    <x v="12"/>
    <n v="100"/>
    <n v="50"/>
    <s v="quarterly"/>
    <n v="0.9"/>
    <n v="0.9"/>
    <n v="45"/>
    <x v="3"/>
    <m/>
    <m/>
    <m/>
    <m/>
    <n v="0"/>
  </r>
  <r>
    <s v="44002-aid-type"/>
    <x v="60"/>
    <n v="44002"/>
    <x v="29"/>
    <s v="aid-type"/>
    <x v="8"/>
    <x v="0"/>
    <x v="1"/>
    <x v="1"/>
    <n v="22"/>
    <n v="1.8599999999999998E-2"/>
    <x v="1"/>
    <x v="6"/>
    <n v="50"/>
    <x v="12"/>
    <n v="100"/>
    <n v="50"/>
    <s v="quarterly"/>
    <n v="0.9"/>
    <n v="0.9"/>
    <n v="45"/>
    <x v="3"/>
    <m/>
    <m/>
    <m/>
    <m/>
    <n v="0"/>
  </r>
  <r>
    <s v="44002-collaboration-type"/>
    <x v="60"/>
    <n v="44002"/>
    <x v="29"/>
    <s v="collaboration-type"/>
    <x v="9"/>
    <x v="0"/>
    <x v="1"/>
    <x v="1"/>
    <n v="20"/>
    <n v="1.8599999999999998E-2"/>
    <x v="1"/>
    <x v="6"/>
    <n v="50"/>
    <x v="12"/>
    <n v="100"/>
    <n v="50"/>
    <s v="quarterly"/>
    <n v="0.9"/>
    <n v="0.9"/>
    <n v="45"/>
    <x v="3"/>
    <m/>
    <m/>
    <m/>
    <m/>
    <n v="0"/>
  </r>
  <r>
    <s v="44002-finance-type"/>
    <x v="60"/>
    <n v="44002"/>
    <x v="29"/>
    <s v="finance-type"/>
    <x v="10"/>
    <x v="0"/>
    <x v="1"/>
    <x v="1"/>
    <n v="23"/>
    <n v="1.8599999999999998E-2"/>
    <x v="1"/>
    <x v="6"/>
    <n v="50"/>
    <x v="12"/>
    <n v="100"/>
    <n v="50"/>
    <s v="quarterly"/>
    <n v="0.9"/>
    <n v="0.9"/>
    <n v="45"/>
    <x v="3"/>
    <m/>
    <m/>
    <m/>
    <m/>
    <n v="0"/>
  </r>
  <r>
    <s v="44002-flow-type"/>
    <x v="60"/>
    <n v="44002"/>
    <x v="29"/>
    <s v="flow-type"/>
    <x v="11"/>
    <x v="0"/>
    <x v="1"/>
    <x v="1"/>
    <n v="21"/>
    <n v="1.8599999999999998E-2"/>
    <x v="1"/>
    <x v="6"/>
    <n v="50"/>
    <x v="12"/>
    <n v="100"/>
    <n v="50"/>
    <s v="quarterly"/>
    <n v="0.9"/>
    <n v="0.9"/>
    <n v="45"/>
    <x v="3"/>
    <m/>
    <m/>
    <m/>
    <m/>
    <n v="0"/>
  </r>
  <r>
    <s v="44002-sector"/>
    <x v="60"/>
    <n v="44002"/>
    <x v="295"/>
    <s v="sector"/>
    <x v="12"/>
    <x v="0"/>
    <x v="1"/>
    <x v="1"/>
    <n v="24"/>
    <n v="1.8599999999999998E-2"/>
    <x v="1"/>
    <x v="6"/>
    <n v="50"/>
    <x v="250"/>
    <n v="99.954669084299994"/>
    <n v="49.977334542199998"/>
    <s v="quarterly"/>
    <n v="0.9"/>
    <n v="0.9"/>
    <n v="44.979601087900001"/>
    <x v="3"/>
    <m/>
    <m/>
    <m/>
    <m/>
    <n v="0"/>
  </r>
  <r>
    <s v="44002-location"/>
    <x v="60"/>
    <n v="44002"/>
    <x v="296"/>
    <s v="location"/>
    <x v="13"/>
    <x v="0"/>
    <x v="1"/>
    <x v="1"/>
    <n v="25"/>
    <n v="1.8599999999999998E-2"/>
    <x v="1"/>
    <x v="6"/>
    <n v="50"/>
    <x v="251"/>
    <n v="68.449682683600003"/>
    <n v="34.224841341800001"/>
    <s v="quarterly"/>
    <n v="0.9"/>
    <n v="0.9"/>
    <n v="30.8023572076"/>
    <x v="3"/>
    <m/>
    <m/>
    <m/>
    <m/>
    <n v="0"/>
  </r>
  <r>
    <s v="44002-tied-aid-status"/>
    <x v="60"/>
    <n v="44002"/>
    <x v="29"/>
    <s v="tied-aid-status"/>
    <x v="14"/>
    <x v="0"/>
    <x v="1"/>
    <x v="1"/>
    <n v="26"/>
    <n v="1.8599999999999998E-2"/>
    <x v="1"/>
    <x v="6"/>
    <n v="50"/>
    <x v="12"/>
    <n v="100"/>
    <n v="50"/>
    <s v="quarterly"/>
    <n v="0.9"/>
    <n v="0.9"/>
    <n v="45"/>
    <x v="3"/>
    <m/>
    <m/>
    <m/>
    <m/>
    <n v="0"/>
  </r>
  <r>
    <s v="44002-expenditure-actual"/>
    <x v="60"/>
    <n v="44002"/>
    <x v="297"/>
    <s v="expenditure-actual"/>
    <x v="15"/>
    <x v="0"/>
    <x v="2"/>
    <x v="2"/>
    <n v="35"/>
    <n v="3.2500000000000001E-2"/>
    <x v="1"/>
    <x v="6"/>
    <n v="50"/>
    <x v="252"/>
    <n v="88.848594741599996"/>
    <n v="44.424297370799998"/>
    <s v="quarterly"/>
    <n v="0.9"/>
    <n v="0.9"/>
    <n v="39.981867633699999"/>
    <x v="3"/>
    <m/>
    <m/>
    <m/>
    <m/>
    <n v="0"/>
  </r>
  <r>
    <s v="44002-expenditure-planned"/>
    <x v="60"/>
    <n v="44002"/>
    <x v="60"/>
    <s v="expenditure-planned"/>
    <x v="17"/>
    <x v="0"/>
    <x v="2"/>
    <x v="2"/>
    <n v="34"/>
    <n v="3.2500000000000001E-2"/>
    <x v="1"/>
    <x v="6"/>
    <n v="50"/>
    <x v="12"/>
    <n v="100"/>
    <n v="50"/>
    <s v="quarterly"/>
    <n v="0.9"/>
    <n v="0.9"/>
    <n v="45"/>
    <x v="3"/>
    <m/>
    <m/>
    <m/>
    <m/>
    <n v="0"/>
  </r>
  <r>
    <s v="44002-conditions"/>
    <x v="60"/>
    <n v="44002"/>
    <x v="298"/>
    <s v="conditions"/>
    <x v="19"/>
    <x v="0"/>
    <x v="3"/>
    <x v="3"/>
    <n v="39"/>
    <n v="4.3299999999999998E-2"/>
    <x v="1"/>
    <x v="6"/>
    <n v="50"/>
    <x v="253"/>
    <n v="41.749773345400001"/>
    <n v="20.874886672700001"/>
    <s v="quarterly"/>
    <n v="0.9"/>
    <n v="0.9"/>
    <n v="18.7873980054"/>
    <x v="3"/>
    <m/>
    <m/>
    <m/>
    <m/>
    <n v="0"/>
  </r>
  <r>
    <s v="44002-impact-appraisals"/>
    <x v="60"/>
    <n v="44002"/>
    <x v="299"/>
    <s v="impact-appraisals"/>
    <x v="20"/>
    <x v="0"/>
    <x v="3"/>
    <x v="3"/>
    <n v="38"/>
    <n v="4.3299999999999998E-2"/>
    <x v="1"/>
    <x v="6"/>
    <n v="50"/>
    <x v="254"/>
    <n v="84.950135992699998"/>
    <n v="42.4750679964"/>
    <s v="quarterly"/>
    <n v="0.9"/>
    <n v="0.9"/>
    <n v="38.227561196700002"/>
    <x v="3"/>
    <m/>
    <m/>
    <m/>
    <m/>
    <n v="0"/>
  </r>
  <r>
    <s v="44002-results"/>
    <x v="60"/>
    <n v="44002"/>
    <x v="300"/>
    <s v="results"/>
    <x v="21"/>
    <x v="0"/>
    <x v="3"/>
    <x v="3"/>
    <n v="37"/>
    <n v="4.3299999999999998E-2"/>
    <x v="1"/>
    <x v="6"/>
    <n v="50"/>
    <x v="255"/>
    <n v="47.914777878499997"/>
    <n v="23.957388939299999"/>
    <s v="quarterly"/>
    <n v="0.9"/>
    <n v="0.9"/>
    <n v="21.561650045299999"/>
    <x v="3"/>
    <m/>
    <m/>
    <m/>
    <m/>
    <n v="0"/>
  </r>
  <r>
    <s v="44002-budget"/>
    <x v="60"/>
    <n v="44002"/>
    <x v="301"/>
    <s v="budget"/>
    <x v="22"/>
    <x v="0"/>
    <x v="4"/>
    <x v="4"/>
    <n v="30"/>
    <n v="2.1700000000000001E-2"/>
    <x v="1"/>
    <x v="6"/>
    <n v="50"/>
    <x v="256"/>
    <n v="97.733454215799995"/>
    <n v="48.866727107899997"/>
    <s v="quarterly"/>
    <n v="0.9"/>
    <n v="0.9"/>
    <n v="43.980054397099998"/>
    <x v="3"/>
    <m/>
    <m/>
    <m/>
    <m/>
    <n v="0"/>
  </r>
  <r>
    <s v="44002-contracts"/>
    <x v="60"/>
    <n v="44002"/>
    <x v="64"/>
    <s v="contracts"/>
    <x v="23"/>
    <x v="0"/>
    <x v="4"/>
    <x v="4"/>
    <n v="31"/>
    <n v="2.1700000000000001E-2"/>
    <x v="1"/>
    <x v="6"/>
    <n v="50"/>
    <x v="12"/>
    <n v="100"/>
    <n v="50"/>
    <s v="quarterly"/>
    <n v="0.9"/>
    <n v="0.9"/>
    <n v="45"/>
    <x v="3"/>
    <m/>
    <m/>
    <m/>
    <m/>
    <n v="0"/>
  </r>
  <r>
    <s v="44002-evaluations"/>
    <x v="60"/>
    <n v="44002"/>
    <x v="302"/>
    <s v="evaluations"/>
    <x v="24"/>
    <x v="0"/>
    <x v="4"/>
    <x v="4"/>
    <n v="28"/>
    <n v="2.1700000000000001E-2"/>
    <x v="1"/>
    <x v="6"/>
    <n v="50"/>
    <x v="257"/>
    <n v="96.774193548400007"/>
    <n v="48.387096774200003"/>
    <s v="quarterly"/>
    <n v="0.9"/>
    <n v="0.9"/>
    <n v="43.548387096799999"/>
    <x v="3"/>
    <m/>
    <m/>
    <m/>
    <m/>
    <n v="0"/>
  </r>
  <r>
    <s v="44002-mou"/>
    <x v="60"/>
    <n v="44002"/>
    <x v="303"/>
    <s v="mou"/>
    <x v="25"/>
    <x v="0"/>
    <x v="4"/>
    <x v="4"/>
    <n v="27"/>
    <n v="2.1700000000000001E-2"/>
    <x v="1"/>
    <x v="6"/>
    <n v="50"/>
    <x v="258"/>
    <n v="83.499546690800003"/>
    <n v="41.749773345400001"/>
    <s v="quarterly"/>
    <n v="0.9"/>
    <n v="0.9"/>
    <n v="37.574796010900002"/>
    <x v="3"/>
    <m/>
    <m/>
    <m/>
    <m/>
    <n v="0"/>
  </r>
  <r>
    <s v="44002-objectives"/>
    <x v="60"/>
    <n v="44002"/>
    <x v="301"/>
    <s v="objectives"/>
    <x v="26"/>
    <x v="0"/>
    <x v="4"/>
    <x v="4"/>
    <n v="29"/>
    <n v="2.1700000000000001E-2"/>
    <x v="1"/>
    <x v="6"/>
    <n v="50"/>
    <x v="256"/>
    <n v="97.733454215799995"/>
    <n v="48.866727107899997"/>
    <s v="quarterly"/>
    <n v="0.9"/>
    <n v="0.9"/>
    <n v="43.980054397099998"/>
    <x v="3"/>
    <m/>
    <m/>
    <m/>
    <m/>
    <n v="0"/>
  </r>
  <r>
    <s v="44002-tenders"/>
    <x v="60"/>
    <n v="44002"/>
    <x v="64"/>
    <s v="tenders"/>
    <x v="27"/>
    <x v="0"/>
    <x v="4"/>
    <x v="4"/>
    <n v="32"/>
    <n v="2.1700000000000001E-2"/>
    <x v="1"/>
    <x v="6"/>
    <n v="50"/>
    <x v="12"/>
    <n v="100"/>
    <n v="50"/>
    <s v="quarterly"/>
    <n v="0.9"/>
    <n v="0.9"/>
    <n v="45"/>
    <x v="3"/>
    <m/>
    <m/>
    <m/>
    <m/>
    <n v="0"/>
  </r>
  <r>
    <s v="44002-audit"/>
    <x v="60"/>
    <n v="44002"/>
    <x v="42"/>
    <s v="audit"/>
    <x v="28"/>
    <x v="1"/>
    <x v="2"/>
    <x v="5"/>
    <n v="11"/>
    <n v="4.1700000000000001E-2"/>
    <x v="1"/>
    <x v="6"/>
    <n v="50"/>
    <x v="5"/>
    <n v="100"/>
    <n v="50"/>
    <s v="quarterly"/>
    <n v="0.9"/>
    <n v="1"/>
    <n v="50"/>
    <x v="3"/>
    <m/>
    <m/>
    <m/>
    <m/>
    <n v="0"/>
  </r>
  <r>
    <s v="44002-total-budget"/>
    <x v="60"/>
    <n v="44002"/>
    <x v="69"/>
    <s v="total-budget"/>
    <x v="29"/>
    <x v="1"/>
    <x v="2"/>
    <x v="5"/>
    <n v="9"/>
    <n v="4.1700000000000001E-2"/>
    <x v="1"/>
    <x v="6"/>
    <n v="50"/>
    <x v="41"/>
    <n v="33.333333333299997"/>
    <n v="16.666666666699999"/>
    <s v="quarterly"/>
    <n v="0.9"/>
    <n v="1"/>
    <n v="16.666666666699999"/>
    <x v="3"/>
    <m/>
    <m/>
    <m/>
    <m/>
    <n v="0"/>
  </r>
  <r>
    <s v="44002-disaggregated-budgets"/>
    <x v="60"/>
    <n v="44002"/>
    <x v="304"/>
    <s v="disaggregated-budgets"/>
    <x v="30"/>
    <x v="1"/>
    <x v="2"/>
    <x v="5"/>
    <n v="10"/>
    <n v="4.1700000000000001E-2"/>
    <x v="1"/>
    <x v="6"/>
    <n v="50"/>
    <x v="259"/>
    <n v="12.7802299219"/>
    <n v="6.3901149609700001"/>
    <s v="quarterly"/>
    <n v="0.9"/>
    <n v="1"/>
    <n v="6.3901149609700001"/>
    <x v="3"/>
    <m/>
    <m/>
    <m/>
    <m/>
    <n v="0"/>
  </r>
  <r>
    <s v="44002-strategy"/>
    <x v="60"/>
    <n v="44002"/>
    <x v="43"/>
    <s v="strategy"/>
    <x v="31"/>
    <x v="1"/>
    <x v="5"/>
    <x v="6"/>
    <n v="4"/>
    <n v="2.5000000000000001E-2"/>
    <x v="1"/>
    <x v="6"/>
    <n v="50"/>
    <x v="5"/>
    <n v="100"/>
    <n v="50"/>
    <s v="quarterly"/>
    <n v="0.9"/>
    <n v="1"/>
    <n v="50"/>
    <x v="3"/>
    <m/>
    <m/>
    <m/>
    <m/>
    <n v="0"/>
  </r>
  <r>
    <s v="44002-annual-report"/>
    <x v="60"/>
    <n v="44002"/>
    <x v="43"/>
    <s v="annual-report"/>
    <x v="32"/>
    <x v="1"/>
    <x v="5"/>
    <x v="6"/>
    <n v="5"/>
    <n v="2.5000000000000001E-2"/>
    <x v="1"/>
    <x v="6"/>
    <n v="50"/>
    <x v="5"/>
    <n v="100"/>
    <n v="50"/>
    <s v="quarterly"/>
    <n v="0.9"/>
    <n v="1"/>
    <n v="50"/>
    <x v="3"/>
    <m/>
    <m/>
    <m/>
    <m/>
    <n v="0"/>
  </r>
  <r>
    <s v="44002-allocation"/>
    <x v="60"/>
    <n v="44002"/>
    <x v="43"/>
    <s v="allocation"/>
    <x v="33"/>
    <x v="1"/>
    <x v="5"/>
    <x v="6"/>
    <n v="6"/>
    <n v="2.5000000000000001E-2"/>
    <x v="1"/>
    <x v="6"/>
    <n v="50"/>
    <x v="5"/>
    <n v="100"/>
    <n v="50"/>
    <s v="quarterly"/>
    <n v="0.9"/>
    <n v="1"/>
    <n v="50"/>
    <x v="3"/>
    <m/>
    <m/>
    <m/>
    <m/>
    <n v="0"/>
  </r>
  <r>
    <s v="44002-procurement-policy"/>
    <x v="60"/>
    <n v="44002"/>
    <x v="43"/>
    <s v="procurement-policy"/>
    <x v="34"/>
    <x v="1"/>
    <x v="5"/>
    <x v="6"/>
    <n v="7"/>
    <n v="2.5000000000000001E-2"/>
    <x v="1"/>
    <x v="6"/>
    <n v="50"/>
    <x v="5"/>
    <n v="100"/>
    <n v="50"/>
    <s v="quarterly"/>
    <n v="0.9"/>
    <n v="1"/>
    <n v="50"/>
    <x v="3"/>
    <m/>
    <m/>
    <m/>
    <m/>
    <n v="0"/>
  </r>
  <r>
    <s v="44002-country-strategy"/>
    <x v="60"/>
    <n v="44002"/>
    <x v="43"/>
    <s v="country-strategy"/>
    <x v="35"/>
    <x v="1"/>
    <x v="5"/>
    <x v="6"/>
    <n v="8"/>
    <n v="2.5000000000000001E-2"/>
    <x v="1"/>
    <x v="6"/>
    <n v="50"/>
    <x v="5"/>
    <n v="100"/>
    <n v="50"/>
    <s v="quarterly"/>
    <n v="0.9"/>
    <n v="1"/>
    <n v="50"/>
    <x v="3"/>
    <m/>
    <m/>
    <m/>
    <m/>
    <n v="0"/>
  </r>
  <r>
    <s v="44002-cost-overall"/>
    <x v="60"/>
    <n v="44002"/>
    <x v="19"/>
    <s v="cost-overall"/>
    <x v="16"/>
    <x v="0"/>
    <x v="2"/>
    <x v="2"/>
    <n v="33"/>
    <n v="3.2500000000000001E-2"/>
    <x v="0"/>
    <x v="3"/>
    <n v="16.664999999999999"/>
    <x v="4"/>
    <n v="0"/>
    <n v="0"/>
    <s v="quarterly"/>
    <n v="0.9"/>
    <n v="1"/>
    <n v="0"/>
    <x v="1"/>
    <n v="1"/>
    <m/>
    <s v="pdf"/>
    <n v="16.664999999999999"/>
    <n v="16.664999999999999"/>
  </r>
  <r>
    <s v="44002-budget-identifier"/>
    <x v="60"/>
    <n v="44002"/>
    <x v="0"/>
    <s v="budget-identifier"/>
    <x v="18"/>
    <x v="0"/>
    <x v="2"/>
    <x v="2"/>
    <n v="36"/>
    <n v="3.2500000000000001E-2"/>
    <x v="0"/>
    <x v="0"/>
    <n v="0"/>
    <x v="0"/>
    <n v="0"/>
    <n v="0"/>
    <s v="quarterly"/>
    <n v="0.9"/>
    <n v="1"/>
    <n v="0"/>
    <x v="0"/>
    <n v="0"/>
    <m/>
    <m/>
    <n v="0"/>
    <n v="0"/>
  </r>
  <r>
    <s v="44002-foia"/>
    <x v="60"/>
    <n v="44002"/>
    <x v="7"/>
    <s v="foia"/>
    <x v="36"/>
    <x v="2"/>
    <x v="6"/>
    <x v="7"/>
    <n v="1"/>
    <n v="3.3300000000000003E-2"/>
    <x v="0"/>
    <x v="5"/>
    <n v="33.33"/>
    <x v="1"/>
    <n v="0"/>
    <n v="0"/>
    <s v="quarterly"/>
    <n v="0.9"/>
    <n v="1"/>
    <n v="0"/>
    <x v="3"/>
    <n v="0"/>
    <n v="33.33"/>
    <m/>
    <n v="0"/>
    <n v="33.33"/>
  </r>
  <r>
    <s v="44002-accessibility"/>
    <x v="60"/>
    <n v="44002"/>
    <x v="10"/>
    <s v="accessibility"/>
    <x v="37"/>
    <x v="2"/>
    <x v="6"/>
    <x v="7"/>
    <n v="3"/>
    <n v="3.3300000000000003E-2"/>
    <x v="0"/>
    <x v="5"/>
    <n v="100"/>
    <x v="5"/>
    <n v="0"/>
    <n v="0"/>
    <s v="quarterly"/>
    <n v="0.9"/>
    <n v="1"/>
    <n v="0"/>
    <x v="3"/>
    <n v="0"/>
    <n v="100"/>
    <m/>
    <n v="0"/>
    <n v="100"/>
  </r>
  <r>
    <s v="44002-implementation-schedules"/>
    <x v="60"/>
    <n v="44002"/>
    <x v="305"/>
    <s v="implementation-schedules"/>
    <x v="38"/>
    <x v="2"/>
    <x v="6"/>
    <x v="7"/>
    <n v="2"/>
    <n v="3.3300000000000003E-2"/>
    <x v="0"/>
    <x v="5"/>
    <n v="89"/>
    <x v="260"/>
    <n v="0"/>
    <n v="0"/>
    <s v="quarterly"/>
    <n v="0.9"/>
    <n v="1"/>
    <n v="0"/>
    <x v="3"/>
    <n v="0"/>
    <n v="89"/>
    <m/>
    <n v="0"/>
    <n v="89"/>
  </r>
  <r>
    <s v="US-6-disaggregated-budgets"/>
    <x v="61"/>
    <s v="US-6"/>
    <x v="69"/>
    <s v="disaggregated-budgets"/>
    <x v="30"/>
    <x v="1"/>
    <x v="2"/>
    <x v="5"/>
    <n v="10"/>
    <n v="4.1700000000000001E-2"/>
    <x v="1"/>
    <x v="6"/>
    <n v="50"/>
    <x v="41"/>
    <n v="33.333333333299997"/>
    <n v="16.666666666699999"/>
    <s v="monthly"/>
    <n v="1"/>
    <n v="1"/>
    <n v="16.666666666699999"/>
    <x v="3"/>
    <m/>
    <m/>
    <m/>
    <m/>
    <n v="0"/>
  </r>
  <r>
    <s v="US-6-dates-actual"/>
    <x v="61"/>
    <s v="US-6"/>
    <x v="0"/>
    <s v="dates-actual"/>
    <x v="0"/>
    <x v="0"/>
    <x v="0"/>
    <x v="0"/>
    <n v="17"/>
    <n v="1.6299999999999999E-2"/>
    <x v="0"/>
    <x v="0"/>
    <n v="0"/>
    <x v="0"/>
    <n v="0"/>
    <n v="0"/>
    <s v="monthly"/>
    <n v="1"/>
    <n v="1"/>
    <n v="0"/>
    <x v="0"/>
    <n v="0"/>
    <m/>
    <m/>
    <n v="0"/>
    <n v="0"/>
  </r>
  <r>
    <s v="US-6-contact-details"/>
    <x v="61"/>
    <s v="US-6"/>
    <x v="11"/>
    <s v="contact-details"/>
    <x v="1"/>
    <x v="0"/>
    <x v="0"/>
    <x v="0"/>
    <n v="19"/>
    <n v="1.6299999999999999E-2"/>
    <x v="0"/>
    <x v="4"/>
    <n v="50"/>
    <x v="2"/>
    <n v="0"/>
    <n v="0"/>
    <s v="monthly"/>
    <n v="1"/>
    <n v="1"/>
    <n v="0"/>
    <x v="1"/>
    <n v="1"/>
    <m/>
    <s v="machine-readable"/>
    <n v="50"/>
    <n v="50"/>
  </r>
  <r>
    <s v="US-6-current-status"/>
    <x v="61"/>
    <s v="US-6"/>
    <x v="11"/>
    <s v="current-status"/>
    <x v="2"/>
    <x v="0"/>
    <x v="0"/>
    <x v="0"/>
    <n v="18"/>
    <n v="1.6299999999999999E-2"/>
    <x v="0"/>
    <x v="4"/>
    <n v="50"/>
    <x v="2"/>
    <n v="0"/>
    <n v="0"/>
    <s v="monthly"/>
    <n v="1"/>
    <n v="1"/>
    <n v="0"/>
    <x v="1"/>
    <n v="1"/>
    <m/>
    <s v="machine-readable"/>
    <n v="50"/>
    <n v="50"/>
  </r>
  <r>
    <s v="US-6-description"/>
    <x v="61"/>
    <s v="US-6"/>
    <x v="11"/>
    <s v="description"/>
    <x v="3"/>
    <x v="0"/>
    <x v="0"/>
    <x v="0"/>
    <n v="15"/>
    <n v="1.6299999999999999E-2"/>
    <x v="0"/>
    <x v="4"/>
    <n v="50"/>
    <x v="2"/>
    <n v="0"/>
    <n v="0"/>
    <s v="monthly"/>
    <n v="1"/>
    <n v="1"/>
    <n v="0"/>
    <x v="1"/>
    <n v="1"/>
    <m/>
    <s v="machine-readable"/>
    <n v="50"/>
    <n v="50"/>
  </r>
  <r>
    <s v="US-6-implementer"/>
    <x v="61"/>
    <s v="US-6"/>
    <x v="11"/>
    <s v="implementer"/>
    <x v="4"/>
    <x v="0"/>
    <x v="0"/>
    <x v="0"/>
    <n v="12"/>
    <n v="1.6299999999999999E-2"/>
    <x v="0"/>
    <x v="4"/>
    <n v="50"/>
    <x v="2"/>
    <n v="0"/>
    <n v="0"/>
    <s v="monthly"/>
    <n v="1"/>
    <n v="1"/>
    <n v="0"/>
    <x v="1"/>
    <n v="1"/>
    <m/>
    <s v="machine-readable"/>
    <n v="50"/>
    <n v="50"/>
  </r>
  <r>
    <s v="US-6-dates-planned"/>
    <x v="61"/>
    <s v="US-6"/>
    <x v="11"/>
    <s v="dates-planned"/>
    <x v="5"/>
    <x v="0"/>
    <x v="0"/>
    <x v="0"/>
    <n v="16"/>
    <n v="1.6299999999999999E-2"/>
    <x v="0"/>
    <x v="4"/>
    <n v="50"/>
    <x v="2"/>
    <n v="0"/>
    <n v="0"/>
    <s v="monthly"/>
    <n v="1"/>
    <n v="1"/>
    <n v="0"/>
    <x v="1"/>
    <n v="1"/>
    <m/>
    <s v="machine-readable"/>
    <n v="50"/>
    <n v="50"/>
  </r>
  <r>
    <s v="US-6-title"/>
    <x v="61"/>
    <s v="US-6"/>
    <x v="11"/>
    <s v="title"/>
    <x v="6"/>
    <x v="0"/>
    <x v="0"/>
    <x v="0"/>
    <n v="14"/>
    <n v="1.6299999999999999E-2"/>
    <x v="0"/>
    <x v="4"/>
    <n v="50"/>
    <x v="2"/>
    <n v="0"/>
    <n v="0"/>
    <s v="monthly"/>
    <n v="1"/>
    <n v="1"/>
    <n v="0"/>
    <x v="1"/>
    <n v="1"/>
    <m/>
    <s v="machine-readable"/>
    <n v="50"/>
    <n v="50"/>
  </r>
  <r>
    <s v="US-6-unique-id"/>
    <x v="61"/>
    <s v="US-6"/>
    <x v="11"/>
    <s v="unique-id"/>
    <x v="7"/>
    <x v="0"/>
    <x v="0"/>
    <x v="0"/>
    <n v="13"/>
    <n v="1.6299999999999999E-2"/>
    <x v="0"/>
    <x v="4"/>
    <n v="50"/>
    <x v="2"/>
    <n v="0"/>
    <n v="0"/>
    <s v="monthly"/>
    <n v="1"/>
    <n v="1"/>
    <n v="0"/>
    <x v="1"/>
    <n v="1"/>
    <m/>
    <s v="machine-readable"/>
    <n v="50"/>
    <n v="50"/>
  </r>
  <r>
    <s v="US-6-aid-type"/>
    <x v="61"/>
    <s v="US-6"/>
    <x v="12"/>
    <s v="aid-type"/>
    <x v="8"/>
    <x v="0"/>
    <x v="1"/>
    <x v="1"/>
    <n v="22"/>
    <n v="1.8599999999999998E-2"/>
    <x v="0"/>
    <x v="4"/>
    <n v="50"/>
    <x v="2"/>
    <n v="0"/>
    <n v="0"/>
    <s v="monthly"/>
    <n v="1"/>
    <n v="1"/>
    <n v="0"/>
    <x v="1"/>
    <n v="1"/>
    <m/>
    <s v="machine-readable"/>
    <n v="50"/>
    <n v="50"/>
  </r>
  <r>
    <s v="US-6-collaboration-type"/>
    <x v="61"/>
    <s v="US-6"/>
    <x v="12"/>
    <s v="collaboration-type"/>
    <x v="9"/>
    <x v="0"/>
    <x v="1"/>
    <x v="1"/>
    <n v="20"/>
    <n v="1.8599999999999998E-2"/>
    <x v="0"/>
    <x v="4"/>
    <n v="50"/>
    <x v="2"/>
    <n v="0"/>
    <n v="0"/>
    <s v="monthly"/>
    <n v="1"/>
    <n v="1"/>
    <n v="0"/>
    <x v="1"/>
    <n v="1"/>
    <m/>
    <s v="machine-readable"/>
    <n v="50"/>
    <n v="50"/>
  </r>
  <r>
    <s v="US-6-finance-type"/>
    <x v="61"/>
    <s v="US-6"/>
    <x v="12"/>
    <s v="finance-type"/>
    <x v="10"/>
    <x v="0"/>
    <x v="1"/>
    <x v="1"/>
    <n v="23"/>
    <n v="1.8599999999999998E-2"/>
    <x v="0"/>
    <x v="4"/>
    <n v="50"/>
    <x v="2"/>
    <n v="0"/>
    <n v="0"/>
    <s v="monthly"/>
    <n v="1"/>
    <n v="1"/>
    <n v="0"/>
    <x v="1"/>
    <n v="1"/>
    <m/>
    <s v="machine-readable"/>
    <n v="50"/>
    <n v="50"/>
  </r>
  <r>
    <s v="US-6-flow-type"/>
    <x v="61"/>
    <s v="US-6"/>
    <x v="12"/>
    <s v="flow-type"/>
    <x v="11"/>
    <x v="0"/>
    <x v="1"/>
    <x v="1"/>
    <n v="21"/>
    <n v="1.8599999999999998E-2"/>
    <x v="0"/>
    <x v="4"/>
    <n v="50"/>
    <x v="2"/>
    <n v="0"/>
    <n v="0"/>
    <s v="monthly"/>
    <n v="1"/>
    <n v="1"/>
    <n v="0"/>
    <x v="1"/>
    <n v="1"/>
    <m/>
    <s v="machine-readable"/>
    <n v="50"/>
    <n v="50"/>
  </r>
  <r>
    <s v="US-6-sector"/>
    <x v="61"/>
    <s v="US-6"/>
    <x v="12"/>
    <s v="sector"/>
    <x v="12"/>
    <x v="0"/>
    <x v="1"/>
    <x v="1"/>
    <n v="24"/>
    <n v="1.8599999999999998E-2"/>
    <x v="0"/>
    <x v="4"/>
    <n v="50"/>
    <x v="2"/>
    <n v="0"/>
    <n v="0"/>
    <s v="monthly"/>
    <n v="1"/>
    <n v="1"/>
    <n v="0"/>
    <x v="1"/>
    <n v="1"/>
    <m/>
    <s v="machine-readable"/>
    <n v="50"/>
    <n v="50"/>
  </r>
  <r>
    <s v="US-6-location"/>
    <x v="61"/>
    <s v="US-6"/>
    <x v="12"/>
    <s v="location"/>
    <x v="13"/>
    <x v="0"/>
    <x v="1"/>
    <x v="1"/>
    <n v="25"/>
    <n v="1.8599999999999998E-2"/>
    <x v="0"/>
    <x v="4"/>
    <n v="50"/>
    <x v="2"/>
    <n v="0"/>
    <n v="0"/>
    <s v="monthly"/>
    <n v="1"/>
    <n v="1"/>
    <n v="0"/>
    <x v="1"/>
    <n v="1"/>
    <m/>
    <s v="machine-readable"/>
    <n v="50"/>
    <n v="50"/>
  </r>
  <r>
    <s v="US-6-tied-aid-status"/>
    <x v="61"/>
    <s v="US-6"/>
    <x v="12"/>
    <s v="tied-aid-status"/>
    <x v="14"/>
    <x v="0"/>
    <x v="1"/>
    <x v="1"/>
    <n v="26"/>
    <n v="1.8599999999999998E-2"/>
    <x v="0"/>
    <x v="4"/>
    <n v="50"/>
    <x v="2"/>
    <n v="0"/>
    <n v="0"/>
    <s v="monthly"/>
    <n v="1"/>
    <n v="1"/>
    <n v="0"/>
    <x v="1"/>
    <n v="1"/>
    <m/>
    <s v="machine-readable"/>
    <n v="50"/>
    <n v="50"/>
  </r>
  <r>
    <s v="US-6-expenditure-actual"/>
    <x v="61"/>
    <s v="US-6"/>
    <x v="0"/>
    <s v="expenditure-actual"/>
    <x v="15"/>
    <x v="0"/>
    <x v="2"/>
    <x v="2"/>
    <n v="35"/>
    <n v="3.2500000000000001E-2"/>
    <x v="0"/>
    <x v="0"/>
    <n v="0"/>
    <x v="0"/>
    <n v="0"/>
    <n v="0"/>
    <s v="monthly"/>
    <n v="1"/>
    <n v="1"/>
    <n v="0"/>
    <x v="0"/>
    <n v="0"/>
    <m/>
    <m/>
    <n v="0"/>
    <n v="0"/>
  </r>
  <r>
    <s v="US-6-cost-overall"/>
    <x v="61"/>
    <s v="US-6"/>
    <x v="0"/>
    <s v="cost-overall"/>
    <x v="16"/>
    <x v="0"/>
    <x v="2"/>
    <x v="2"/>
    <n v="33"/>
    <n v="3.2500000000000001E-2"/>
    <x v="0"/>
    <x v="0"/>
    <n v="0"/>
    <x v="0"/>
    <n v="0"/>
    <n v="0"/>
    <s v="monthly"/>
    <n v="1"/>
    <n v="1"/>
    <n v="0"/>
    <x v="0"/>
    <n v="0"/>
    <m/>
    <m/>
    <n v="0"/>
    <n v="0"/>
  </r>
  <r>
    <s v="US-6-expenditure-planned"/>
    <x v="61"/>
    <s v="US-6"/>
    <x v="14"/>
    <s v="expenditure-planned"/>
    <x v="17"/>
    <x v="0"/>
    <x v="2"/>
    <x v="2"/>
    <n v="34"/>
    <n v="3.2500000000000001E-2"/>
    <x v="0"/>
    <x v="4"/>
    <n v="50"/>
    <x v="2"/>
    <n v="0"/>
    <n v="0"/>
    <s v="monthly"/>
    <n v="1"/>
    <n v="1"/>
    <n v="0"/>
    <x v="1"/>
    <n v="1"/>
    <m/>
    <s v="machine-readable"/>
    <n v="50"/>
    <n v="50"/>
  </r>
  <r>
    <s v="US-6-budget-identifier"/>
    <x v="61"/>
    <s v="US-6"/>
    <x v="0"/>
    <s v="budget-identifier"/>
    <x v="18"/>
    <x v="0"/>
    <x v="2"/>
    <x v="2"/>
    <n v="36"/>
    <n v="3.2500000000000001E-2"/>
    <x v="0"/>
    <x v="0"/>
    <n v="0"/>
    <x v="0"/>
    <n v="0"/>
    <n v="0"/>
    <s v="monthly"/>
    <n v="1"/>
    <n v="1"/>
    <n v="0"/>
    <x v="0"/>
    <n v="0"/>
    <m/>
    <m/>
    <n v="0"/>
    <n v="0"/>
  </r>
  <r>
    <s v="US-6-conditions"/>
    <x v="61"/>
    <s v="US-6"/>
    <x v="20"/>
    <s v="conditions"/>
    <x v="19"/>
    <x v="0"/>
    <x v="3"/>
    <x v="3"/>
    <n v="39"/>
    <n v="4.3299999999999998E-2"/>
    <x v="0"/>
    <x v="2"/>
    <n v="50"/>
    <x v="2"/>
    <n v="0"/>
    <n v="0"/>
    <s v="monthly"/>
    <n v="1"/>
    <n v="1"/>
    <n v="0"/>
    <x v="1"/>
    <n v="1"/>
    <m/>
    <s v="document"/>
    <n v="50"/>
    <n v="50"/>
  </r>
  <r>
    <s v="US-6-impact-appraisals"/>
    <x v="61"/>
    <s v="US-6"/>
    <x v="0"/>
    <s v="impact-appraisals"/>
    <x v="20"/>
    <x v="0"/>
    <x v="3"/>
    <x v="3"/>
    <n v="38"/>
    <n v="4.3299999999999998E-2"/>
    <x v="0"/>
    <x v="2"/>
    <n v="0"/>
    <x v="0"/>
    <n v="0"/>
    <n v="0"/>
    <s v="monthly"/>
    <n v="1"/>
    <n v="1"/>
    <n v="0"/>
    <x v="0"/>
    <n v="0"/>
    <m/>
    <s v="document"/>
    <n v="50"/>
    <n v="0"/>
  </r>
  <r>
    <s v="US-6-results"/>
    <x v="61"/>
    <s v="US-6"/>
    <x v="0"/>
    <s v="results"/>
    <x v="21"/>
    <x v="0"/>
    <x v="3"/>
    <x v="3"/>
    <n v="37"/>
    <n v="4.3299999999999998E-2"/>
    <x v="0"/>
    <x v="0"/>
    <n v="0"/>
    <x v="0"/>
    <n v="0"/>
    <n v="0"/>
    <s v="monthly"/>
    <n v="1"/>
    <n v="1"/>
    <n v="0"/>
    <x v="0"/>
    <n v="0"/>
    <m/>
    <m/>
    <n v="0"/>
    <n v="0"/>
  </r>
  <r>
    <s v="US-6-budget"/>
    <x v="61"/>
    <s v="US-6"/>
    <x v="0"/>
    <s v="budget"/>
    <x v="22"/>
    <x v="0"/>
    <x v="4"/>
    <x v="4"/>
    <n v="30"/>
    <n v="2.1700000000000001E-2"/>
    <x v="0"/>
    <x v="2"/>
    <n v="0"/>
    <x v="0"/>
    <n v="0"/>
    <n v="0"/>
    <s v="monthly"/>
    <n v="1"/>
    <n v="1"/>
    <n v="0"/>
    <x v="0"/>
    <n v="0"/>
    <m/>
    <s v="document"/>
    <n v="50"/>
    <n v="0"/>
  </r>
  <r>
    <s v="US-6-contracts"/>
    <x v="61"/>
    <s v="US-6"/>
    <x v="3"/>
    <s v="contracts"/>
    <x v="23"/>
    <x v="0"/>
    <x v="4"/>
    <x v="4"/>
    <n v="31"/>
    <n v="2.1700000000000001E-2"/>
    <x v="0"/>
    <x v="2"/>
    <n v="50"/>
    <x v="2"/>
    <n v="0"/>
    <n v="0"/>
    <s v="monthly"/>
    <n v="1"/>
    <n v="1"/>
    <n v="0"/>
    <x v="1"/>
    <n v="1"/>
    <m/>
    <s v="document"/>
    <n v="50"/>
    <n v="50"/>
  </r>
  <r>
    <s v="US-6-evaluations"/>
    <x v="61"/>
    <s v="US-6"/>
    <x v="0"/>
    <s v="evaluations"/>
    <x v="24"/>
    <x v="0"/>
    <x v="4"/>
    <x v="4"/>
    <n v="28"/>
    <n v="2.1700000000000001E-2"/>
    <x v="0"/>
    <x v="2"/>
    <n v="0"/>
    <x v="0"/>
    <n v="0"/>
    <n v="0"/>
    <s v="monthly"/>
    <n v="1"/>
    <n v="1"/>
    <n v="0"/>
    <x v="2"/>
    <n v="0"/>
    <m/>
    <s v="document"/>
    <n v="50"/>
    <n v="0"/>
  </r>
  <r>
    <s v="US-6-mou"/>
    <x v="61"/>
    <s v="US-6"/>
    <x v="0"/>
    <s v="mou"/>
    <x v="25"/>
    <x v="0"/>
    <x v="4"/>
    <x v="4"/>
    <n v="27"/>
    <n v="2.1700000000000001E-2"/>
    <x v="0"/>
    <x v="2"/>
    <n v="0"/>
    <x v="0"/>
    <n v="0"/>
    <n v="0"/>
    <s v="monthly"/>
    <n v="1"/>
    <n v="1"/>
    <n v="0"/>
    <x v="0"/>
    <n v="0"/>
    <m/>
    <s v="document"/>
    <n v="50"/>
    <n v="0"/>
  </r>
  <r>
    <s v="US-6-objectives"/>
    <x v="61"/>
    <s v="US-6"/>
    <x v="3"/>
    <s v="objectives"/>
    <x v="26"/>
    <x v="0"/>
    <x v="4"/>
    <x v="4"/>
    <n v="29"/>
    <n v="2.1700000000000001E-2"/>
    <x v="0"/>
    <x v="2"/>
    <n v="50"/>
    <x v="2"/>
    <n v="0"/>
    <n v="0"/>
    <s v="monthly"/>
    <n v="1"/>
    <n v="1"/>
    <n v="0"/>
    <x v="1"/>
    <n v="1"/>
    <m/>
    <s v="document"/>
    <n v="50"/>
    <n v="50"/>
  </r>
  <r>
    <s v="US-6-tenders"/>
    <x v="61"/>
    <s v="US-6"/>
    <x v="3"/>
    <s v="tenders"/>
    <x v="27"/>
    <x v="0"/>
    <x v="4"/>
    <x v="4"/>
    <n v="32"/>
    <n v="2.1700000000000001E-2"/>
    <x v="0"/>
    <x v="2"/>
    <n v="50"/>
    <x v="2"/>
    <n v="0"/>
    <n v="0"/>
    <s v="monthly"/>
    <n v="1"/>
    <n v="1"/>
    <n v="0"/>
    <x v="1"/>
    <n v="1"/>
    <m/>
    <s v="document"/>
    <n v="50"/>
    <n v="50"/>
  </r>
  <r>
    <s v="US-6-audit"/>
    <x v="61"/>
    <s v="US-6"/>
    <x v="4"/>
    <s v="audit"/>
    <x v="28"/>
    <x v="1"/>
    <x v="2"/>
    <x v="5"/>
    <n v="11"/>
    <n v="4.1700000000000001E-2"/>
    <x v="0"/>
    <x v="2"/>
    <n v="50"/>
    <x v="2"/>
    <n v="0"/>
    <n v="0"/>
    <s v="monthly"/>
    <n v="1"/>
    <n v="1"/>
    <n v="0"/>
    <x v="1"/>
    <n v="1"/>
    <m/>
    <s v="document"/>
    <n v="50"/>
    <n v="50"/>
  </r>
  <r>
    <s v="US-6-total-budget"/>
    <x v="61"/>
    <s v="US-6"/>
    <x v="24"/>
    <s v="total-budget"/>
    <x v="29"/>
    <x v="1"/>
    <x v="2"/>
    <x v="5"/>
    <n v="9"/>
    <n v="4.1700000000000001E-2"/>
    <x v="0"/>
    <x v="3"/>
    <n v="5.5549999999999997"/>
    <x v="10"/>
    <n v="0"/>
    <n v="0"/>
    <s v="monthly"/>
    <n v="1"/>
    <n v="1"/>
    <n v="0"/>
    <x v="3"/>
    <n v="0"/>
    <n v="1"/>
    <s v="pdf"/>
    <n v="16.664999999999999"/>
    <n v="5.5549999999999997"/>
  </r>
  <r>
    <s v="US-6-strategy"/>
    <x v="61"/>
    <s v="US-6"/>
    <x v="6"/>
    <s v="strategy"/>
    <x v="31"/>
    <x v="1"/>
    <x v="5"/>
    <x v="6"/>
    <n v="4"/>
    <n v="2.5000000000000001E-2"/>
    <x v="0"/>
    <x v="2"/>
    <n v="50"/>
    <x v="2"/>
    <n v="0"/>
    <n v="0"/>
    <s v="monthly"/>
    <n v="1"/>
    <n v="1"/>
    <n v="0"/>
    <x v="1"/>
    <n v="1"/>
    <m/>
    <s v="document"/>
    <n v="50"/>
    <n v="50"/>
  </r>
  <r>
    <s v="US-6-annual-report"/>
    <x v="61"/>
    <s v="US-6"/>
    <x v="6"/>
    <s v="annual-report"/>
    <x v="32"/>
    <x v="1"/>
    <x v="5"/>
    <x v="6"/>
    <n v="5"/>
    <n v="2.5000000000000001E-2"/>
    <x v="0"/>
    <x v="2"/>
    <n v="50"/>
    <x v="2"/>
    <n v="0"/>
    <n v="0"/>
    <s v="monthly"/>
    <n v="1"/>
    <n v="1"/>
    <n v="0"/>
    <x v="1"/>
    <n v="1"/>
    <m/>
    <s v="document"/>
    <n v="50"/>
    <n v="50"/>
  </r>
  <r>
    <s v="US-6-allocation"/>
    <x v="61"/>
    <s v="US-6"/>
    <x v="6"/>
    <s v="allocation"/>
    <x v="33"/>
    <x v="1"/>
    <x v="5"/>
    <x v="6"/>
    <n v="6"/>
    <n v="2.5000000000000001E-2"/>
    <x v="0"/>
    <x v="2"/>
    <n v="50"/>
    <x v="2"/>
    <n v="0"/>
    <n v="0"/>
    <s v="monthly"/>
    <n v="1"/>
    <n v="1"/>
    <n v="0"/>
    <x v="1"/>
    <n v="1"/>
    <m/>
    <s v="document"/>
    <n v="50"/>
    <n v="50"/>
  </r>
  <r>
    <s v="US-6-procurement-policy"/>
    <x v="61"/>
    <s v="US-6"/>
    <x v="6"/>
    <s v="procurement-policy"/>
    <x v="34"/>
    <x v="1"/>
    <x v="5"/>
    <x v="6"/>
    <n v="7"/>
    <n v="2.5000000000000001E-2"/>
    <x v="0"/>
    <x v="2"/>
    <n v="50"/>
    <x v="2"/>
    <n v="0"/>
    <n v="0"/>
    <s v="monthly"/>
    <n v="1"/>
    <n v="1"/>
    <n v="0"/>
    <x v="1"/>
    <n v="1"/>
    <m/>
    <s v="document"/>
    <n v="50"/>
    <n v="50"/>
  </r>
  <r>
    <s v="US-6-country-strategy"/>
    <x v="61"/>
    <s v="US-6"/>
    <x v="0"/>
    <s v="country-strategy"/>
    <x v="35"/>
    <x v="1"/>
    <x v="5"/>
    <x v="6"/>
    <n v="8"/>
    <n v="2.5000000000000001E-2"/>
    <x v="0"/>
    <x v="2"/>
    <n v="0"/>
    <x v="0"/>
    <n v="0"/>
    <n v="0"/>
    <s v="monthly"/>
    <n v="1"/>
    <n v="1"/>
    <n v="0"/>
    <x v="0"/>
    <n v="0"/>
    <m/>
    <s v="document"/>
    <n v="50"/>
    <n v="0"/>
  </r>
  <r>
    <s v="US-6-foia"/>
    <x v="61"/>
    <s v="US-6"/>
    <x v="15"/>
    <s v="foia"/>
    <x v="36"/>
    <x v="2"/>
    <x v="6"/>
    <x v="7"/>
    <n v="1"/>
    <n v="3.3300000000000003E-2"/>
    <x v="0"/>
    <x v="5"/>
    <n v="66.66"/>
    <x v="6"/>
    <n v="0"/>
    <n v="0"/>
    <s v="monthly"/>
    <n v="1"/>
    <n v="1"/>
    <n v="0"/>
    <x v="3"/>
    <n v="0"/>
    <n v="66.66"/>
    <m/>
    <n v="0"/>
    <n v="66.66"/>
  </r>
  <r>
    <s v="US-6-accessibility"/>
    <x v="61"/>
    <s v="US-6"/>
    <x v="15"/>
    <s v="accessibility"/>
    <x v="37"/>
    <x v="2"/>
    <x v="6"/>
    <x v="7"/>
    <n v="3"/>
    <n v="3.3300000000000003E-2"/>
    <x v="0"/>
    <x v="5"/>
    <n v="66.66"/>
    <x v="6"/>
    <n v="0"/>
    <n v="0"/>
    <s v="monthly"/>
    <n v="1"/>
    <n v="1"/>
    <n v="0"/>
    <x v="3"/>
    <n v="0"/>
    <n v="66.66"/>
    <m/>
    <n v="0"/>
    <n v="66.66"/>
  </r>
  <r>
    <s v="US-6-implementation-schedules"/>
    <x v="61"/>
    <s v="US-6"/>
    <x v="133"/>
    <s v="implementation-schedules"/>
    <x v="38"/>
    <x v="2"/>
    <x v="6"/>
    <x v="7"/>
    <n v="2"/>
    <n v="3.3300000000000003E-2"/>
    <x v="0"/>
    <x v="5"/>
    <n v="31"/>
    <x v="95"/>
    <n v="0"/>
    <n v="0"/>
    <s v="monthly"/>
    <n v="1"/>
    <n v="1"/>
    <n v="0"/>
    <x v="3"/>
    <n v="0"/>
    <n v="31"/>
    <m/>
    <n v="0"/>
    <n v="31"/>
  </r>
  <r>
    <s v="CN-1-dates-actual"/>
    <x v="62"/>
    <s v="CN-1"/>
    <x v="0"/>
    <s v="dates-actual"/>
    <x v="0"/>
    <x v="0"/>
    <x v="0"/>
    <x v="0"/>
    <n v="17"/>
    <n v="1.6299999999999999E-2"/>
    <x v="0"/>
    <x v="1"/>
    <n v="0"/>
    <x v="0"/>
    <n v="0"/>
    <n v="0"/>
    <m/>
    <n v="1"/>
    <n v="1"/>
    <n v="0"/>
    <x v="2"/>
    <n v="0"/>
    <m/>
    <s v="website"/>
    <n v="33.33"/>
    <n v="0"/>
  </r>
  <r>
    <s v="CN-1-contact-details"/>
    <x v="62"/>
    <s v="CN-1"/>
    <x v="0"/>
    <s v="contact-details"/>
    <x v="1"/>
    <x v="0"/>
    <x v="0"/>
    <x v="0"/>
    <n v="19"/>
    <n v="1.6299999999999999E-2"/>
    <x v="0"/>
    <x v="0"/>
    <n v="0"/>
    <x v="0"/>
    <n v="0"/>
    <n v="0"/>
    <m/>
    <n v="1"/>
    <n v="1"/>
    <n v="0"/>
    <x v="0"/>
    <n v="0"/>
    <m/>
    <m/>
    <n v="0"/>
    <n v="0"/>
  </r>
  <r>
    <s v="CN-1-current-status"/>
    <x v="62"/>
    <s v="CN-1"/>
    <x v="0"/>
    <s v="current-status"/>
    <x v="2"/>
    <x v="0"/>
    <x v="0"/>
    <x v="0"/>
    <n v="18"/>
    <n v="1.6299999999999999E-2"/>
    <x v="0"/>
    <x v="1"/>
    <n v="0"/>
    <x v="0"/>
    <n v="0"/>
    <n v="0"/>
    <m/>
    <n v="1"/>
    <n v="1"/>
    <n v="0"/>
    <x v="2"/>
    <n v="0"/>
    <m/>
    <s v="website"/>
    <n v="33.33"/>
    <n v="0"/>
  </r>
  <r>
    <s v="CN-1-description"/>
    <x v="62"/>
    <s v="CN-1"/>
    <x v="0"/>
    <s v="description"/>
    <x v="3"/>
    <x v="0"/>
    <x v="0"/>
    <x v="0"/>
    <n v="15"/>
    <n v="1.6299999999999999E-2"/>
    <x v="0"/>
    <x v="1"/>
    <n v="0"/>
    <x v="0"/>
    <n v="0"/>
    <n v="0"/>
    <m/>
    <n v="1"/>
    <n v="1"/>
    <n v="0"/>
    <x v="2"/>
    <n v="0"/>
    <m/>
    <s v="website"/>
    <n v="33.33"/>
    <n v="0"/>
  </r>
  <r>
    <s v="CN-1-implementer"/>
    <x v="62"/>
    <s v="CN-1"/>
    <x v="0"/>
    <s v="implementer"/>
    <x v="4"/>
    <x v="0"/>
    <x v="0"/>
    <x v="0"/>
    <n v="12"/>
    <n v="1.6299999999999999E-2"/>
    <x v="0"/>
    <x v="0"/>
    <n v="0"/>
    <x v="0"/>
    <n v="0"/>
    <n v="0"/>
    <m/>
    <n v="1"/>
    <n v="1"/>
    <n v="0"/>
    <x v="2"/>
    <n v="0"/>
    <m/>
    <m/>
    <n v="0"/>
    <n v="0"/>
  </r>
  <r>
    <s v="CN-1-dates-planned"/>
    <x v="62"/>
    <s v="CN-1"/>
    <x v="0"/>
    <s v="dates-planned"/>
    <x v="5"/>
    <x v="0"/>
    <x v="0"/>
    <x v="0"/>
    <n v="16"/>
    <n v="1.6299999999999999E-2"/>
    <x v="0"/>
    <x v="0"/>
    <n v="0"/>
    <x v="0"/>
    <n v="0"/>
    <n v="0"/>
    <m/>
    <n v="1"/>
    <n v="1"/>
    <n v="0"/>
    <x v="0"/>
    <n v="0"/>
    <m/>
    <m/>
    <n v="0"/>
    <n v="0"/>
  </r>
  <r>
    <s v="CN-1-title"/>
    <x v="62"/>
    <s v="CN-1"/>
    <x v="0"/>
    <s v="title"/>
    <x v="6"/>
    <x v="0"/>
    <x v="0"/>
    <x v="0"/>
    <n v="14"/>
    <n v="1.6299999999999999E-2"/>
    <x v="0"/>
    <x v="0"/>
    <n v="0"/>
    <x v="0"/>
    <n v="0"/>
    <n v="0"/>
    <m/>
    <n v="1"/>
    <n v="1"/>
    <n v="0"/>
    <x v="0"/>
    <n v="0"/>
    <m/>
    <m/>
    <n v="0"/>
    <n v="0"/>
  </r>
  <r>
    <s v="CN-1-unique-id"/>
    <x v="62"/>
    <s v="CN-1"/>
    <x v="0"/>
    <s v="unique-id"/>
    <x v="7"/>
    <x v="0"/>
    <x v="0"/>
    <x v="0"/>
    <n v="13"/>
    <n v="1.6299999999999999E-2"/>
    <x v="0"/>
    <x v="0"/>
    <n v="0"/>
    <x v="0"/>
    <n v="0"/>
    <n v="0"/>
    <m/>
    <n v="1"/>
    <n v="1"/>
    <n v="0"/>
    <x v="0"/>
    <n v="0"/>
    <m/>
    <m/>
    <n v="0"/>
    <n v="0"/>
  </r>
  <r>
    <s v="CN-1-aid-type"/>
    <x v="62"/>
    <s v="CN-1"/>
    <x v="0"/>
    <s v="aid-type"/>
    <x v="8"/>
    <x v="0"/>
    <x v="1"/>
    <x v="1"/>
    <n v="22"/>
    <n v="1.8599999999999998E-2"/>
    <x v="0"/>
    <x v="1"/>
    <n v="0"/>
    <x v="0"/>
    <n v="0"/>
    <n v="0"/>
    <m/>
    <n v="1"/>
    <n v="1"/>
    <n v="0"/>
    <x v="2"/>
    <n v="0"/>
    <m/>
    <s v="website"/>
    <n v="33.33"/>
    <n v="0"/>
  </r>
  <r>
    <s v="CN-1-collaboration-type"/>
    <x v="62"/>
    <s v="CN-1"/>
    <x v="0"/>
    <s v="collaboration-type"/>
    <x v="9"/>
    <x v="0"/>
    <x v="1"/>
    <x v="1"/>
    <n v="20"/>
    <n v="1.8599999999999998E-2"/>
    <x v="0"/>
    <x v="1"/>
    <n v="0"/>
    <x v="0"/>
    <n v="0"/>
    <n v="0"/>
    <m/>
    <n v="1"/>
    <n v="1"/>
    <n v="0"/>
    <x v="2"/>
    <n v="0"/>
    <m/>
    <s v="website"/>
    <n v="33.33"/>
    <n v="0"/>
  </r>
  <r>
    <s v="CN-1-finance-type"/>
    <x v="62"/>
    <s v="CN-1"/>
    <x v="0"/>
    <s v="finance-type"/>
    <x v="10"/>
    <x v="0"/>
    <x v="1"/>
    <x v="1"/>
    <n v="23"/>
    <n v="1.8599999999999998E-2"/>
    <x v="0"/>
    <x v="1"/>
    <n v="0"/>
    <x v="0"/>
    <n v="0"/>
    <n v="0"/>
    <m/>
    <n v="1"/>
    <n v="1"/>
    <n v="0"/>
    <x v="2"/>
    <n v="0"/>
    <m/>
    <s v="website"/>
    <n v="33.33"/>
    <n v="0"/>
  </r>
  <r>
    <s v="CN-1-flow-type"/>
    <x v="62"/>
    <s v="CN-1"/>
    <x v="0"/>
    <s v="flow-type"/>
    <x v="11"/>
    <x v="0"/>
    <x v="1"/>
    <x v="1"/>
    <n v="21"/>
    <n v="1.8599999999999998E-2"/>
    <x v="0"/>
    <x v="0"/>
    <n v="0"/>
    <x v="0"/>
    <n v="0"/>
    <n v="0"/>
    <m/>
    <n v="1"/>
    <n v="1"/>
    <n v="0"/>
    <x v="0"/>
    <n v="0"/>
    <m/>
    <m/>
    <n v="0"/>
    <n v="0"/>
  </r>
  <r>
    <s v="CN-1-sector"/>
    <x v="62"/>
    <s v="CN-1"/>
    <x v="0"/>
    <s v="sector"/>
    <x v="12"/>
    <x v="0"/>
    <x v="1"/>
    <x v="1"/>
    <n v="24"/>
    <n v="1.8599999999999998E-2"/>
    <x v="0"/>
    <x v="1"/>
    <n v="0"/>
    <x v="0"/>
    <n v="0"/>
    <n v="0"/>
    <m/>
    <n v="1"/>
    <n v="1"/>
    <n v="0"/>
    <x v="2"/>
    <n v="0"/>
    <m/>
    <s v="website"/>
    <n v="33.33"/>
    <n v="0"/>
  </r>
  <r>
    <s v="CN-1-location"/>
    <x v="62"/>
    <s v="CN-1"/>
    <x v="0"/>
    <s v="location"/>
    <x v="13"/>
    <x v="0"/>
    <x v="1"/>
    <x v="1"/>
    <n v="25"/>
    <n v="1.8599999999999998E-2"/>
    <x v="0"/>
    <x v="0"/>
    <n v="0"/>
    <x v="0"/>
    <n v="0"/>
    <n v="0"/>
    <m/>
    <n v="1"/>
    <n v="1"/>
    <n v="0"/>
    <x v="0"/>
    <n v="0"/>
    <m/>
    <m/>
    <n v="0"/>
    <n v="0"/>
  </r>
  <r>
    <s v="CN-1-tied-aid-status"/>
    <x v="62"/>
    <s v="CN-1"/>
    <x v="0"/>
    <s v="tied-aid-status"/>
    <x v="14"/>
    <x v="0"/>
    <x v="1"/>
    <x v="1"/>
    <n v="26"/>
    <n v="1.8599999999999998E-2"/>
    <x v="0"/>
    <x v="0"/>
    <n v="0"/>
    <x v="0"/>
    <n v="0"/>
    <n v="0"/>
    <m/>
    <n v="1"/>
    <n v="1"/>
    <n v="0"/>
    <x v="0"/>
    <n v="0"/>
    <m/>
    <m/>
    <n v="0"/>
    <n v="0"/>
  </r>
  <r>
    <s v="CN-1-expenditure-actual"/>
    <x v="62"/>
    <s v="CN-1"/>
    <x v="0"/>
    <s v="expenditure-actual"/>
    <x v="15"/>
    <x v="0"/>
    <x v="2"/>
    <x v="2"/>
    <n v="35"/>
    <n v="3.2500000000000001E-2"/>
    <x v="0"/>
    <x v="0"/>
    <n v="0"/>
    <x v="0"/>
    <n v="0"/>
    <n v="0"/>
    <m/>
    <n v="1"/>
    <n v="1"/>
    <n v="0"/>
    <x v="0"/>
    <n v="0"/>
    <m/>
    <m/>
    <n v="0"/>
    <n v="0"/>
  </r>
  <r>
    <s v="CN-1-cost-overall"/>
    <x v="62"/>
    <s v="CN-1"/>
    <x v="0"/>
    <s v="cost-overall"/>
    <x v="16"/>
    <x v="0"/>
    <x v="2"/>
    <x v="2"/>
    <n v="33"/>
    <n v="3.2500000000000001E-2"/>
    <x v="0"/>
    <x v="0"/>
    <n v="0"/>
    <x v="0"/>
    <n v="0"/>
    <n v="0"/>
    <m/>
    <n v="1"/>
    <n v="1"/>
    <n v="0"/>
    <x v="0"/>
    <n v="0"/>
    <m/>
    <m/>
    <n v="0"/>
    <n v="0"/>
  </r>
  <r>
    <s v="CN-1-expenditure-planned"/>
    <x v="62"/>
    <s v="CN-1"/>
    <x v="0"/>
    <s v="expenditure-planned"/>
    <x v="17"/>
    <x v="0"/>
    <x v="2"/>
    <x v="2"/>
    <n v="34"/>
    <n v="3.2500000000000001E-2"/>
    <x v="0"/>
    <x v="1"/>
    <n v="0"/>
    <x v="0"/>
    <n v="0"/>
    <n v="0"/>
    <m/>
    <n v="1"/>
    <n v="1"/>
    <n v="0"/>
    <x v="2"/>
    <n v="0"/>
    <m/>
    <s v="website"/>
    <n v="33.33"/>
    <n v="0"/>
  </r>
  <r>
    <s v="CN-1-budget-identifier"/>
    <x v="62"/>
    <s v="CN-1"/>
    <x v="0"/>
    <s v="budget-identifier"/>
    <x v="18"/>
    <x v="0"/>
    <x v="2"/>
    <x v="2"/>
    <n v="36"/>
    <n v="3.2500000000000001E-2"/>
    <x v="0"/>
    <x v="0"/>
    <n v="0"/>
    <x v="0"/>
    <n v="0"/>
    <n v="0"/>
    <m/>
    <n v="1"/>
    <n v="1"/>
    <n v="0"/>
    <x v="0"/>
    <n v="0"/>
    <m/>
    <m/>
    <n v="0"/>
    <n v="0"/>
  </r>
  <r>
    <s v="CN-1-conditions"/>
    <x v="62"/>
    <s v="CN-1"/>
    <x v="0"/>
    <s v="conditions"/>
    <x v="19"/>
    <x v="0"/>
    <x v="3"/>
    <x v="3"/>
    <n v="39"/>
    <n v="4.3299999999999998E-2"/>
    <x v="0"/>
    <x v="2"/>
    <n v="0"/>
    <x v="0"/>
    <n v="0"/>
    <n v="0"/>
    <m/>
    <n v="1"/>
    <n v="1"/>
    <n v="0"/>
    <x v="0"/>
    <n v="0"/>
    <m/>
    <s v="document"/>
    <n v="50"/>
    <n v="0"/>
  </r>
  <r>
    <s v="CN-1-impact-appraisals"/>
    <x v="62"/>
    <s v="CN-1"/>
    <x v="0"/>
    <s v="impact-appraisals"/>
    <x v="20"/>
    <x v="0"/>
    <x v="3"/>
    <x v="3"/>
    <n v="38"/>
    <n v="4.3299999999999998E-2"/>
    <x v="0"/>
    <x v="2"/>
    <n v="0"/>
    <x v="0"/>
    <n v="0"/>
    <n v="0"/>
    <m/>
    <n v="1"/>
    <n v="1"/>
    <n v="0"/>
    <x v="0"/>
    <n v="0"/>
    <m/>
    <s v="document"/>
    <n v="50"/>
    <n v="0"/>
  </r>
  <r>
    <s v="CN-1-results"/>
    <x v="62"/>
    <s v="CN-1"/>
    <x v="0"/>
    <s v="results"/>
    <x v="21"/>
    <x v="0"/>
    <x v="3"/>
    <x v="3"/>
    <n v="37"/>
    <n v="4.3299999999999998E-2"/>
    <x v="0"/>
    <x v="0"/>
    <n v="0"/>
    <x v="0"/>
    <n v="0"/>
    <n v="0"/>
    <m/>
    <n v="1"/>
    <n v="1"/>
    <n v="0"/>
    <x v="0"/>
    <n v="0"/>
    <m/>
    <m/>
    <n v="0"/>
    <n v="0"/>
  </r>
  <r>
    <s v="CN-1-budget"/>
    <x v="62"/>
    <s v="CN-1"/>
    <x v="0"/>
    <s v="budget"/>
    <x v="22"/>
    <x v="0"/>
    <x v="4"/>
    <x v="4"/>
    <n v="30"/>
    <n v="2.1700000000000001E-2"/>
    <x v="0"/>
    <x v="2"/>
    <n v="0"/>
    <x v="0"/>
    <n v="0"/>
    <n v="0"/>
    <m/>
    <n v="1"/>
    <n v="1"/>
    <n v="0"/>
    <x v="0"/>
    <n v="0"/>
    <m/>
    <s v="document"/>
    <n v="50"/>
    <n v="0"/>
  </r>
  <r>
    <s v="CN-1-contracts"/>
    <x v="62"/>
    <s v="CN-1"/>
    <x v="0"/>
    <s v="contracts"/>
    <x v="23"/>
    <x v="0"/>
    <x v="4"/>
    <x v="4"/>
    <n v="31"/>
    <n v="2.1700000000000001E-2"/>
    <x v="0"/>
    <x v="2"/>
    <n v="0"/>
    <x v="0"/>
    <n v="0"/>
    <n v="0"/>
    <m/>
    <n v="1"/>
    <n v="1"/>
    <n v="0"/>
    <x v="0"/>
    <n v="0"/>
    <m/>
    <s v="document"/>
    <n v="50"/>
    <n v="0"/>
  </r>
  <r>
    <s v="CN-1-evaluations"/>
    <x v="62"/>
    <s v="CN-1"/>
    <x v="0"/>
    <s v="evaluations"/>
    <x v="24"/>
    <x v="0"/>
    <x v="4"/>
    <x v="4"/>
    <n v="28"/>
    <n v="2.1700000000000001E-2"/>
    <x v="0"/>
    <x v="2"/>
    <n v="0"/>
    <x v="0"/>
    <n v="0"/>
    <n v="0"/>
    <m/>
    <n v="1"/>
    <n v="1"/>
    <n v="0"/>
    <x v="0"/>
    <n v="0"/>
    <m/>
    <s v="document"/>
    <n v="50"/>
    <n v="0"/>
  </r>
  <r>
    <s v="CN-1-mou"/>
    <x v="62"/>
    <s v="CN-1"/>
    <x v="0"/>
    <s v="mou"/>
    <x v="25"/>
    <x v="0"/>
    <x v="4"/>
    <x v="4"/>
    <n v="27"/>
    <n v="2.1700000000000001E-2"/>
    <x v="0"/>
    <x v="2"/>
    <n v="0"/>
    <x v="0"/>
    <n v="0"/>
    <n v="0"/>
    <m/>
    <n v="1"/>
    <n v="1"/>
    <n v="0"/>
    <x v="0"/>
    <n v="0"/>
    <m/>
    <s v="document"/>
    <n v="50"/>
    <n v="0"/>
  </r>
  <r>
    <s v="CN-1-objectives"/>
    <x v="62"/>
    <s v="CN-1"/>
    <x v="0"/>
    <s v="objectives"/>
    <x v="26"/>
    <x v="0"/>
    <x v="4"/>
    <x v="4"/>
    <n v="29"/>
    <n v="2.1700000000000001E-2"/>
    <x v="0"/>
    <x v="2"/>
    <n v="0"/>
    <x v="0"/>
    <n v="0"/>
    <n v="0"/>
    <m/>
    <n v="1"/>
    <n v="1"/>
    <n v="0"/>
    <x v="0"/>
    <n v="0"/>
    <m/>
    <s v="document"/>
    <n v="50"/>
    <n v="0"/>
  </r>
  <r>
    <s v="CN-1-tenders"/>
    <x v="62"/>
    <s v="CN-1"/>
    <x v="0"/>
    <s v="tenders"/>
    <x v="27"/>
    <x v="0"/>
    <x v="4"/>
    <x v="4"/>
    <n v="32"/>
    <n v="2.1700000000000001E-2"/>
    <x v="0"/>
    <x v="2"/>
    <n v="0"/>
    <x v="0"/>
    <n v="0"/>
    <n v="0"/>
    <m/>
    <n v="1"/>
    <n v="1"/>
    <n v="0"/>
    <x v="0"/>
    <n v="0"/>
    <m/>
    <s v="document"/>
    <n v="50"/>
    <n v="0"/>
  </r>
  <r>
    <s v="CN-1-audit"/>
    <x v="62"/>
    <s v="CN-1"/>
    <x v="0"/>
    <s v="audit"/>
    <x v="28"/>
    <x v="1"/>
    <x v="2"/>
    <x v="5"/>
    <n v="11"/>
    <n v="4.1700000000000001E-2"/>
    <x v="0"/>
    <x v="2"/>
    <n v="0"/>
    <x v="0"/>
    <n v="0"/>
    <n v="0"/>
    <m/>
    <n v="1"/>
    <n v="1"/>
    <n v="0"/>
    <x v="0"/>
    <n v="0"/>
    <m/>
    <s v="document"/>
    <n v="50"/>
    <n v="0"/>
  </r>
  <r>
    <s v="CN-1-total-budget"/>
    <x v="62"/>
    <s v="CN-1"/>
    <x v="0"/>
    <s v="total-budget"/>
    <x v="29"/>
    <x v="1"/>
    <x v="2"/>
    <x v="5"/>
    <n v="9"/>
    <n v="4.1700000000000001E-2"/>
    <x v="0"/>
    <x v="0"/>
    <n v="0"/>
    <x v="0"/>
    <n v="0"/>
    <n v="0"/>
    <m/>
    <n v="1"/>
    <n v="1"/>
    <n v="0"/>
    <x v="3"/>
    <n v="0"/>
    <n v="0"/>
    <m/>
    <n v="0"/>
    <n v="0"/>
  </r>
  <r>
    <s v="CN-1-disaggregated-budgets"/>
    <x v="62"/>
    <s v="CN-1"/>
    <x v="0"/>
    <s v="disaggregated-budgets"/>
    <x v="30"/>
    <x v="1"/>
    <x v="2"/>
    <x v="5"/>
    <n v="10"/>
    <n v="4.1700000000000001E-2"/>
    <x v="0"/>
    <x v="0"/>
    <n v="0"/>
    <x v="0"/>
    <n v="0"/>
    <n v="0"/>
    <m/>
    <n v="1"/>
    <n v="1"/>
    <n v="0"/>
    <x v="3"/>
    <n v="0"/>
    <n v="0"/>
    <m/>
    <n v="0"/>
    <n v="0"/>
  </r>
  <r>
    <s v="CN-1-strategy"/>
    <x v="62"/>
    <s v="CN-1"/>
    <x v="0"/>
    <s v="strategy"/>
    <x v="31"/>
    <x v="1"/>
    <x v="5"/>
    <x v="6"/>
    <n v="4"/>
    <n v="2.5000000000000001E-2"/>
    <x v="0"/>
    <x v="2"/>
    <n v="0"/>
    <x v="0"/>
    <n v="0"/>
    <n v="0"/>
    <m/>
    <n v="1"/>
    <n v="1"/>
    <n v="0"/>
    <x v="2"/>
    <n v="0"/>
    <m/>
    <s v="document"/>
    <n v="50"/>
    <n v="0"/>
  </r>
  <r>
    <s v="CN-1-annual-report"/>
    <x v="62"/>
    <s v="CN-1"/>
    <x v="0"/>
    <s v="annual-report"/>
    <x v="32"/>
    <x v="1"/>
    <x v="5"/>
    <x v="6"/>
    <n v="5"/>
    <n v="2.5000000000000001E-2"/>
    <x v="0"/>
    <x v="2"/>
    <n v="0"/>
    <x v="0"/>
    <n v="0"/>
    <n v="0"/>
    <m/>
    <n v="1"/>
    <n v="1"/>
    <n v="0"/>
    <x v="0"/>
    <n v="0"/>
    <m/>
    <s v="document"/>
    <n v="50"/>
    <n v="0"/>
  </r>
  <r>
    <s v="CN-1-allocation"/>
    <x v="62"/>
    <s v="CN-1"/>
    <x v="0"/>
    <s v="allocation"/>
    <x v="33"/>
    <x v="1"/>
    <x v="5"/>
    <x v="6"/>
    <n v="6"/>
    <n v="2.5000000000000001E-2"/>
    <x v="0"/>
    <x v="2"/>
    <n v="0"/>
    <x v="0"/>
    <n v="0"/>
    <n v="0"/>
    <m/>
    <n v="1"/>
    <n v="1"/>
    <n v="0"/>
    <x v="2"/>
    <n v="0"/>
    <m/>
    <s v="document"/>
    <n v="50"/>
    <n v="0"/>
  </r>
  <r>
    <s v="CN-1-procurement-policy"/>
    <x v="62"/>
    <s v="CN-1"/>
    <x v="0"/>
    <s v="procurement-policy"/>
    <x v="34"/>
    <x v="1"/>
    <x v="5"/>
    <x v="6"/>
    <n v="7"/>
    <n v="2.5000000000000001E-2"/>
    <x v="0"/>
    <x v="2"/>
    <n v="0"/>
    <x v="0"/>
    <n v="0"/>
    <n v="0"/>
    <m/>
    <n v="1"/>
    <n v="1"/>
    <n v="0"/>
    <x v="0"/>
    <n v="0"/>
    <m/>
    <s v="document"/>
    <n v="50"/>
    <n v="0"/>
  </r>
  <r>
    <s v="CN-1-country-strategy"/>
    <x v="62"/>
    <s v="CN-1"/>
    <x v="0"/>
    <s v="country-strategy"/>
    <x v="35"/>
    <x v="1"/>
    <x v="5"/>
    <x v="6"/>
    <n v="8"/>
    <n v="2.5000000000000001E-2"/>
    <x v="0"/>
    <x v="2"/>
    <n v="0"/>
    <x v="0"/>
    <n v="0"/>
    <n v="0"/>
    <m/>
    <n v="1"/>
    <n v="1"/>
    <n v="0"/>
    <x v="0"/>
    <n v="0"/>
    <m/>
    <s v="document"/>
    <n v="50"/>
    <n v="0"/>
  </r>
  <r>
    <s v="CN-1-foia"/>
    <x v="62"/>
    <s v="CN-1"/>
    <x v="15"/>
    <s v="foia"/>
    <x v="36"/>
    <x v="2"/>
    <x v="6"/>
    <x v="7"/>
    <n v="1"/>
    <n v="3.3300000000000003E-2"/>
    <x v="0"/>
    <x v="5"/>
    <n v="66.66"/>
    <x v="6"/>
    <n v="0"/>
    <n v="0"/>
    <m/>
    <n v="1"/>
    <n v="1"/>
    <n v="0"/>
    <x v="3"/>
    <n v="0"/>
    <n v="66.66"/>
    <m/>
    <n v="0"/>
    <n v="66.66"/>
  </r>
  <r>
    <s v="CN-1-accessibility"/>
    <x v="62"/>
    <s v="CN-1"/>
    <x v="0"/>
    <s v="accessibility"/>
    <x v="37"/>
    <x v="2"/>
    <x v="6"/>
    <x v="7"/>
    <n v="3"/>
    <n v="3.3300000000000003E-2"/>
    <x v="0"/>
    <x v="5"/>
    <n v="0"/>
    <x v="0"/>
    <n v="0"/>
    <n v="0"/>
    <m/>
    <n v="1"/>
    <n v="1"/>
    <n v="0"/>
    <x v="3"/>
    <n v="0"/>
    <n v="0"/>
    <m/>
    <n v="0"/>
    <n v="0"/>
  </r>
  <r>
    <s v="CN-1-implementation-schedules"/>
    <x v="62"/>
    <s v="CN-1"/>
    <x v="0"/>
    <s v="implementation-schedules"/>
    <x v="38"/>
    <x v="2"/>
    <x v="6"/>
    <x v="7"/>
    <n v="2"/>
    <n v="3.3300000000000003E-2"/>
    <x v="0"/>
    <x v="5"/>
    <n v="0"/>
    <x v="0"/>
    <n v="0"/>
    <n v="0"/>
    <m/>
    <n v="1"/>
    <n v="1"/>
    <n v="0"/>
    <x v="3"/>
    <n v="0"/>
    <n v="0"/>
    <m/>
    <n v="0"/>
    <n v="0"/>
  </r>
  <r>
    <s v="DE-11-dates-actual"/>
    <x v="63"/>
    <s v="DE-11"/>
    <x v="0"/>
    <s v="dates-actual"/>
    <x v="0"/>
    <x v="0"/>
    <x v="0"/>
    <x v="0"/>
    <n v="17"/>
    <n v="1.6299999999999999E-2"/>
    <x v="0"/>
    <x v="0"/>
    <n v="0"/>
    <x v="0"/>
    <n v="0"/>
    <n v="0"/>
    <m/>
    <n v="1"/>
    <n v="1"/>
    <n v="0"/>
    <x v="0"/>
    <n v="0"/>
    <m/>
    <m/>
    <n v="0"/>
    <n v="0"/>
  </r>
  <r>
    <s v="DE-11-contact-details"/>
    <x v="63"/>
    <s v="DE-11"/>
    <x v="1"/>
    <s v="contact-details"/>
    <x v="1"/>
    <x v="0"/>
    <x v="0"/>
    <x v="0"/>
    <n v="19"/>
    <n v="1.6299999999999999E-2"/>
    <x v="0"/>
    <x v="1"/>
    <n v="33.33"/>
    <x v="1"/>
    <n v="0"/>
    <n v="0"/>
    <m/>
    <n v="1"/>
    <n v="1"/>
    <n v="0"/>
    <x v="1"/>
    <n v="1"/>
    <m/>
    <s v="website"/>
    <n v="33.33"/>
    <n v="33.33"/>
  </r>
  <r>
    <s v="DE-11-current-status"/>
    <x v="63"/>
    <s v="DE-11"/>
    <x v="0"/>
    <s v="current-status"/>
    <x v="2"/>
    <x v="0"/>
    <x v="0"/>
    <x v="0"/>
    <n v="18"/>
    <n v="1.6299999999999999E-2"/>
    <x v="0"/>
    <x v="0"/>
    <n v="0"/>
    <x v="0"/>
    <n v="0"/>
    <n v="0"/>
    <m/>
    <n v="1"/>
    <n v="1"/>
    <n v="0"/>
    <x v="0"/>
    <n v="0"/>
    <m/>
    <m/>
    <n v="0"/>
    <n v="0"/>
  </r>
  <r>
    <s v="DE-11-description"/>
    <x v="63"/>
    <s v="DE-11"/>
    <x v="0"/>
    <s v="description"/>
    <x v="3"/>
    <x v="0"/>
    <x v="0"/>
    <x v="0"/>
    <n v="15"/>
    <n v="1.6299999999999999E-2"/>
    <x v="0"/>
    <x v="1"/>
    <n v="0"/>
    <x v="0"/>
    <n v="0"/>
    <n v="0"/>
    <m/>
    <n v="1"/>
    <n v="1"/>
    <n v="0"/>
    <x v="2"/>
    <n v="0"/>
    <m/>
    <s v="website"/>
    <n v="33.33"/>
    <n v="0"/>
  </r>
  <r>
    <s v="DE-11-implementer"/>
    <x v="63"/>
    <s v="DE-11"/>
    <x v="0"/>
    <s v="implementer"/>
    <x v="4"/>
    <x v="0"/>
    <x v="0"/>
    <x v="0"/>
    <n v="12"/>
    <n v="1.6299999999999999E-2"/>
    <x v="0"/>
    <x v="1"/>
    <n v="0"/>
    <x v="0"/>
    <n v="0"/>
    <n v="0"/>
    <m/>
    <n v="1"/>
    <n v="1"/>
    <n v="0"/>
    <x v="2"/>
    <n v="0"/>
    <m/>
    <s v="website"/>
    <n v="33.33"/>
    <n v="0"/>
  </r>
  <r>
    <s v="DE-11-dates-planned"/>
    <x v="63"/>
    <s v="DE-11"/>
    <x v="0"/>
    <s v="dates-planned"/>
    <x v="5"/>
    <x v="0"/>
    <x v="0"/>
    <x v="0"/>
    <n v="16"/>
    <n v="1.6299999999999999E-2"/>
    <x v="0"/>
    <x v="0"/>
    <n v="0"/>
    <x v="0"/>
    <n v="0"/>
    <n v="0"/>
    <m/>
    <n v="1"/>
    <n v="1"/>
    <n v="0"/>
    <x v="0"/>
    <n v="0"/>
    <m/>
    <m/>
    <n v="0"/>
    <n v="0"/>
  </r>
  <r>
    <s v="DE-11-title"/>
    <x v="63"/>
    <s v="DE-11"/>
    <x v="0"/>
    <s v="title"/>
    <x v="6"/>
    <x v="0"/>
    <x v="0"/>
    <x v="0"/>
    <n v="14"/>
    <n v="1.6299999999999999E-2"/>
    <x v="0"/>
    <x v="1"/>
    <n v="0"/>
    <x v="0"/>
    <n v="0"/>
    <n v="0"/>
    <m/>
    <n v="1"/>
    <n v="1"/>
    <n v="0"/>
    <x v="2"/>
    <n v="0"/>
    <m/>
    <s v="website"/>
    <n v="33.33"/>
    <n v="0"/>
  </r>
  <r>
    <s v="DE-11-unique-id"/>
    <x v="63"/>
    <s v="DE-11"/>
    <x v="0"/>
    <s v="unique-id"/>
    <x v="7"/>
    <x v="0"/>
    <x v="0"/>
    <x v="0"/>
    <n v="13"/>
    <n v="1.6299999999999999E-2"/>
    <x v="0"/>
    <x v="0"/>
    <n v="0"/>
    <x v="0"/>
    <n v="0"/>
    <n v="0"/>
    <m/>
    <n v="1"/>
    <n v="1"/>
    <n v="0"/>
    <x v="0"/>
    <n v="0"/>
    <m/>
    <m/>
    <n v="0"/>
    <n v="0"/>
  </r>
  <r>
    <s v="DE-11-aid-type"/>
    <x v="63"/>
    <s v="DE-11"/>
    <x v="0"/>
    <s v="aid-type"/>
    <x v="8"/>
    <x v="0"/>
    <x v="1"/>
    <x v="1"/>
    <n v="22"/>
    <n v="1.8599999999999998E-2"/>
    <x v="0"/>
    <x v="0"/>
    <n v="0"/>
    <x v="0"/>
    <n v="0"/>
    <n v="0"/>
    <m/>
    <n v="1"/>
    <n v="1"/>
    <n v="0"/>
    <x v="0"/>
    <n v="0"/>
    <m/>
    <m/>
    <n v="0"/>
    <n v="0"/>
  </r>
  <r>
    <s v="DE-11-collaboration-type"/>
    <x v="63"/>
    <s v="DE-11"/>
    <x v="0"/>
    <s v="collaboration-type"/>
    <x v="9"/>
    <x v="0"/>
    <x v="1"/>
    <x v="1"/>
    <n v="20"/>
    <n v="1.8599999999999998E-2"/>
    <x v="0"/>
    <x v="0"/>
    <n v="0"/>
    <x v="0"/>
    <n v="0"/>
    <n v="0"/>
    <m/>
    <n v="1"/>
    <n v="1"/>
    <n v="0"/>
    <x v="0"/>
    <n v="0"/>
    <m/>
    <m/>
    <n v="0"/>
    <n v="0"/>
  </r>
  <r>
    <s v="DE-11-finance-type"/>
    <x v="63"/>
    <s v="DE-11"/>
    <x v="0"/>
    <s v="finance-type"/>
    <x v="10"/>
    <x v="0"/>
    <x v="1"/>
    <x v="1"/>
    <n v="23"/>
    <n v="1.8599999999999998E-2"/>
    <x v="0"/>
    <x v="0"/>
    <n v="0"/>
    <x v="0"/>
    <n v="0"/>
    <n v="0"/>
    <m/>
    <n v="1"/>
    <n v="1"/>
    <n v="0"/>
    <x v="0"/>
    <n v="0"/>
    <m/>
    <m/>
    <n v="0"/>
    <n v="0"/>
  </r>
  <r>
    <s v="DE-11-flow-type"/>
    <x v="63"/>
    <s v="DE-11"/>
    <x v="0"/>
    <s v="flow-type"/>
    <x v="11"/>
    <x v="0"/>
    <x v="1"/>
    <x v="1"/>
    <n v="21"/>
    <n v="1.8599999999999998E-2"/>
    <x v="0"/>
    <x v="0"/>
    <n v="0"/>
    <x v="0"/>
    <n v="0"/>
    <n v="0"/>
    <m/>
    <n v="1"/>
    <n v="1"/>
    <n v="0"/>
    <x v="0"/>
    <n v="0"/>
    <m/>
    <m/>
    <n v="0"/>
    <n v="0"/>
  </r>
  <r>
    <s v="DE-11-sector"/>
    <x v="63"/>
    <s v="DE-11"/>
    <x v="0"/>
    <s v="sector"/>
    <x v="12"/>
    <x v="0"/>
    <x v="1"/>
    <x v="1"/>
    <n v="24"/>
    <n v="1.8599999999999998E-2"/>
    <x v="0"/>
    <x v="1"/>
    <n v="0"/>
    <x v="0"/>
    <n v="0"/>
    <n v="0"/>
    <m/>
    <n v="1"/>
    <n v="1"/>
    <n v="0"/>
    <x v="2"/>
    <n v="0"/>
    <m/>
    <s v="website"/>
    <n v="33.33"/>
    <n v="0"/>
  </r>
  <r>
    <s v="DE-11-location"/>
    <x v="63"/>
    <s v="DE-11"/>
    <x v="0"/>
    <s v="location"/>
    <x v="13"/>
    <x v="0"/>
    <x v="1"/>
    <x v="1"/>
    <n v="25"/>
    <n v="1.8599999999999998E-2"/>
    <x v="0"/>
    <x v="1"/>
    <n v="0"/>
    <x v="0"/>
    <n v="0"/>
    <n v="0"/>
    <m/>
    <n v="1"/>
    <n v="1"/>
    <n v="0"/>
    <x v="2"/>
    <n v="0"/>
    <m/>
    <s v="website"/>
    <n v="33.33"/>
    <n v="0"/>
  </r>
  <r>
    <s v="DE-11-tied-aid-status"/>
    <x v="63"/>
    <s v="DE-11"/>
    <x v="0"/>
    <s v="tied-aid-status"/>
    <x v="14"/>
    <x v="0"/>
    <x v="1"/>
    <x v="1"/>
    <n v="26"/>
    <n v="1.8599999999999998E-2"/>
    <x v="0"/>
    <x v="0"/>
    <n v="0"/>
    <x v="0"/>
    <n v="0"/>
    <n v="0"/>
    <m/>
    <n v="1"/>
    <n v="1"/>
    <n v="0"/>
    <x v="0"/>
    <n v="0"/>
    <m/>
    <m/>
    <n v="0"/>
    <n v="0"/>
  </r>
  <r>
    <s v="DE-11-expenditure-actual"/>
    <x v="63"/>
    <s v="DE-11"/>
    <x v="0"/>
    <s v="expenditure-actual"/>
    <x v="15"/>
    <x v="0"/>
    <x v="2"/>
    <x v="2"/>
    <n v="35"/>
    <n v="3.2500000000000001E-2"/>
    <x v="0"/>
    <x v="0"/>
    <n v="0"/>
    <x v="0"/>
    <n v="0"/>
    <n v="0"/>
    <m/>
    <n v="1"/>
    <n v="1"/>
    <n v="0"/>
    <x v="0"/>
    <n v="0"/>
    <m/>
    <m/>
    <n v="0"/>
    <n v="0"/>
  </r>
  <r>
    <s v="DE-11-cost-overall"/>
    <x v="63"/>
    <s v="DE-11"/>
    <x v="0"/>
    <s v="cost-overall"/>
    <x v="16"/>
    <x v="0"/>
    <x v="2"/>
    <x v="2"/>
    <n v="33"/>
    <n v="3.2500000000000001E-2"/>
    <x v="0"/>
    <x v="0"/>
    <n v="0"/>
    <x v="0"/>
    <n v="0"/>
    <n v="0"/>
    <m/>
    <n v="1"/>
    <n v="1"/>
    <n v="0"/>
    <x v="0"/>
    <n v="0"/>
    <m/>
    <m/>
    <n v="0"/>
    <n v="0"/>
  </r>
  <r>
    <s v="DE-11-expenditure-planned"/>
    <x v="63"/>
    <s v="DE-11"/>
    <x v="0"/>
    <s v="expenditure-planned"/>
    <x v="17"/>
    <x v="0"/>
    <x v="2"/>
    <x v="2"/>
    <n v="34"/>
    <n v="3.2500000000000001E-2"/>
    <x v="0"/>
    <x v="0"/>
    <n v="0"/>
    <x v="0"/>
    <n v="0"/>
    <n v="0"/>
    <m/>
    <n v="1"/>
    <n v="1"/>
    <n v="0"/>
    <x v="0"/>
    <n v="0"/>
    <m/>
    <m/>
    <n v="0"/>
    <n v="0"/>
  </r>
  <r>
    <s v="DE-11-budget-identifier"/>
    <x v="63"/>
    <s v="DE-11"/>
    <x v="0"/>
    <s v="budget-identifier"/>
    <x v="18"/>
    <x v="0"/>
    <x v="2"/>
    <x v="2"/>
    <n v="36"/>
    <n v="3.2500000000000001E-2"/>
    <x v="0"/>
    <x v="0"/>
    <n v="0"/>
    <x v="0"/>
    <n v="0"/>
    <n v="0"/>
    <m/>
    <n v="1"/>
    <n v="1"/>
    <n v="0"/>
    <x v="0"/>
    <n v="0"/>
    <m/>
    <m/>
    <n v="0"/>
    <n v="0"/>
  </r>
  <r>
    <s v="DE-11-conditions"/>
    <x v="63"/>
    <s v="DE-11"/>
    <x v="0"/>
    <s v="conditions"/>
    <x v="19"/>
    <x v="0"/>
    <x v="3"/>
    <x v="3"/>
    <n v="39"/>
    <n v="4.3299999999999998E-2"/>
    <x v="0"/>
    <x v="2"/>
    <n v="0"/>
    <x v="0"/>
    <n v="0"/>
    <n v="0"/>
    <m/>
    <n v="1"/>
    <n v="1"/>
    <n v="0"/>
    <x v="0"/>
    <n v="0"/>
    <m/>
    <s v="document"/>
    <n v="50"/>
    <n v="0"/>
  </r>
  <r>
    <s v="DE-11-impact-appraisals"/>
    <x v="63"/>
    <s v="DE-11"/>
    <x v="0"/>
    <s v="impact-appraisals"/>
    <x v="20"/>
    <x v="0"/>
    <x v="3"/>
    <x v="3"/>
    <n v="38"/>
    <n v="4.3299999999999998E-2"/>
    <x v="0"/>
    <x v="2"/>
    <n v="0"/>
    <x v="0"/>
    <n v="0"/>
    <n v="0"/>
    <m/>
    <n v="1"/>
    <n v="1"/>
    <n v="0"/>
    <x v="0"/>
    <n v="0"/>
    <m/>
    <s v="document"/>
    <n v="50"/>
    <n v="0"/>
  </r>
  <r>
    <s v="DE-11-results"/>
    <x v="63"/>
    <s v="DE-11"/>
    <x v="0"/>
    <s v="results"/>
    <x v="21"/>
    <x v="0"/>
    <x v="3"/>
    <x v="3"/>
    <n v="37"/>
    <n v="4.3299999999999998E-2"/>
    <x v="0"/>
    <x v="1"/>
    <n v="0"/>
    <x v="0"/>
    <n v="0"/>
    <n v="0"/>
    <m/>
    <n v="1"/>
    <n v="1"/>
    <n v="0"/>
    <x v="2"/>
    <n v="0"/>
    <m/>
    <s v="website"/>
    <n v="33.33"/>
    <n v="0"/>
  </r>
  <r>
    <s v="DE-11-budget"/>
    <x v="63"/>
    <s v="DE-11"/>
    <x v="0"/>
    <s v="budget"/>
    <x v="22"/>
    <x v="0"/>
    <x v="4"/>
    <x v="4"/>
    <n v="30"/>
    <n v="2.1700000000000001E-2"/>
    <x v="0"/>
    <x v="2"/>
    <n v="0"/>
    <x v="0"/>
    <n v="0"/>
    <n v="0"/>
    <m/>
    <n v="1"/>
    <n v="1"/>
    <n v="0"/>
    <x v="0"/>
    <n v="0"/>
    <m/>
    <s v="document"/>
    <n v="50"/>
    <n v="0"/>
  </r>
  <r>
    <s v="DE-11-contracts"/>
    <x v="63"/>
    <s v="DE-11"/>
    <x v="0"/>
    <s v="contracts"/>
    <x v="23"/>
    <x v="0"/>
    <x v="4"/>
    <x v="4"/>
    <n v="31"/>
    <n v="2.1700000000000001E-2"/>
    <x v="0"/>
    <x v="2"/>
    <n v="0"/>
    <x v="0"/>
    <n v="0"/>
    <n v="0"/>
    <m/>
    <n v="1"/>
    <n v="1"/>
    <n v="0"/>
    <x v="0"/>
    <n v="0"/>
    <m/>
    <s v="document"/>
    <n v="50"/>
    <n v="0"/>
  </r>
  <r>
    <s v="DE-11-evaluations"/>
    <x v="63"/>
    <s v="DE-11"/>
    <x v="0"/>
    <s v="evaluations"/>
    <x v="24"/>
    <x v="0"/>
    <x v="4"/>
    <x v="4"/>
    <n v="28"/>
    <n v="2.1700000000000001E-2"/>
    <x v="0"/>
    <x v="2"/>
    <n v="0"/>
    <x v="0"/>
    <n v="0"/>
    <n v="0"/>
    <m/>
    <n v="1"/>
    <n v="1"/>
    <n v="0"/>
    <x v="2"/>
    <n v="0"/>
    <m/>
    <s v="document"/>
    <n v="50"/>
    <n v="0"/>
  </r>
  <r>
    <s v="DE-11-mou"/>
    <x v="63"/>
    <s v="DE-11"/>
    <x v="0"/>
    <s v="mou"/>
    <x v="25"/>
    <x v="0"/>
    <x v="4"/>
    <x v="4"/>
    <n v="27"/>
    <n v="2.1700000000000001E-2"/>
    <x v="0"/>
    <x v="2"/>
    <n v="0"/>
    <x v="0"/>
    <n v="0"/>
    <n v="0"/>
    <m/>
    <n v="1"/>
    <n v="1"/>
    <n v="0"/>
    <x v="2"/>
    <n v="0"/>
    <m/>
    <s v="document"/>
    <n v="50"/>
    <n v="0"/>
  </r>
  <r>
    <s v="DE-11-objectives"/>
    <x v="63"/>
    <s v="DE-11"/>
    <x v="0"/>
    <s v="objectives"/>
    <x v="26"/>
    <x v="0"/>
    <x v="4"/>
    <x v="4"/>
    <n v="29"/>
    <n v="2.1700000000000001E-2"/>
    <x v="0"/>
    <x v="2"/>
    <n v="0"/>
    <x v="0"/>
    <n v="0"/>
    <n v="0"/>
    <m/>
    <n v="1"/>
    <n v="1"/>
    <n v="0"/>
    <x v="2"/>
    <n v="0"/>
    <m/>
    <s v="document"/>
    <n v="50"/>
    <n v="0"/>
  </r>
  <r>
    <s v="DE-11-tenders"/>
    <x v="63"/>
    <s v="DE-11"/>
    <x v="0"/>
    <s v="tenders"/>
    <x v="27"/>
    <x v="0"/>
    <x v="4"/>
    <x v="4"/>
    <n v="32"/>
    <n v="2.1700000000000001E-2"/>
    <x v="0"/>
    <x v="2"/>
    <n v="0"/>
    <x v="0"/>
    <n v="0"/>
    <n v="0"/>
    <m/>
    <n v="1"/>
    <n v="1"/>
    <n v="0"/>
    <x v="0"/>
    <n v="0"/>
    <m/>
    <s v="document"/>
    <n v="50"/>
    <n v="0"/>
  </r>
  <r>
    <s v="DE-11-audit"/>
    <x v="63"/>
    <s v="DE-11"/>
    <x v="4"/>
    <s v="audit"/>
    <x v="28"/>
    <x v="1"/>
    <x v="2"/>
    <x v="5"/>
    <n v="11"/>
    <n v="4.1700000000000001E-2"/>
    <x v="0"/>
    <x v="2"/>
    <n v="50"/>
    <x v="2"/>
    <n v="0"/>
    <n v="0"/>
    <m/>
    <n v="1"/>
    <n v="1"/>
    <n v="0"/>
    <x v="1"/>
    <n v="1"/>
    <m/>
    <s v="document"/>
    <n v="50"/>
    <n v="50"/>
  </r>
  <r>
    <s v="DE-11-total-budget"/>
    <x v="63"/>
    <s v="DE-11"/>
    <x v="9"/>
    <s v="total-budget"/>
    <x v="29"/>
    <x v="1"/>
    <x v="2"/>
    <x v="5"/>
    <n v="9"/>
    <n v="4.1700000000000001E-2"/>
    <x v="0"/>
    <x v="3"/>
    <n v="16.664999999999999"/>
    <x v="4"/>
    <n v="0"/>
    <n v="0"/>
    <m/>
    <n v="1"/>
    <n v="1"/>
    <n v="0"/>
    <x v="3"/>
    <n v="0"/>
    <n v="3"/>
    <s v="pdf"/>
    <n v="16.664999999999999"/>
    <n v="16.664999999999999"/>
  </r>
  <r>
    <s v="DE-11-disaggregated-budgets"/>
    <x v="63"/>
    <s v="DE-11"/>
    <x v="0"/>
    <s v="disaggregated-budgets"/>
    <x v="30"/>
    <x v="1"/>
    <x v="2"/>
    <x v="5"/>
    <n v="10"/>
    <n v="4.1700000000000001E-2"/>
    <x v="0"/>
    <x v="0"/>
    <n v="0"/>
    <x v="0"/>
    <n v="0"/>
    <n v="0"/>
    <m/>
    <n v="1"/>
    <n v="1"/>
    <n v="0"/>
    <x v="3"/>
    <n v="0"/>
    <n v="0"/>
    <m/>
    <n v="0"/>
    <n v="0"/>
  </r>
  <r>
    <s v="DE-11-strategy"/>
    <x v="63"/>
    <s v="DE-11"/>
    <x v="6"/>
    <s v="strategy"/>
    <x v="31"/>
    <x v="1"/>
    <x v="5"/>
    <x v="6"/>
    <n v="4"/>
    <n v="2.5000000000000001E-2"/>
    <x v="0"/>
    <x v="2"/>
    <n v="50"/>
    <x v="2"/>
    <n v="0"/>
    <n v="0"/>
    <m/>
    <n v="1"/>
    <n v="1"/>
    <n v="0"/>
    <x v="1"/>
    <n v="1"/>
    <m/>
    <s v="document"/>
    <n v="50"/>
    <n v="50"/>
  </r>
  <r>
    <s v="DE-11-annual-report"/>
    <x v="63"/>
    <s v="DE-11"/>
    <x v="0"/>
    <s v="annual-report"/>
    <x v="32"/>
    <x v="1"/>
    <x v="5"/>
    <x v="6"/>
    <n v="5"/>
    <n v="2.5000000000000001E-2"/>
    <x v="0"/>
    <x v="2"/>
    <n v="0"/>
    <x v="0"/>
    <n v="0"/>
    <n v="0"/>
    <m/>
    <n v="1"/>
    <n v="1"/>
    <n v="0"/>
    <x v="0"/>
    <n v="0"/>
    <m/>
    <s v="document"/>
    <n v="50"/>
    <n v="0"/>
  </r>
  <r>
    <s v="DE-11-allocation"/>
    <x v="63"/>
    <s v="DE-11"/>
    <x v="6"/>
    <s v="allocation"/>
    <x v="33"/>
    <x v="1"/>
    <x v="5"/>
    <x v="6"/>
    <n v="6"/>
    <n v="2.5000000000000001E-2"/>
    <x v="0"/>
    <x v="2"/>
    <n v="50"/>
    <x v="2"/>
    <n v="0"/>
    <n v="0"/>
    <m/>
    <n v="1"/>
    <n v="1"/>
    <n v="0"/>
    <x v="1"/>
    <n v="1"/>
    <m/>
    <s v="document"/>
    <n v="50"/>
    <n v="50"/>
  </r>
  <r>
    <s v="DE-11-procurement-policy"/>
    <x v="63"/>
    <s v="DE-11"/>
    <x v="0"/>
    <s v="procurement-policy"/>
    <x v="34"/>
    <x v="1"/>
    <x v="5"/>
    <x v="6"/>
    <n v="7"/>
    <n v="2.5000000000000001E-2"/>
    <x v="0"/>
    <x v="2"/>
    <n v="0"/>
    <x v="0"/>
    <n v="0"/>
    <n v="0"/>
    <m/>
    <n v="1"/>
    <n v="1"/>
    <n v="0"/>
    <x v="0"/>
    <n v="0"/>
    <m/>
    <s v="document"/>
    <n v="50"/>
    <n v="0"/>
  </r>
  <r>
    <s v="DE-11-country-strategy"/>
    <x v="63"/>
    <s v="DE-11"/>
    <x v="6"/>
    <s v="country-strategy"/>
    <x v="35"/>
    <x v="1"/>
    <x v="5"/>
    <x v="6"/>
    <n v="8"/>
    <n v="2.5000000000000001E-2"/>
    <x v="0"/>
    <x v="2"/>
    <n v="50"/>
    <x v="2"/>
    <n v="0"/>
    <n v="0"/>
    <m/>
    <n v="1"/>
    <n v="1"/>
    <n v="0"/>
    <x v="1"/>
    <n v="1"/>
    <m/>
    <s v="document"/>
    <n v="50"/>
    <n v="50"/>
  </r>
  <r>
    <s v="DE-11-foia"/>
    <x v="63"/>
    <s v="DE-11"/>
    <x v="7"/>
    <s v="foia"/>
    <x v="36"/>
    <x v="2"/>
    <x v="6"/>
    <x v="7"/>
    <n v="1"/>
    <n v="3.3300000000000003E-2"/>
    <x v="0"/>
    <x v="5"/>
    <n v="33.33"/>
    <x v="1"/>
    <n v="0"/>
    <n v="0"/>
    <m/>
    <n v="1"/>
    <n v="1"/>
    <n v="0"/>
    <x v="3"/>
    <n v="0"/>
    <n v="33.33"/>
    <m/>
    <n v="0"/>
    <n v="33.33"/>
  </r>
  <r>
    <s v="DE-11-accessibility"/>
    <x v="63"/>
    <s v="DE-11"/>
    <x v="0"/>
    <s v="accessibility"/>
    <x v="37"/>
    <x v="2"/>
    <x v="6"/>
    <x v="7"/>
    <n v="3"/>
    <n v="3.3300000000000003E-2"/>
    <x v="0"/>
    <x v="5"/>
    <n v="0"/>
    <x v="0"/>
    <n v="0"/>
    <n v="0"/>
    <m/>
    <n v="1"/>
    <n v="1"/>
    <n v="0"/>
    <x v="3"/>
    <n v="0"/>
    <n v="0"/>
    <m/>
    <n v="0"/>
    <n v="0"/>
  </r>
  <r>
    <s v="DE-11-implementation-schedules"/>
    <x v="63"/>
    <s v="DE-11"/>
    <x v="140"/>
    <s v="implementation-schedules"/>
    <x v="38"/>
    <x v="2"/>
    <x v="6"/>
    <x v="7"/>
    <n v="2"/>
    <n v="3.3300000000000003E-2"/>
    <x v="0"/>
    <x v="5"/>
    <n v="28"/>
    <x v="101"/>
    <n v="0"/>
    <n v="0"/>
    <m/>
    <n v="1"/>
    <n v="1"/>
    <n v="0"/>
    <x v="3"/>
    <n v="0"/>
    <n v="28"/>
    <m/>
    <n v="0"/>
    <n v="28"/>
  </r>
  <r>
    <s v="GB-1-dates-actual"/>
    <x v="64"/>
    <s v="GB-1"/>
    <x v="46"/>
    <s v="dates-actual"/>
    <x v="0"/>
    <x v="0"/>
    <x v="0"/>
    <x v="0"/>
    <n v="17"/>
    <n v="1.6299999999999999E-2"/>
    <x v="1"/>
    <x v="6"/>
    <n v="50"/>
    <x v="5"/>
    <n v="100"/>
    <n v="50"/>
    <s v="monthly"/>
    <n v="1"/>
    <n v="1"/>
    <n v="50"/>
    <x v="3"/>
    <m/>
    <m/>
    <m/>
    <m/>
    <n v="0"/>
  </r>
  <r>
    <s v="GB-1-contact-details"/>
    <x v="64"/>
    <s v="GB-1"/>
    <x v="46"/>
    <s v="contact-details"/>
    <x v="1"/>
    <x v="0"/>
    <x v="0"/>
    <x v="0"/>
    <n v="19"/>
    <n v="1.6299999999999999E-2"/>
    <x v="1"/>
    <x v="6"/>
    <n v="50"/>
    <x v="5"/>
    <n v="100"/>
    <n v="50"/>
    <s v="monthly"/>
    <n v="1"/>
    <n v="1"/>
    <n v="50"/>
    <x v="3"/>
    <m/>
    <m/>
    <m/>
    <m/>
    <n v="0"/>
  </r>
  <r>
    <s v="GB-1-current-status"/>
    <x v="64"/>
    <s v="GB-1"/>
    <x v="46"/>
    <s v="current-status"/>
    <x v="2"/>
    <x v="0"/>
    <x v="0"/>
    <x v="0"/>
    <n v="18"/>
    <n v="1.6299999999999999E-2"/>
    <x v="1"/>
    <x v="6"/>
    <n v="50"/>
    <x v="5"/>
    <n v="100"/>
    <n v="50"/>
    <s v="monthly"/>
    <n v="1"/>
    <n v="1"/>
    <n v="50"/>
    <x v="3"/>
    <m/>
    <m/>
    <m/>
    <m/>
    <n v="0"/>
  </r>
  <r>
    <s v="GB-1-description"/>
    <x v="64"/>
    <s v="GB-1"/>
    <x v="306"/>
    <s v="description"/>
    <x v="3"/>
    <x v="0"/>
    <x v="0"/>
    <x v="0"/>
    <n v="15"/>
    <n v="1.6299999999999999E-2"/>
    <x v="1"/>
    <x v="6"/>
    <n v="50"/>
    <x v="261"/>
    <n v="98.842975206600002"/>
    <n v="49.421487603300001"/>
    <s v="monthly"/>
    <n v="1"/>
    <n v="1"/>
    <n v="49.421487603300001"/>
    <x v="3"/>
    <m/>
    <m/>
    <m/>
    <m/>
    <n v="0"/>
  </r>
  <r>
    <s v="GB-1-implementer"/>
    <x v="64"/>
    <s v="GB-1"/>
    <x v="307"/>
    <s v="implementer"/>
    <x v="4"/>
    <x v="0"/>
    <x v="0"/>
    <x v="0"/>
    <n v="12"/>
    <n v="1.6299999999999999E-2"/>
    <x v="1"/>
    <x v="6"/>
    <n v="50"/>
    <x v="262"/>
    <n v="84.856652781199998"/>
    <n v="42.428326390599999"/>
    <s v="monthly"/>
    <n v="1"/>
    <n v="1"/>
    <n v="42.428326390599999"/>
    <x v="3"/>
    <m/>
    <m/>
    <m/>
    <m/>
    <n v="0"/>
  </r>
  <r>
    <s v="GB-1-dates-planned"/>
    <x v="64"/>
    <s v="GB-1"/>
    <x v="308"/>
    <s v="dates-planned"/>
    <x v="5"/>
    <x v="0"/>
    <x v="0"/>
    <x v="0"/>
    <n v="16"/>
    <n v="1.6299999999999999E-2"/>
    <x v="1"/>
    <x v="6"/>
    <n v="50"/>
    <x v="263"/>
    <n v="99.983308295800001"/>
    <n v="49.9916541479"/>
    <s v="monthly"/>
    <n v="1"/>
    <n v="1"/>
    <n v="49.9916541479"/>
    <x v="3"/>
    <m/>
    <m/>
    <m/>
    <m/>
    <n v="0"/>
  </r>
  <r>
    <s v="GB-1-title"/>
    <x v="64"/>
    <s v="GB-1"/>
    <x v="309"/>
    <s v="title"/>
    <x v="6"/>
    <x v="0"/>
    <x v="0"/>
    <x v="0"/>
    <n v="14"/>
    <n v="1.6299999999999999E-2"/>
    <x v="1"/>
    <x v="6"/>
    <n v="50"/>
    <x v="264"/>
    <n v="99.849774662000002"/>
    <n v="49.924887331000001"/>
    <s v="monthly"/>
    <n v="1"/>
    <n v="1"/>
    <n v="49.924887331000001"/>
    <x v="3"/>
    <m/>
    <m/>
    <m/>
    <m/>
    <n v="0"/>
  </r>
  <r>
    <s v="GB-1-unique-id"/>
    <x v="64"/>
    <s v="GB-1"/>
    <x v="46"/>
    <s v="unique-id"/>
    <x v="7"/>
    <x v="0"/>
    <x v="0"/>
    <x v="0"/>
    <n v="13"/>
    <n v="1.6299999999999999E-2"/>
    <x v="1"/>
    <x v="6"/>
    <n v="50"/>
    <x v="5"/>
    <n v="100"/>
    <n v="50"/>
    <s v="monthly"/>
    <n v="1"/>
    <n v="1"/>
    <n v="50"/>
    <x v="3"/>
    <m/>
    <m/>
    <m/>
    <m/>
    <n v="0"/>
  </r>
  <r>
    <s v="GB-1-aid-type"/>
    <x v="64"/>
    <s v="GB-1"/>
    <x v="47"/>
    <s v="aid-type"/>
    <x v="8"/>
    <x v="0"/>
    <x v="1"/>
    <x v="1"/>
    <n v="22"/>
    <n v="1.8599999999999998E-2"/>
    <x v="1"/>
    <x v="6"/>
    <n v="50"/>
    <x v="5"/>
    <n v="100"/>
    <n v="50"/>
    <s v="monthly"/>
    <n v="1"/>
    <n v="1"/>
    <n v="50"/>
    <x v="3"/>
    <m/>
    <m/>
    <m/>
    <m/>
    <n v="0"/>
  </r>
  <r>
    <s v="GB-1-collaboration-type"/>
    <x v="64"/>
    <s v="GB-1"/>
    <x v="310"/>
    <s v="collaboration-type"/>
    <x v="9"/>
    <x v="0"/>
    <x v="1"/>
    <x v="1"/>
    <n v="20"/>
    <n v="1.8599999999999998E-2"/>
    <x v="1"/>
    <x v="6"/>
    <n v="50"/>
    <x v="265"/>
    <n v="99.803969615300005"/>
    <n v="49.901984807600002"/>
    <s v="monthly"/>
    <n v="1"/>
    <n v="1"/>
    <n v="49.901984807600002"/>
    <x v="3"/>
    <m/>
    <m/>
    <m/>
    <m/>
    <n v="0"/>
  </r>
  <r>
    <s v="GB-1-finance-type"/>
    <x v="64"/>
    <s v="GB-1"/>
    <x v="311"/>
    <s v="finance-type"/>
    <x v="10"/>
    <x v="0"/>
    <x v="1"/>
    <x v="1"/>
    <n v="23"/>
    <n v="1.8599999999999998E-2"/>
    <x v="1"/>
    <x v="6"/>
    <n v="50"/>
    <x v="266"/>
    <n v="87.699093359499997"/>
    <n v="43.849546679699998"/>
    <s v="monthly"/>
    <n v="1"/>
    <n v="1"/>
    <n v="43.849546679699998"/>
    <x v="3"/>
    <m/>
    <m/>
    <m/>
    <m/>
    <n v="0"/>
  </r>
  <r>
    <s v="GB-1-flow-type"/>
    <x v="64"/>
    <s v="GB-1"/>
    <x v="47"/>
    <s v="flow-type"/>
    <x v="11"/>
    <x v="0"/>
    <x v="1"/>
    <x v="1"/>
    <n v="21"/>
    <n v="1.8599999999999998E-2"/>
    <x v="1"/>
    <x v="6"/>
    <n v="50"/>
    <x v="5"/>
    <n v="100"/>
    <n v="50"/>
    <s v="monthly"/>
    <n v="1"/>
    <n v="1"/>
    <n v="50"/>
    <x v="3"/>
    <m/>
    <m/>
    <m/>
    <m/>
    <n v="0"/>
  </r>
  <r>
    <s v="GB-1-sector"/>
    <x v="64"/>
    <s v="GB-1"/>
    <x v="312"/>
    <s v="sector"/>
    <x v="12"/>
    <x v="0"/>
    <x v="1"/>
    <x v="1"/>
    <n v="24"/>
    <n v="1.8599999999999998E-2"/>
    <x v="1"/>
    <x v="6"/>
    <n v="50"/>
    <x v="267"/>
    <n v="99.736590038299994"/>
    <n v="49.868295019199998"/>
    <s v="monthly"/>
    <n v="1"/>
    <n v="1"/>
    <n v="49.868295019199998"/>
    <x v="3"/>
    <m/>
    <m/>
    <m/>
    <m/>
    <n v="0"/>
  </r>
  <r>
    <s v="GB-1-location"/>
    <x v="64"/>
    <s v="GB-1"/>
    <x v="313"/>
    <s v="location"/>
    <x v="13"/>
    <x v="0"/>
    <x v="1"/>
    <x v="1"/>
    <n v="25"/>
    <n v="1.8599999999999998E-2"/>
    <x v="1"/>
    <x v="6"/>
    <n v="50"/>
    <x v="268"/>
    <n v="14.277489925199999"/>
    <n v="7.1387449625799997"/>
    <s v="monthly"/>
    <n v="1"/>
    <n v="1"/>
    <n v="7.1387449625799997"/>
    <x v="3"/>
    <m/>
    <m/>
    <m/>
    <m/>
    <n v="0"/>
  </r>
  <r>
    <s v="GB-1-tied-aid-status"/>
    <x v="64"/>
    <s v="GB-1"/>
    <x v="47"/>
    <s v="tied-aid-status"/>
    <x v="14"/>
    <x v="0"/>
    <x v="1"/>
    <x v="1"/>
    <n v="26"/>
    <n v="1.8599999999999998E-2"/>
    <x v="1"/>
    <x v="6"/>
    <n v="50"/>
    <x v="5"/>
    <n v="100"/>
    <n v="50"/>
    <s v="monthly"/>
    <n v="1"/>
    <n v="1"/>
    <n v="50"/>
    <x v="3"/>
    <m/>
    <m/>
    <m/>
    <m/>
    <n v="0"/>
  </r>
  <r>
    <s v="GB-1-expenditure-actual"/>
    <x v="64"/>
    <s v="GB-1"/>
    <x v="314"/>
    <s v="expenditure-actual"/>
    <x v="15"/>
    <x v="0"/>
    <x v="2"/>
    <x v="2"/>
    <n v="35"/>
    <n v="3.2500000000000001E-2"/>
    <x v="1"/>
    <x v="6"/>
    <n v="50"/>
    <x v="269"/>
    <n v="82.5042881647"/>
    <n v="41.252144082299999"/>
    <s v="monthly"/>
    <n v="1"/>
    <n v="1"/>
    <n v="41.252144082299999"/>
    <x v="3"/>
    <m/>
    <m/>
    <m/>
    <m/>
    <n v="0"/>
  </r>
  <r>
    <s v="GB-1-cost-overall"/>
    <x v="64"/>
    <s v="GB-1"/>
    <x v="315"/>
    <s v="cost-overall"/>
    <x v="16"/>
    <x v="0"/>
    <x v="2"/>
    <x v="2"/>
    <n v="33"/>
    <n v="3.2500000000000001E-2"/>
    <x v="1"/>
    <x v="6"/>
    <n v="50"/>
    <x v="270"/>
    <n v="72.637723458599993"/>
    <n v="36.318861729299996"/>
    <s v="monthly"/>
    <n v="1"/>
    <n v="1"/>
    <n v="36.318861729299996"/>
    <x v="3"/>
    <m/>
    <m/>
    <m/>
    <m/>
    <n v="0"/>
  </r>
  <r>
    <s v="GB-1-expenditure-planned"/>
    <x v="64"/>
    <s v="GB-1"/>
    <x v="316"/>
    <s v="expenditure-planned"/>
    <x v="17"/>
    <x v="0"/>
    <x v="2"/>
    <x v="2"/>
    <n v="34"/>
    <n v="3.2500000000000001E-2"/>
    <x v="1"/>
    <x v="6"/>
    <n v="50"/>
    <x v="271"/>
    <n v="96.299926488599993"/>
    <n v="48.149963244299997"/>
    <s v="monthly"/>
    <n v="1"/>
    <n v="1"/>
    <n v="48.149963244299997"/>
    <x v="3"/>
    <m/>
    <m/>
    <m/>
    <m/>
    <n v="0"/>
  </r>
  <r>
    <s v="GB-1-budget-identifier"/>
    <x v="64"/>
    <s v="GB-1"/>
    <x v="317"/>
    <s v="budget-identifier"/>
    <x v="18"/>
    <x v="0"/>
    <x v="2"/>
    <x v="2"/>
    <n v="36"/>
    <n v="3.2500000000000001E-2"/>
    <x v="1"/>
    <x v="6"/>
    <n v="50"/>
    <x v="272"/>
    <n v="93.294496777399999"/>
    <n v="46.6472483887"/>
    <s v="monthly"/>
    <n v="1"/>
    <n v="1"/>
    <n v="46.6472483887"/>
    <x v="3"/>
    <m/>
    <m/>
    <m/>
    <m/>
    <n v="0"/>
  </r>
  <r>
    <s v="GB-1-conditions"/>
    <x v="64"/>
    <s v="GB-1"/>
    <x v="318"/>
    <s v="conditions"/>
    <x v="19"/>
    <x v="0"/>
    <x v="3"/>
    <x v="3"/>
    <n v="39"/>
    <n v="4.3299999999999998E-2"/>
    <x v="1"/>
    <x v="6"/>
    <n v="50"/>
    <x v="273"/>
    <n v="80.857800806"/>
    <n v="40.428900403"/>
    <s v="monthly"/>
    <n v="1"/>
    <n v="1"/>
    <n v="40.428900403"/>
    <x v="3"/>
    <m/>
    <m/>
    <m/>
    <m/>
    <n v="0"/>
  </r>
  <r>
    <s v="GB-1-impact-appraisals"/>
    <x v="64"/>
    <s v="GB-1"/>
    <x v="319"/>
    <s v="impact-appraisals"/>
    <x v="20"/>
    <x v="0"/>
    <x v="3"/>
    <x v="3"/>
    <n v="38"/>
    <n v="4.3299999999999998E-2"/>
    <x v="1"/>
    <x v="6"/>
    <n v="50"/>
    <x v="274"/>
    <n v="65.860679332199993"/>
    <n v="32.930339666099997"/>
    <s v="monthly"/>
    <n v="1"/>
    <n v="1"/>
    <n v="32.930339666099997"/>
    <x v="3"/>
    <m/>
    <m/>
    <m/>
    <m/>
    <n v="0"/>
  </r>
  <r>
    <s v="GB-1-results"/>
    <x v="64"/>
    <s v="GB-1"/>
    <x v="320"/>
    <s v="results"/>
    <x v="21"/>
    <x v="0"/>
    <x v="3"/>
    <x v="3"/>
    <n v="37"/>
    <n v="4.3299999999999998E-2"/>
    <x v="1"/>
    <x v="6"/>
    <n v="50"/>
    <x v="275"/>
    <n v="38.1404720783"/>
    <n v="19.070236039099999"/>
    <s v="monthly"/>
    <n v="1"/>
    <n v="1"/>
    <n v="19.070236039099999"/>
    <x v="3"/>
    <m/>
    <m/>
    <m/>
    <m/>
    <n v="0"/>
  </r>
  <r>
    <s v="GB-1-budget"/>
    <x v="64"/>
    <s v="GB-1"/>
    <x v="321"/>
    <s v="budget"/>
    <x v="22"/>
    <x v="0"/>
    <x v="4"/>
    <x v="4"/>
    <n v="30"/>
    <n v="2.1700000000000001E-2"/>
    <x v="1"/>
    <x v="6"/>
    <n v="50"/>
    <x v="276"/>
    <n v="59.930915371300003"/>
    <n v="29.965457685699999"/>
    <s v="monthly"/>
    <n v="1"/>
    <n v="1"/>
    <n v="29.965457685699999"/>
    <x v="3"/>
    <m/>
    <m/>
    <m/>
    <m/>
    <n v="0"/>
  </r>
  <r>
    <s v="GB-1-contracts"/>
    <x v="64"/>
    <s v="GB-1"/>
    <x v="322"/>
    <s v="contracts"/>
    <x v="23"/>
    <x v="0"/>
    <x v="4"/>
    <x v="4"/>
    <n v="31"/>
    <n v="2.1700000000000001E-2"/>
    <x v="1"/>
    <x v="6"/>
    <n v="50"/>
    <x v="277"/>
    <n v="14.853195164100001"/>
    <n v="7.4265975820400003"/>
    <s v="monthly"/>
    <n v="1"/>
    <n v="1"/>
    <n v="7.4265975820400003"/>
    <x v="3"/>
    <m/>
    <m/>
    <m/>
    <m/>
    <n v="0"/>
  </r>
  <r>
    <s v="GB-1-evaluations"/>
    <x v="64"/>
    <s v="GB-1"/>
    <x v="323"/>
    <s v="evaluations"/>
    <x v="24"/>
    <x v="0"/>
    <x v="4"/>
    <x v="4"/>
    <n v="28"/>
    <n v="2.1700000000000001E-2"/>
    <x v="1"/>
    <x v="6"/>
    <n v="50"/>
    <x v="278"/>
    <n v="52.956298200500001"/>
    <n v="26.478149100300001"/>
    <s v="monthly"/>
    <n v="1"/>
    <n v="1"/>
    <n v="26.478149100300001"/>
    <x v="3"/>
    <m/>
    <m/>
    <m/>
    <m/>
    <n v="0"/>
  </r>
  <r>
    <s v="GB-1-mou"/>
    <x v="64"/>
    <s v="GB-1"/>
    <x v="324"/>
    <s v="mou"/>
    <x v="25"/>
    <x v="0"/>
    <x v="4"/>
    <x v="4"/>
    <n v="27"/>
    <n v="2.1700000000000001E-2"/>
    <x v="1"/>
    <x v="6"/>
    <n v="50"/>
    <x v="279"/>
    <n v="5.0662061024799998"/>
    <n v="2.5331030512399999"/>
    <s v="monthly"/>
    <n v="1"/>
    <n v="1"/>
    <n v="2.5331030512399999"/>
    <x v="3"/>
    <m/>
    <m/>
    <m/>
    <m/>
    <n v="0"/>
  </r>
  <r>
    <s v="GB-1-objectives"/>
    <x v="64"/>
    <s v="GB-1"/>
    <x v="325"/>
    <s v="objectives"/>
    <x v="26"/>
    <x v="0"/>
    <x v="4"/>
    <x v="4"/>
    <n v="29"/>
    <n v="2.1700000000000001E-2"/>
    <x v="1"/>
    <x v="6"/>
    <n v="50"/>
    <x v="280"/>
    <n v="76.396085204399995"/>
    <n v="38.198042602199997"/>
    <s v="monthly"/>
    <n v="1"/>
    <n v="1"/>
    <n v="38.198042602199997"/>
    <x v="3"/>
    <m/>
    <m/>
    <m/>
    <m/>
    <n v="0"/>
  </r>
  <r>
    <s v="GB-1-tenders"/>
    <x v="64"/>
    <s v="GB-1"/>
    <x v="326"/>
    <s v="tenders"/>
    <x v="27"/>
    <x v="0"/>
    <x v="4"/>
    <x v="4"/>
    <n v="32"/>
    <n v="2.1700000000000001E-2"/>
    <x v="1"/>
    <x v="6"/>
    <n v="50"/>
    <x v="281"/>
    <n v="11.7443868739"/>
    <n v="5.87219343696"/>
    <s v="monthly"/>
    <n v="1"/>
    <n v="1"/>
    <n v="5.87219343696"/>
    <x v="3"/>
    <m/>
    <m/>
    <m/>
    <m/>
    <n v="0"/>
  </r>
  <r>
    <s v="GB-1-audit"/>
    <x v="64"/>
    <s v="GB-1"/>
    <x v="42"/>
    <s v="audit"/>
    <x v="28"/>
    <x v="1"/>
    <x v="2"/>
    <x v="5"/>
    <n v="11"/>
    <n v="4.1700000000000001E-2"/>
    <x v="1"/>
    <x v="6"/>
    <n v="50"/>
    <x v="5"/>
    <n v="100"/>
    <n v="50"/>
    <s v="monthly"/>
    <n v="1"/>
    <n v="1"/>
    <n v="50"/>
    <x v="3"/>
    <m/>
    <m/>
    <m/>
    <m/>
    <n v="0"/>
  </r>
  <r>
    <s v="GB-1-total-budget"/>
    <x v="64"/>
    <s v="GB-1"/>
    <x v="69"/>
    <s v="total-budget"/>
    <x v="29"/>
    <x v="1"/>
    <x v="2"/>
    <x v="5"/>
    <n v="9"/>
    <n v="4.1700000000000001E-2"/>
    <x v="1"/>
    <x v="6"/>
    <n v="50"/>
    <x v="41"/>
    <n v="33.333333333299997"/>
    <n v="16.666666666699999"/>
    <s v="monthly"/>
    <n v="1"/>
    <n v="1"/>
    <n v="16.666666666699999"/>
    <x v="3"/>
    <m/>
    <m/>
    <m/>
    <m/>
    <n v="0"/>
  </r>
  <r>
    <s v="GB-1-disaggregated-budgets"/>
    <x v="64"/>
    <s v="GB-1"/>
    <x v="69"/>
    <s v="disaggregated-budgets"/>
    <x v="30"/>
    <x v="1"/>
    <x v="2"/>
    <x v="5"/>
    <n v="10"/>
    <n v="4.1700000000000001E-2"/>
    <x v="1"/>
    <x v="6"/>
    <n v="50"/>
    <x v="41"/>
    <n v="33.333333333299997"/>
    <n v="16.666666666699999"/>
    <s v="monthly"/>
    <n v="1"/>
    <n v="1"/>
    <n v="16.666666666699999"/>
    <x v="3"/>
    <m/>
    <m/>
    <m/>
    <m/>
    <n v="0"/>
  </r>
  <r>
    <s v="GB-1-strategy"/>
    <x v="64"/>
    <s v="GB-1"/>
    <x v="43"/>
    <s v="strategy"/>
    <x v="31"/>
    <x v="1"/>
    <x v="5"/>
    <x v="6"/>
    <n v="4"/>
    <n v="2.5000000000000001E-2"/>
    <x v="1"/>
    <x v="6"/>
    <n v="50"/>
    <x v="5"/>
    <n v="100"/>
    <n v="50"/>
    <s v="monthly"/>
    <n v="1"/>
    <n v="1"/>
    <n v="50"/>
    <x v="3"/>
    <m/>
    <m/>
    <m/>
    <m/>
    <n v="0"/>
  </r>
  <r>
    <s v="GB-1-annual-report"/>
    <x v="64"/>
    <s v="GB-1"/>
    <x v="43"/>
    <s v="annual-report"/>
    <x v="32"/>
    <x v="1"/>
    <x v="5"/>
    <x v="6"/>
    <n v="5"/>
    <n v="2.5000000000000001E-2"/>
    <x v="1"/>
    <x v="6"/>
    <n v="50"/>
    <x v="5"/>
    <n v="100"/>
    <n v="50"/>
    <s v="monthly"/>
    <n v="1"/>
    <n v="1"/>
    <n v="50"/>
    <x v="3"/>
    <m/>
    <m/>
    <m/>
    <m/>
    <n v="0"/>
  </r>
  <r>
    <s v="GB-1-allocation"/>
    <x v="64"/>
    <s v="GB-1"/>
    <x v="43"/>
    <s v="allocation"/>
    <x v="33"/>
    <x v="1"/>
    <x v="5"/>
    <x v="6"/>
    <n v="6"/>
    <n v="2.5000000000000001E-2"/>
    <x v="1"/>
    <x v="6"/>
    <n v="50"/>
    <x v="5"/>
    <n v="100"/>
    <n v="50"/>
    <s v="monthly"/>
    <n v="1"/>
    <n v="1"/>
    <n v="50"/>
    <x v="3"/>
    <m/>
    <m/>
    <m/>
    <m/>
    <n v="0"/>
  </r>
  <r>
    <s v="GB-1-procurement-policy"/>
    <x v="64"/>
    <s v="GB-1"/>
    <x v="43"/>
    <s v="procurement-policy"/>
    <x v="34"/>
    <x v="1"/>
    <x v="5"/>
    <x v="6"/>
    <n v="7"/>
    <n v="2.5000000000000001E-2"/>
    <x v="1"/>
    <x v="6"/>
    <n v="50"/>
    <x v="5"/>
    <n v="100"/>
    <n v="50"/>
    <s v="monthly"/>
    <n v="1"/>
    <n v="1"/>
    <n v="50"/>
    <x v="3"/>
    <m/>
    <m/>
    <m/>
    <m/>
    <n v="0"/>
  </r>
  <r>
    <s v="GB-1-country-strategy"/>
    <x v="64"/>
    <s v="GB-1"/>
    <x v="43"/>
    <s v="country-strategy"/>
    <x v="35"/>
    <x v="1"/>
    <x v="5"/>
    <x v="6"/>
    <n v="8"/>
    <n v="2.5000000000000001E-2"/>
    <x v="1"/>
    <x v="6"/>
    <n v="50"/>
    <x v="5"/>
    <n v="100"/>
    <n v="50"/>
    <s v="monthly"/>
    <n v="1"/>
    <n v="1"/>
    <n v="50"/>
    <x v="3"/>
    <m/>
    <m/>
    <m/>
    <m/>
    <n v="0"/>
  </r>
  <r>
    <s v="GB-1-foia"/>
    <x v="64"/>
    <s v="GB-1"/>
    <x v="10"/>
    <s v="foia"/>
    <x v="36"/>
    <x v="2"/>
    <x v="6"/>
    <x v="7"/>
    <n v="1"/>
    <n v="3.3300000000000003E-2"/>
    <x v="0"/>
    <x v="5"/>
    <n v="100"/>
    <x v="5"/>
    <n v="0"/>
    <n v="0"/>
    <s v="monthly"/>
    <n v="1"/>
    <n v="1"/>
    <n v="0"/>
    <x v="3"/>
    <n v="0"/>
    <n v="100"/>
    <m/>
    <n v="0"/>
    <n v="100"/>
  </r>
  <r>
    <s v="GB-1-accessibility"/>
    <x v="64"/>
    <s v="GB-1"/>
    <x v="10"/>
    <s v="accessibility"/>
    <x v="37"/>
    <x v="2"/>
    <x v="6"/>
    <x v="7"/>
    <n v="3"/>
    <n v="3.3300000000000003E-2"/>
    <x v="0"/>
    <x v="5"/>
    <n v="100"/>
    <x v="5"/>
    <n v="0"/>
    <n v="0"/>
    <s v="monthly"/>
    <n v="1"/>
    <n v="1"/>
    <n v="0"/>
    <x v="3"/>
    <n v="0"/>
    <n v="100"/>
    <m/>
    <n v="0"/>
    <n v="100"/>
  </r>
  <r>
    <s v="GB-1-implementation-schedules"/>
    <x v="64"/>
    <s v="GB-1"/>
    <x v="327"/>
    <s v="implementation-schedules"/>
    <x v="38"/>
    <x v="2"/>
    <x v="6"/>
    <x v="7"/>
    <n v="2"/>
    <n v="3.3300000000000003E-2"/>
    <x v="0"/>
    <x v="5"/>
    <n v="88"/>
    <x v="282"/>
    <n v="0"/>
    <n v="0"/>
    <s v="monthly"/>
    <n v="1"/>
    <n v="1"/>
    <n v="0"/>
    <x v="3"/>
    <n v="0"/>
    <n v="88"/>
    <m/>
    <n v="0"/>
    <n v="88"/>
  </r>
  <r>
    <s v="47045-dates-actual"/>
    <x v="65"/>
    <n v="47045"/>
    <x v="45"/>
    <s v="dates-actual"/>
    <x v="0"/>
    <x v="0"/>
    <x v="0"/>
    <x v="0"/>
    <n v="17"/>
    <n v="1.6299999999999999E-2"/>
    <x v="1"/>
    <x v="6"/>
    <n v="50"/>
    <x v="5"/>
    <n v="100"/>
    <n v="50"/>
    <s v="monthly"/>
    <n v="1"/>
    <n v="1"/>
    <n v="50"/>
    <x v="3"/>
    <m/>
    <m/>
    <m/>
    <m/>
    <n v="0"/>
  </r>
  <r>
    <s v="47045-contact-details"/>
    <x v="65"/>
    <n v="47045"/>
    <x v="46"/>
    <s v="contact-details"/>
    <x v="1"/>
    <x v="0"/>
    <x v="0"/>
    <x v="0"/>
    <n v="19"/>
    <n v="1.6299999999999999E-2"/>
    <x v="1"/>
    <x v="6"/>
    <n v="50"/>
    <x v="5"/>
    <n v="100"/>
    <n v="50"/>
    <s v="monthly"/>
    <n v="1"/>
    <n v="1"/>
    <n v="50"/>
    <x v="3"/>
    <m/>
    <m/>
    <m/>
    <m/>
    <n v="0"/>
  </r>
  <r>
    <s v="47045-current-status"/>
    <x v="65"/>
    <n v="47045"/>
    <x v="46"/>
    <s v="current-status"/>
    <x v="2"/>
    <x v="0"/>
    <x v="0"/>
    <x v="0"/>
    <n v="18"/>
    <n v="1.6299999999999999E-2"/>
    <x v="1"/>
    <x v="6"/>
    <n v="50"/>
    <x v="5"/>
    <n v="100"/>
    <n v="50"/>
    <s v="monthly"/>
    <n v="1"/>
    <n v="1"/>
    <n v="50"/>
    <x v="3"/>
    <m/>
    <m/>
    <m/>
    <m/>
    <n v="0"/>
  </r>
  <r>
    <s v="47045-description"/>
    <x v="65"/>
    <n v="47045"/>
    <x v="328"/>
    <s v="description"/>
    <x v="3"/>
    <x v="0"/>
    <x v="0"/>
    <x v="0"/>
    <n v="15"/>
    <n v="1.6299999999999999E-2"/>
    <x v="1"/>
    <x v="6"/>
    <n v="50"/>
    <x v="283"/>
    <n v="83.028286189699998"/>
    <n v="41.514143094799998"/>
    <s v="monthly"/>
    <n v="1"/>
    <n v="1"/>
    <n v="41.514143094799998"/>
    <x v="3"/>
    <m/>
    <m/>
    <m/>
    <m/>
    <n v="0"/>
  </r>
  <r>
    <s v="47045-implementer"/>
    <x v="65"/>
    <n v="47045"/>
    <x v="46"/>
    <s v="implementer"/>
    <x v="4"/>
    <x v="0"/>
    <x v="0"/>
    <x v="0"/>
    <n v="12"/>
    <n v="1.6299999999999999E-2"/>
    <x v="1"/>
    <x v="6"/>
    <n v="50"/>
    <x v="5"/>
    <n v="100"/>
    <n v="50"/>
    <s v="monthly"/>
    <n v="1"/>
    <n v="1"/>
    <n v="50"/>
    <x v="3"/>
    <m/>
    <m/>
    <m/>
    <m/>
    <n v="0"/>
  </r>
  <r>
    <s v="47045-dates-planned"/>
    <x v="65"/>
    <n v="47045"/>
    <x v="46"/>
    <s v="dates-planned"/>
    <x v="5"/>
    <x v="0"/>
    <x v="0"/>
    <x v="0"/>
    <n v="16"/>
    <n v="1.6299999999999999E-2"/>
    <x v="1"/>
    <x v="6"/>
    <n v="50"/>
    <x v="5"/>
    <n v="100"/>
    <n v="50"/>
    <s v="monthly"/>
    <n v="1"/>
    <n v="1"/>
    <n v="50"/>
    <x v="3"/>
    <m/>
    <m/>
    <m/>
    <m/>
    <n v="0"/>
  </r>
  <r>
    <s v="47045-title"/>
    <x v="65"/>
    <n v="47045"/>
    <x v="329"/>
    <s v="title"/>
    <x v="6"/>
    <x v="0"/>
    <x v="0"/>
    <x v="0"/>
    <n v="14"/>
    <n v="1.6299999999999999E-2"/>
    <x v="1"/>
    <x v="6"/>
    <n v="50"/>
    <x v="284"/>
    <n v="95.257903494199994"/>
    <n v="47.628951747099997"/>
    <s v="monthly"/>
    <n v="1"/>
    <n v="1"/>
    <n v="47.628951747099997"/>
    <x v="3"/>
    <m/>
    <m/>
    <m/>
    <m/>
    <n v="0"/>
  </r>
  <r>
    <s v="47045-unique-id"/>
    <x v="65"/>
    <n v="47045"/>
    <x v="46"/>
    <s v="unique-id"/>
    <x v="7"/>
    <x v="0"/>
    <x v="0"/>
    <x v="0"/>
    <n v="13"/>
    <n v="1.6299999999999999E-2"/>
    <x v="1"/>
    <x v="6"/>
    <n v="50"/>
    <x v="5"/>
    <n v="100"/>
    <n v="50"/>
    <s v="monthly"/>
    <n v="1"/>
    <n v="1"/>
    <n v="50"/>
    <x v="3"/>
    <m/>
    <m/>
    <m/>
    <m/>
    <n v="0"/>
  </r>
  <r>
    <s v="47045-aid-type"/>
    <x v="65"/>
    <n v="47045"/>
    <x v="47"/>
    <s v="aid-type"/>
    <x v="8"/>
    <x v="0"/>
    <x v="1"/>
    <x v="1"/>
    <n v="22"/>
    <n v="1.8599999999999998E-2"/>
    <x v="1"/>
    <x v="6"/>
    <n v="50"/>
    <x v="5"/>
    <n v="100"/>
    <n v="50"/>
    <s v="monthly"/>
    <n v="1"/>
    <n v="1"/>
    <n v="50"/>
    <x v="3"/>
    <m/>
    <m/>
    <m/>
    <m/>
    <n v="0"/>
  </r>
  <r>
    <s v="47045-collaboration-type"/>
    <x v="65"/>
    <n v="47045"/>
    <x v="47"/>
    <s v="collaboration-type"/>
    <x v="9"/>
    <x v="0"/>
    <x v="1"/>
    <x v="1"/>
    <n v="20"/>
    <n v="1.8599999999999998E-2"/>
    <x v="1"/>
    <x v="6"/>
    <n v="50"/>
    <x v="5"/>
    <n v="100"/>
    <n v="50"/>
    <s v="monthly"/>
    <n v="1"/>
    <n v="1"/>
    <n v="50"/>
    <x v="3"/>
    <m/>
    <m/>
    <m/>
    <m/>
    <n v="0"/>
  </r>
  <r>
    <s v="47045-finance-type"/>
    <x v="65"/>
    <n v="47045"/>
    <x v="47"/>
    <s v="finance-type"/>
    <x v="10"/>
    <x v="0"/>
    <x v="1"/>
    <x v="1"/>
    <n v="23"/>
    <n v="1.8599999999999998E-2"/>
    <x v="1"/>
    <x v="6"/>
    <n v="50"/>
    <x v="5"/>
    <n v="100"/>
    <n v="50"/>
    <s v="monthly"/>
    <n v="1"/>
    <n v="1"/>
    <n v="50"/>
    <x v="3"/>
    <m/>
    <m/>
    <m/>
    <m/>
    <n v="0"/>
  </r>
  <r>
    <s v="47045-flow-type"/>
    <x v="65"/>
    <n v="47045"/>
    <x v="47"/>
    <s v="flow-type"/>
    <x v="11"/>
    <x v="0"/>
    <x v="1"/>
    <x v="1"/>
    <n v="21"/>
    <n v="1.8599999999999998E-2"/>
    <x v="1"/>
    <x v="6"/>
    <n v="50"/>
    <x v="5"/>
    <n v="100"/>
    <n v="50"/>
    <s v="monthly"/>
    <n v="1"/>
    <n v="1"/>
    <n v="50"/>
    <x v="3"/>
    <m/>
    <m/>
    <m/>
    <m/>
    <n v="0"/>
  </r>
  <r>
    <s v="47045-sector"/>
    <x v="65"/>
    <n v="47045"/>
    <x v="47"/>
    <s v="sector"/>
    <x v="12"/>
    <x v="0"/>
    <x v="1"/>
    <x v="1"/>
    <n v="24"/>
    <n v="1.8599999999999998E-2"/>
    <x v="1"/>
    <x v="6"/>
    <n v="50"/>
    <x v="5"/>
    <n v="100"/>
    <n v="50"/>
    <s v="monthly"/>
    <n v="1"/>
    <n v="1"/>
    <n v="50"/>
    <x v="3"/>
    <m/>
    <m/>
    <m/>
    <m/>
    <n v="0"/>
  </r>
  <r>
    <s v="47045-tied-aid-status"/>
    <x v="65"/>
    <n v="47045"/>
    <x v="47"/>
    <s v="tied-aid-status"/>
    <x v="14"/>
    <x v="0"/>
    <x v="1"/>
    <x v="1"/>
    <n v="26"/>
    <n v="1.8599999999999998E-2"/>
    <x v="1"/>
    <x v="6"/>
    <n v="50"/>
    <x v="5"/>
    <n v="100"/>
    <n v="50"/>
    <s v="monthly"/>
    <n v="1"/>
    <n v="1"/>
    <n v="50"/>
    <x v="3"/>
    <m/>
    <m/>
    <m/>
    <m/>
    <n v="0"/>
  </r>
  <r>
    <s v="47045-expenditure-actual"/>
    <x v="65"/>
    <n v="47045"/>
    <x v="330"/>
    <s v="expenditure-actual"/>
    <x v="15"/>
    <x v="0"/>
    <x v="2"/>
    <x v="2"/>
    <n v="35"/>
    <n v="3.2500000000000001E-2"/>
    <x v="1"/>
    <x v="6"/>
    <n v="50"/>
    <x v="285"/>
    <n v="99.667221297799998"/>
    <n v="49.833610648899999"/>
    <s v="monthly"/>
    <n v="1"/>
    <n v="1"/>
    <n v="49.833610648899999"/>
    <x v="3"/>
    <m/>
    <m/>
    <m/>
    <m/>
    <n v="0"/>
  </r>
  <r>
    <s v="47045-expenditure-planned"/>
    <x v="65"/>
    <n v="47045"/>
    <x v="331"/>
    <s v="expenditure-planned"/>
    <x v="17"/>
    <x v="0"/>
    <x v="2"/>
    <x v="2"/>
    <n v="34"/>
    <n v="3.2500000000000001E-2"/>
    <x v="1"/>
    <x v="6"/>
    <n v="50"/>
    <x v="286"/>
    <n v="99.833610648900006"/>
    <n v="49.916805324499997"/>
    <s v="monthly"/>
    <n v="1"/>
    <n v="1"/>
    <n v="49.916805324499997"/>
    <x v="3"/>
    <m/>
    <m/>
    <m/>
    <m/>
    <n v="0"/>
  </r>
  <r>
    <s v="47045-conditions"/>
    <x v="65"/>
    <n v="47045"/>
    <x v="332"/>
    <s v="conditions"/>
    <x v="19"/>
    <x v="0"/>
    <x v="3"/>
    <x v="3"/>
    <n v="39"/>
    <n v="4.3299999999999998E-2"/>
    <x v="1"/>
    <x v="6"/>
    <n v="50"/>
    <x v="287"/>
    <n v="97.836938435899995"/>
    <n v="48.918469217999998"/>
    <s v="monthly"/>
    <n v="1"/>
    <n v="1"/>
    <n v="48.918469217999998"/>
    <x v="3"/>
    <m/>
    <m/>
    <m/>
    <m/>
    <n v="0"/>
  </r>
  <r>
    <s v="47045-results"/>
    <x v="65"/>
    <n v="47045"/>
    <x v="333"/>
    <s v="results"/>
    <x v="21"/>
    <x v="0"/>
    <x v="3"/>
    <x v="3"/>
    <n v="37"/>
    <n v="4.3299999999999998E-2"/>
    <x v="1"/>
    <x v="6"/>
    <n v="50"/>
    <x v="288"/>
    <n v="94.758735440899997"/>
    <n v="47.379367720499999"/>
    <s v="monthly"/>
    <n v="1"/>
    <n v="1"/>
    <n v="47.379367720499999"/>
    <x v="3"/>
    <m/>
    <m/>
    <m/>
    <m/>
    <n v="0"/>
  </r>
  <r>
    <s v="47045-budget"/>
    <x v="65"/>
    <n v="47045"/>
    <x v="334"/>
    <s v="budget"/>
    <x v="22"/>
    <x v="0"/>
    <x v="4"/>
    <x v="4"/>
    <n v="30"/>
    <n v="2.1700000000000001E-2"/>
    <x v="1"/>
    <x v="6"/>
    <n v="50"/>
    <x v="289"/>
    <n v="95.673876871900006"/>
    <n v="47.836938435900002"/>
    <s v="monthly"/>
    <n v="1"/>
    <n v="1"/>
    <n v="47.836938435900002"/>
    <x v="3"/>
    <m/>
    <m/>
    <m/>
    <m/>
    <n v="0"/>
  </r>
  <r>
    <s v="47045-contracts"/>
    <x v="65"/>
    <n v="47045"/>
    <x v="334"/>
    <s v="contracts"/>
    <x v="23"/>
    <x v="0"/>
    <x v="4"/>
    <x v="4"/>
    <n v="31"/>
    <n v="2.1700000000000001E-2"/>
    <x v="1"/>
    <x v="6"/>
    <n v="50"/>
    <x v="289"/>
    <n v="95.673876871900006"/>
    <n v="47.836938435900002"/>
    <s v="monthly"/>
    <n v="1"/>
    <n v="1"/>
    <n v="47.836938435900002"/>
    <x v="3"/>
    <m/>
    <m/>
    <m/>
    <m/>
    <n v="0"/>
  </r>
  <r>
    <s v="47045-evaluations"/>
    <x v="65"/>
    <n v="47045"/>
    <x v="335"/>
    <s v="evaluations"/>
    <x v="24"/>
    <x v="0"/>
    <x v="4"/>
    <x v="4"/>
    <n v="28"/>
    <n v="2.1700000000000001E-2"/>
    <x v="1"/>
    <x v="6"/>
    <n v="50"/>
    <x v="290"/>
    <n v="96.078431372500006"/>
    <n v="48.039215686299997"/>
    <s v="monthly"/>
    <n v="1"/>
    <n v="1"/>
    <n v="48.039215686299997"/>
    <x v="3"/>
    <m/>
    <m/>
    <m/>
    <m/>
    <n v="0"/>
  </r>
  <r>
    <s v="47045-mou"/>
    <x v="65"/>
    <n v="47045"/>
    <x v="336"/>
    <s v="mou"/>
    <x v="25"/>
    <x v="0"/>
    <x v="4"/>
    <x v="4"/>
    <n v="27"/>
    <n v="2.1700000000000001E-2"/>
    <x v="1"/>
    <x v="6"/>
    <n v="50"/>
    <x v="291"/>
    <n v="83.527454242900006"/>
    <n v="41.763727121499997"/>
    <s v="monthly"/>
    <n v="1"/>
    <n v="1"/>
    <n v="41.763727121499997"/>
    <x v="3"/>
    <m/>
    <m/>
    <m/>
    <m/>
    <n v="0"/>
  </r>
  <r>
    <s v="47045-objectives"/>
    <x v="65"/>
    <n v="47045"/>
    <x v="334"/>
    <s v="objectives"/>
    <x v="26"/>
    <x v="0"/>
    <x v="4"/>
    <x v="4"/>
    <n v="29"/>
    <n v="2.1700000000000001E-2"/>
    <x v="1"/>
    <x v="6"/>
    <n v="50"/>
    <x v="289"/>
    <n v="95.673876871900006"/>
    <n v="47.836938435900002"/>
    <s v="monthly"/>
    <n v="1"/>
    <n v="1"/>
    <n v="47.836938435900002"/>
    <x v="3"/>
    <m/>
    <m/>
    <m/>
    <m/>
    <n v="0"/>
  </r>
  <r>
    <s v="47045-audit"/>
    <x v="65"/>
    <n v="47045"/>
    <x v="42"/>
    <s v="audit"/>
    <x v="28"/>
    <x v="1"/>
    <x v="2"/>
    <x v="5"/>
    <n v="11"/>
    <n v="4.1700000000000001E-2"/>
    <x v="1"/>
    <x v="6"/>
    <n v="50"/>
    <x v="5"/>
    <n v="100"/>
    <n v="50"/>
    <s v="monthly"/>
    <n v="1"/>
    <n v="1"/>
    <n v="50"/>
    <x v="3"/>
    <m/>
    <m/>
    <m/>
    <m/>
    <n v="0"/>
  </r>
  <r>
    <s v="47045-strategy"/>
    <x v="65"/>
    <n v="47045"/>
    <x v="43"/>
    <s v="strategy"/>
    <x v="31"/>
    <x v="1"/>
    <x v="5"/>
    <x v="6"/>
    <n v="4"/>
    <n v="2.5000000000000001E-2"/>
    <x v="1"/>
    <x v="6"/>
    <n v="50"/>
    <x v="5"/>
    <n v="100"/>
    <n v="50"/>
    <s v="monthly"/>
    <n v="1"/>
    <n v="1"/>
    <n v="50"/>
    <x v="3"/>
    <m/>
    <m/>
    <m/>
    <m/>
    <n v="0"/>
  </r>
  <r>
    <s v="47045-allocation"/>
    <x v="65"/>
    <n v="47045"/>
    <x v="43"/>
    <s v="allocation"/>
    <x v="33"/>
    <x v="1"/>
    <x v="5"/>
    <x v="6"/>
    <n v="6"/>
    <n v="2.5000000000000001E-2"/>
    <x v="1"/>
    <x v="6"/>
    <n v="50"/>
    <x v="5"/>
    <n v="100"/>
    <n v="50"/>
    <s v="monthly"/>
    <n v="1"/>
    <n v="1"/>
    <n v="50"/>
    <x v="3"/>
    <m/>
    <m/>
    <m/>
    <m/>
    <n v="0"/>
  </r>
  <r>
    <s v="47045-procurement-policy"/>
    <x v="65"/>
    <n v="47045"/>
    <x v="43"/>
    <s v="procurement-policy"/>
    <x v="34"/>
    <x v="1"/>
    <x v="5"/>
    <x v="6"/>
    <n v="7"/>
    <n v="2.5000000000000001E-2"/>
    <x v="1"/>
    <x v="6"/>
    <n v="50"/>
    <x v="5"/>
    <n v="100"/>
    <n v="50"/>
    <s v="monthly"/>
    <n v="1"/>
    <n v="1"/>
    <n v="50"/>
    <x v="3"/>
    <m/>
    <m/>
    <m/>
    <m/>
    <n v="0"/>
  </r>
  <r>
    <s v="47045-total-budget"/>
    <x v="65"/>
    <n v="47045"/>
    <x v="23"/>
    <s v="total-budget"/>
    <x v="29"/>
    <x v="1"/>
    <x v="2"/>
    <x v="5"/>
    <n v="9"/>
    <n v="4.1700000000000001E-2"/>
    <x v="0"/>
    <x v="4"/>
    <n v="16.666666666699999"/>
    <x v="9"/>
    <n v="0"/>
    <n v="0"/>
    <s v="monthly"/>
    <n v="1"/>
    <n v="1"/>
    <n v="0"/>
    <x v="3"/>
    <n v="0"/>
    <n v="1"/>
    <s v="machine-readable"/>
    <n v="50"/>
    <n v="16.666666666699999"/>
  </r>
  <r>
    <s v="47045-disaggregated-budgets"/>
    <x v="65"/>
    <n v="47045"/>
    <x v="23"/>
    <s v="disaggregated-budgets"/>
    <x v="30"/>
    <x v="1"/>
    <x v="2"/>
    <x v="5"/>
    <n v="10"/>
    <n v="4.1700000000000001E-2"/>
    <x v="0"/>
    <x v="4"/>
    <n v="16.666666666699999"/>
    <x v="9"/>
    <n v="0"/>
    <n v="0"/>
    <s v="monthly"/>
    <n v="1"/>
    <n v="1"/>
    <n v="0"/>
    <x v="3"/>
    <n v="0"/>
    <n v="1"/>
    <s v="machine-readable"/>
    <n v="50"/>
    <n v="16.666666666699999"/>
  </r>
  <r>
    <s v="47045-annual-report"/>
    <x v="65"/>
    <n v="47045"/>
    <x v="6"/>
    <s v="annual-report"/>
    <x v="32"/>
    <x v="1"/>
    <x v="5"/>
    <x v="6"/>
    <n v="5"/>
    <n v="2.5000000000000001E-2"/>
    <x v="0"/>
    <x v="2"/>
    <n v="50"/>
    <x v="2"/>
    <n v="0"/>
    <n v="0"/>
    <s v="monthly"/>
    <n v="1"/>
    <n v="1"/>
    <n v="0"/>
    <x v="1"/>
    <n v="1"/>
    <m/>
    <s v="document"/>
    <n v="50"/>
    <n v="50"/>
  </r>
  <r>
    <s v="47045-country-strategy"/>
    <x v="65"/>
    <n v="47045"/>
    <x v="0"/>
    <s v="country-strategy"/>
    <x v="35"/>
    <x v="1"/>
    <x v="5"/>
    <x v="6"/>
    <n v="8"/>
    <n v="2.5000000000000001E-2"/>
    <x v="0"/>
    <x v="2"/>
    <n v="0"/>
    <x v="0"/>
    <n v="0"/>
    <n v="0"/>
    <s v="monthly"/>
    <n v="1"/>
    <n v="1"/>
    <n v="0"/>
    <x v="0"/>
    <n v="0"/>
    <m/>
    <s v="document"/>
    <n v="50"/>
    <n v="0"/>
  </r>
  <r>
    <s v="47045-location"/>
    <x v="65"/>
    <n v="47045"/>
    <x v="0"/>
    <s v="location"/>
    <x v="13"/>
    <x v="0"/>
    <x v="1"/>
    <x v="1"/>
    <n v="25"/>
    <n v="1.8599999999999998E-2"/>
    <x v="0"/>
    <x v="3"/>
    <n v="0"/>
    <x v="0"/>
    <n v="0"/>
    <n v="0"/>
    <s v="monthly"/>
    <n v="1"/>
    <n v="1"/>
    <n v="0"/>
    <x v="2"/>
    <n v="0"/>
    <m/>
    <s v="pdf"/>
    <n v="16.664999999999999"/>
    <n v="0"/>
  </r>
  <r>
    <s v="47045-cost-overall"/>
    <x v="65"/>
    <n v="47045"/>
    <x v="19"/>
    <s v="cost-overall"/>
    <x v="16"/>
    <x v="0"/>
    <x v="2"/>
    <x v="2"/>
    <n v="33"/>
    <n v="3.2500000000000001E-2"/>
    <x v="0"/>
    <x v="3"/>
    <n v="16.664999999999999"/>
    <x v="4"/>
    <n v="0"/>
    <n v="0"/>
    <s v="monthly"/>
    <n v="1"/>
    <n v="1"/>
    <n v="0"/>
    <x v="1"/>
    <n v="1"/>
    <m/>
    <s v="pdf"/>
    <n v="16.664999999999999"/>
    <n v="16.664999999999999"/>
  </r>
  <r>
    <s v="47045-budget-identifier"/>
    <x v="65"/>
    <n v="47045"/>
    <x v="0"/>
    <s v="budget-identifier"/>
    <x v="18"/>
    <x v="0"/>
    <x v="2"/>
    <x v="2"/>
    <n v="36"/>
    <n v="3.2500000000000001E-2"/>
    <x v="0"/>
    <x v="0"/>
    <n v="0"/>
    <x v="0"/>
    <n v="0"/>
    <n v="0"/>
    <s v="monthly"/>
    <n v="1"/>
    <n v="1"/>
    <n v="0"/>
    <x v="0"/>
    <n v="0"/>
    <m/>
    <m/>
    <n v="0"/>
    <n v="0"/>
  </r>
  <r>
    <s v="47045-impact-appraisals"/>
    <x v="65"/>
    <n v="47045"/>
    <x v="20"/>
    <s v="impact-appraisals"/>
    <x v="20"/>
    <x v="0"/>
    <x v="3"/>
    <x v="3"/>
    <n v="38"/>
    <n v="4.3299999999999998E-2"/>
    <x v="0"/>
    <x v="2"/>
    <n v="50"/>
    <x v="2"/>
    <n v="0"/>
    <n v="0"/>
    <s v="monthly"/>
    <n v="1"/>
    <n v="1"/>
    <n v="0"/>
    <x v="1"/>
    <n v="1"/>
    <m/>
    <s v="document"/>
    <n v="50"/>
    <n v="50"/>
  </r>
  <r>
    <s v="47045-tenders"/>
    <x v="65"/>
    <n v="47045"/>
    <x v="3"/>
    <s v="tenders"/>
    <x v="27"/>
    <x v="0"/>
    <x v="4"/>
    <x v="4"/>
    <n v="32"/>
    <n v="2.1700000000000001E-2"/>
    <x v="0"/>
    <x v="2"/>
    <n v="50"/>
    <x v="2"/>
    <n v="0"/>
    <n v="0"/>
    <s v="monthly"/>
    <n v="1"/>
    <n v="1"/>
    <n v="0"/>
    <x v="1"/>
    <n v="1"/>
    <m/>
    <s v="document"/>
    <n v="50"/>
    <n v="50"/>
  </r>
  <r>
    <s v="47045-foia"/>
    <x v="65"/>
    <n v="47045"/>
    <x v="7"/>
    <s v="foia"/>
    <x v="36"/>
    <x v="2"/>
    <x v="6"/>
    <x v="7"/>
    <n v="1"/>
    <n v="3.3300000000000003E-2"/>
    <x v="0"/>
    <x v="5"/>
    <n v="33.33"/>
    <x v="1"/>
    <n v="0"/>
    <n v="0"/>
    <s v="monthly"/>
    <n v="1"/>
    <n v="1"/>
    <n v="0"/>
    <x v="3"/>
    <n v="0"/>
    <n v="33.33"/>
    <m/>
    <n v="0"/>
    <n v="33.33"/>
  </r>
  <r>
    <s v="47045-accessibility"/>
    <x v="65"/>
    <n v="47045"/>
    <x v="15"/>
    <s v="accessibility"/>
    <x v="37"/>
    <x v="2"/>
    <x v="6"/>
    <x v="7"/>
    <n v="3"/>
    <n v="3.3300000000000003E-2"/>
    <x v="0"/>
    <x v="5"/>
    <n v="66.66"/>
    <x v="6"/>
    <n v="0"/>
    <n v="0"/>
    <s v="monthly"/>
    <n v="1"/>
    <n v="1"/>
    <n v="0"/>
    <x v="3"/>
    <n v="0"/>
    <n v="66.66"/>
    <m/>
    <n v="0"/>
    <n v="66.66"/>
  </r>
  <r>
    <s v="47045-implementation-schedules"/>
    <x v="65"/>
    <n v="47045"/>
    <x v="337"/>
    <s v="implementation-schedules"/>
    <x v="38"/>
    <x v="2"/>
    <x v="6"/>
    <x v="7"/>
    <n v="2"/>
    <n v="3.3300000000000003E-2"/>
    <x v="0"/>
    <x v="5"/>
    <n v="71"/>
    <x v="292"/>
    <n v="0"/>
    <n v="0"/>
    <s v="monthly"/>
    <n v="1"/>
    <n v="1"/>
    <n v="0"/>
    <x v="3"/>
    <n v="0"/>
    <n v="71"/>
    <m/>
    <n v="0"/>
    <n v="71"/>
  </r>
  <r>
    <s v="AU-5-total-budget"/>
    <x v="66"/>
    <s v="AU-5"/>
    <x v="69"/>
    <s v="total-budget"/>
    <x v="29"/>
    <x v="1"/>
    <x v="2"/>
    <x v="5"/>
    <n v="9"/>
    <n v="4.1700000000000001E-2"/>
    <x v="1"/>
    <x v="6"/>
    <n v="50"/>
    <x v="41"/>
    <n v="33.333333333299997"/>
    <n v="16.666666666699999"/>
    <s v="quarterly"/>
    <n v="0.9"/>
    <n v="1"/>
    <n v="16.666666666699999"/>
    <x v="3"/>
    <m/>
    <m/>
    <m/>
    <m/>
    <n v="0"/>
  </r>
  <r>
    <s v="AU-5-strategy"/>
    <x v="66"/>
    <s v="AU-5"/>
    <x v="43"/>
    <s v="strategy"/>
    <x v="31"/>
    <x v="1"/>
    <x v="5"/>
    <x v="6"/>
    <n v="4"/>
    <n v="2.5000000000000001E-2"/>
    <x v="1"/>
    <x v="6"/>
    <n v="50"/>
    <x v="5"/>
    <n v="100"/>
    <n v="50"/>
    <s v="quarterly"/>
    <n v="0.9"/>
    <n v="1"/>
    <n v="50"/>
    <x v="3"/>
    <m/>
    <m/>
    <m/>
    <m/>
    <n v="0"/>
  </r>
  <r>
    <s v="AU-5-dates-actual"/>
    <x v="66"/>
    <s v="AU-5"/>
    <x v="338"/>
    <s v="dates-actual"/>
    <x v="0"/>
    <x v="0"/>
    <x v="0"/>
    <x v="0"/>
    <n v="17"/>
    <n v="1.6299999999999999E-2"/>
    <x v="1"/>
    <x v="6"/>
    <n v="50"/>
    <x v="293"/>
    <n v="86.779661016899993"/>
    <n v="43.389830508499998"/>
    <s v="quarterly"/>
    <n v="0.9"/>
    <n v="0.9"/>
    <n v="39.0508474576"/>
    <x v="3"/>
    <m/>
    <m/>
    <m/>
    <m/>
    <n v="0"/>
  </r>
  <r>
    <s v="AU-5-contact-details"/>
    <x v="66"/>
    <s v="AU-5"/>
    <x v="26"/>
    <s v="contact-details"/>
    <x v="1"/>
    <x v="0"/>
    <x v="0"/>
    <x v="0"/>
    <n v="19"/>
    <n v="1.6299999999999999E-2"/>
    <x v="1"/>
    <x v="6"/>
    <n v="50"/>
    <x v="12"/>
    <n v="100"/>
    <n v="50"/>
    <s v="quarterly"/>
    <n v="0.9"/>
    <n v="0.9"/>
    <n v="45"/>
    <x v="3"/>
    <m/>
    <m/>
    <m/>
    <m/>
    <n v="0"/>
  </r>
  <r>
    <s v="AU-5-current-status"/>
    <x v="66"/>
    <s v="AU-5"/>
    <x v="26"/>
    <s v="current-status"/>
    <x v="2"/>
    <x v="0"/>
    <x v="0"/>
    <x v="0"/>
    <n v="18"/>
    <n v="1.6299999999999999E-2"/>
    <x v="1"/>
    <x v="6"/>
    <n v="50"/>
    <x v="12"/>
    <n v="100"/>
    <n v="50"/>
    <s v="quarterly"/>
    <n v="0.9"/>
    <n v="0.9"/>
    <n v="45"/>
    <x v="3"/>
    <m/>
    <m/>
    <m/>
    <m/>
    <n v="0"/>
  </r>
  <r>
    <s v="AU-5-description"/>
    <x v="66"/>
    <s v="AU-5"/>
    <x v="339"/>
    <s v="description"/>
    <x v="3"/>
    <x v="0"/>
    <x v="0"/>
    <x v="0"/>
    <n v="15"/>
    <n v="1.6299999999999999E-2"/>
    <x v="1"/>
    <x v="6"/>
    <n v="50"/>
    <x v="294"/>
    <n v="99.880136986300002"/>
    <n v="49.940068493200002"/>
    <s v="quarterly"/>
    <n v="0.9"/>
    <n v="0.9"/>
    <n v="44.9460616438"/>
    <x v="3"/>
    <m/>
    <m/>
    <m/>
    <m/>
    <n v="0"/>
  </r>
  <r>
    <s v="AU-5-dates-planned"/>
    <x v="66"/>
    <s v="AU-5"/>
    <x v="26"/>
    <s v="dates-planned"/>
    <x v="5"/>
    <x v="0"/>
    <x v="0"/>
    <x v="0"/>
    <n v="16"/>
    <n v="1.6299999999999999E-2"/>
    <x v="1"/>
    <x v="6"/>
    <n v="50"/>
    <x v="12"/>
    <n v="100"/>
    <n v="50"/>
    <s v="quarterly"/>
    <n v="0.9"/>
    <n v="0.9"/>
    <n v="45"/>
    <x v="3"/>
    <m/>
    <m/>
    <m/>
    <m/>
    <n v="0"/>
  </r>
  <r>
    <s v="AU-5-title"/>
    <x v="66"/>
    <s v="AU-5"/>
    <x v="340"/>
    <s v="title"/>
    <x v="6"/>
    <x v="0"/>
    <x v="0"/>
    <x v="0"/>
    <n v="14"/>
    <n v="1.6299999999999999E-2"/>
    <x v="1"/>
    <x v="6"/>
    <n v="50"/>
    <x v="295"/>
    <n v="99.640410958900006"/>
    <n v="49.820205479499997"/>
    <s v="quarterly"/>
    <n v="0.9"/>
    <n v="0.9"/>
    <n v="44.838184931500003"/>
    <x v="3"/>
    <m/>
    <m/>
    <m/>
    <m/>
    <n v="0"/>
  </r>
  <r>
    <s v="AU-5-unique-id"/>
    <x v="66"/>
    <s v="AU-5"/>
    <x v="26"/>
    <s v="unique-id"/>
    <x v="7"/>
    <x v="0"/>
    <x v="0"/>
    <x v="0"/>
    <n v="13"/>
    <n v="1.6299999999999999E-2"/>
    <x v="1"/>
    <x v="6"/>
    <n v="50"/>
    <x v="12"/>
    <n v="100"/>
    <n v="50"/>
    <s v="quarterly"/>
    <n v="0.9"/>
    <n v="0.9"/>
    <n v="45"/>
    <x v="3"/>
    <m/>
    <m/>
    <m/>
    <m/>
    <n v="0"/>
  </r>
  <r>
    <s v="AU-5-aid-type"/>
    <x v="66"/>
    <s v="AU-5"/>
    <x v="29"/>
    <s v="aid-type"/>
    <x v="8"/>
    <x v="0"/>
    <x v="1"/>
    <x v="1"/>
    <n v="22"/>
    <n v="1.8599999999999998E-2"/>
    <x v="1"/>
    <x v="6"/>
    <n v="50"/>
    <x v="12"/>
    <n v="100"/>
    <n v="50"/>
    <s v="quarterly"/>
    <n v="0.9"/>
    <n v="0.9"/>
    <n v="45"/>
    <x v="3"/>
    <m/>
    <m/>
    <m/>
    <m/>
    <n v="0"/>
  </r>
  <r>
    <s v="AU-5-finance-type"/>
    <x v="66"/>
    <s v="AU-5"/>
    <x v="29"/>
    <s v="finance-type"/>
    <x v="10"/>
    <x v="0"/>
    <x v="1"/>
    <x v="1"/>
    <n v="23"/>
    <n v="1.8599999999999998E-2"/>
    <x v="1"/>
    <x v="6"/>
    <n v="50"/>
    <x v="12"/>
    <n v="100"/>
    <n v="50"/>
    <s v="quarterly"/>
    <n v="0.9"/>
    <n v="0.9"/>
    <n v="45"/>
    <x v="3"/>
    <m/>
    <m/>
    <m/>
    <m/>
    <n v="0"/>
  </r>
  <r>
    <s v="AU-5-flow-type"/>
    <x v="66"/>
    <s v="AU-5"/>
    <x v="29"/>
    <s v="flow-type"/>
    <x v="11"/>
    <x v="0"/>
    <x v="1"/>
    <x v="1"/>
    <n v="21"/>
    <n v="1.8599999999999998E-2"/>
    <x v="1"/>
    <x v="6"/>
    <n v="50"/>
    <x v="12"/>
    <n v="100"/>
    <n v="50"/>
    <s v="quarterly"/>
    <n v="0.9"/>
    <n v="0.9"/>
    <n v="45"/>
    <x v="3"/>
    <m/>
    <m/>
    <m/>
    <m/>
    <n v="0"/>
  </r>
  <r>
    <s v="AU-5-sector"/>
    <x v="66"/>
    <s v="AU-5"/>
    <x v="341"/>
    <s v="sector"/>
    <x v="12"/>
    <x v="0"/>
    <x v="1"/>
    <x v="1"/>
    <n v="24"/>
    <n v="1.8599999999999998E-2"/>
    <x v="1"/>
    <x v="6"/>
    <n v="50"/>
    <x v="296"/>
    <n v="99.914383561600005"/>
    <n v="49.957191780800002"/>
    <s v="quarterly"/>
    <n v="0.9"/>
    <n v="0.9"/>
    <n v="44.961472602699999"/>
    <x v="3"/>
    <m/>
    <m/>
    <m/>
    <m/>
    <n v="0"/>
  </r>
  <r>
    <s v="AU-5-expenditure-actual"/>
    <x v="66"/>
    <s v="AU-5"/>
    <x v="342"/>
    <s v="expenditure-actual"/>
    <x v="15"/>
    <x v="0"/>
    <x v="2"/>
    <x v="2"/>
    <n v="35"/>
    <n v="3.2500000000000001E-2"/>
    <x v="1"/>
    <x v="6"/>
    <n v="50"/>
    <x v="297"/>
    <n v="99.657534246599994"/>
    <n v="49.828767123299997"/>
    <s v="quarterly"/>
    <n v="0.9"/>
    <n v="0.9"/>
    <n v="44.845890410999999"/>
    <x v="3"/>
    <m/>
    <m/>
    <m/>
    <m/>
    <n v="0"/>
  </r>
  <r>
    <s v="AU-5-annual-report"/>
    <x v="66"/>
    <s v="AU-5"/>
    <x v="43"/>
    <s v="annual-report"/>
    <x v="32"/>
    <x v="1"/>
    <x v="5"/>
    <x v="6"/>
    <n v="5"/>
    <n v="2.5000000000000001E-2"/>
    <x v="1"/>
    <x v="6"/>
    <n v="50"/>
    <x v="5"/>
    <n v="100"/>
    <n v="50"/>
    <s v="quarterly"/>
    <n v="0.9"/>
    <n v="1"/>
    <n v="50"/>
    <x v="3"/>
    <m/>
    <m/>
    <m/>
    <m/>
    <n v="0"/>
  </r>
  <r>
    <s v="AU-5-procurement-policy"/>
    <x v="66"/>
    <s v="AU-5"/>
    <x v="43"/>
    <s v="procurement-policy"/>
    <x v="34"/>
    <x v="1"/>
    <x v="5"/>
    <x v="6"/>
    <n v="7"/>
    <n v="2.5000000000000001E-2"/>
    <x v="1"/>
    <x v="6"/>
    <n v="50"/>
    <x v="5"/>
    <n v="100"/>
    <n v="50"/>
    <s v="quarterly"/>
    <n v="0.9"/>
    <n v="1"/>
    <n v="50"/>
    <x v="3"/>
    <m/>
    <m/>
    <m/>
    <m/>
    <n v="0"/>
  </r>
  <r>
    <s v="AU-5-allocation"/>
    <x v="66"/>
    <s v="AU-5"/>
    <x v="43"/>
    <s v="allocation"/>
    <x v="33"/>
    <x v="1"/>
    <x v="5"/>
    <x v="6"/>
    <n v="6"/>
    <n v="2.5000000000000001E-2"/>
    <x v="1"/>
    <x v="6"/>
    <n v="50"/>
    <x v="5"/>
    <n v="100"/>
    <n v="50"/>
    <s v="quarterly"/>
    <n v="0.9"/>
    <n v="1"/>
    <n v="50"/>
    <x v="3"/>
    <m/>
    <m/>
    <m/>
    <m/>
    <n v="0"/>
  </r>
  <r>
    <s v="AU-5-audit"/>
    <x v="66"/>
    <s v="AU-5"/>
    <x v="4"/>
    <s v="audit"/>
    <x v="28"/>
    <x v="1"/>
    <x v="2"/>
    <x v="5"/>
    <n v="11"/>
    <n v="4.1700000000000001E-2"/>
    <x v="0"/>
    <x v="2"/>
    <n v="50"/>
    <x v="2"/>
    <n v="0"/>
    <n v="0"/>
    <s v="quarterly"/>
    <n v="0.9"/>
    <n v="1"/>
    <n v="0"/>
    <x v="1"/>
    <n v="1"/>
    <m/>
    <s v="document"/>
    <n v="50"/>
    <n v="50"/>
  </r>
  <r>
    <s v="AU-5-disaggregated-budgets"/>
    <x v="66"/>
    <s v="AU-5"/>
    <x v="5"/>
    <s v="disaggregated-budgets"/>
    <x v="30"/>
    <x v="1"/>
    <x v="2"/>
    <x v="5"/>
    <n v="10"/>
    <n v="4.1700000000000001E-2"/>
    <x v="0"/>
    <x v="1"/>
    <n v="11.11"/>
    <x v="3"/>
    <n v="0"/>
    <n v="0"/>
    <s v="quarterly"/>
    <n v="0.9"/>
    <n v="1"/>
    <n v="0"/>
    <x v="3"/>
    <n v="0"/>
    <n v="1"/>
    <s v="website"/>
    <n v="33.33"/>
    <n v="11.11"/>
  </r>
  <r>
    <s v="AU-5-country-strategy"/>
    <x v="66"/>
    <s v="AU-5"/>
    <x v="6"/>
    <s v="country-strategy"/>
    <x v="35"/>
    <x v="1"/>
    <x v="5"/>
    <x v="6"/>
    <n v="8"/>
    <n v="2.5000000000000001E-2"/>
    <x v="0"/>
    <x v="2"/>
    <n v="50"/>
    <x v="2"/>
    <n v="0"/>
    <n v="0"/>
    <s v="quarterly"/>
    <n v="0.9"/>
    <n v="1"/>
    <n v="0"/>
    <x v="1"/>
    <n v="1"/>
    <m/>
    <s v="document"/>
    <n v="50"/>
    <n v="50"/>
  </r>
  <r>
    <s v="AU-5-implementer"/>
    <x v="66"/>
    <s v="AU-5"/>
    <x v="0"/>
    <s v="implementer"/>
    <x v="4"/>
    <x v="0"/>
    <x v="0"/>
    <x v="0"/>
    <n v="12"/>
    <n v="1.6299999999999999E-2"/>
    <x v="0"/>
    <x v="0"/>
    <n v="0"/>
    <x v="0"/>
    <n v="0"/>
    <n v="0"/>
    <s v="quarterly"/>
    <n v="0.9"/>
    <n v="1"/>
    <n v="0"/>
    <x v="0"/>
    <n v="0"/>
    <m/>
    <m/>
    <n v="0"/>
    <n v="0"/>
  </r>
  <r>
    <s v="AU-5-collaboration-type"/>
    <x v="66"/>
    <s v="AU-5"/>
    <x v="0"/>
    <s v="collaboration-type"/>
    <x v="9"/>
    <x v="0"/>
    <x v="1"/>
    <x v="1"/>
    <n v="20"/>
    <n v="1.8599999999999998E-2"/>
    <x v="0"/>
    <x v="0"/>
    <n v="0"/>
    <x v="0"/>
    <n v="0"/>
    <n v="0"/>
    <s v="quarterly"/>
    <n v="0.9"/>
    <n v="1"/>
    <n v="0"/>
    <x v="0"/>
    <n v="0"/>
    <m/>
    <m/>
    <n v="0"/>
    <n v="0"/>
  </r>
  <r>
    <s v="AU-5-location"/>
    <x v="66"/>
    <s v="AU-5"/>
    <x v="0"/>
    <s v="location"/>
    <x v="13"/>
    <x v="0"/>
    <x v="1"/>
    <x v="1"/>
    <n v="25"/>
    <n v="1.8599999999999998E-2"/>
    <x v="0"/>
    <x v="1"/>
    <n v="0"/>
    <x v="0"/>
    <n v="0"/>
    <n v="0"/>
    <s v="quarterly"/>
    <n v="0.9"/>
    <n v="1"/>
    <n v="0"/>
    <x v="2"/>
    <n v="0"/>
    <m/>
    <s v="website"/>
    <n v="33.33"/>
    <n v="0"/>
  </r>
  <r>
    <s v="AU-5-tied-aid-status"/>
    <x v="66"/>
    <s v="AU-5"/>
    <x v="8"/>
    <s v="tied-aid-status"/>
    <x v="14"/>
    <x v="0"/>
    <x v="1"/>
    <x v="1"/>
    <n v="26"/>
    <n v="1.8599999999999998E-2"/>
    <x v="0"/>
    <x v="1"/>
    <n v="33.33"/>
    <x v="1"/>
    <n v="0"/>
    <n v="0"/>
    <s v="quarterly"/>
    <n v="0.9"/>
    <n v="1"/>
    <n v="0"/>
    <x v="1"/>
    <n v="1"/>
    <m/>
    <s v="website"/>
    <n v="33.33"/>
    <n v="33.33"/>
  </r>
  <r>
    <s v="AU-5-cost-overall"/>
    <x v="66"/>
    <s v="AU-5"/>
    <x v="0"/>
    <s v="cost-overall"/>
    <x v="16"/>
    <x v="0"/>
    <x v="2"/>
    <x v="2"/>
    <n v="33"/>
    <n v="3.2500000000000001E-2"/>
    <x v="0"/>
    <x v="0"/>
    <n v="0"/>
    <x v="0"/>
    <n v="0"/>
    <n v="0"/>
    <s v="quarterly"/>
    <n v="0.9"/>
    <n v="1"/>
    <n v="0"/>
    <x v="0"/>
    <n v="0"/>
    <m/>
    <m/>
    <n v="0"/>
    <n v="0"/>
  </r>
  <r>
    <s v="AU-5-expenditure-planned"/>
    <x v="66"/>
    <s v="AU-5"/>
    <x v="0"/>
    <s v="expenditure-planned"/>
    <x v="17"/>
    <x v="0"/>
    <x v="2"/>
    <x v="2"/>
    <n v="34"/>
    <n v="3.2500000000000001E-2"/>
    <x v="0"/>
    <x v="1"/>
    <n v="0"/>
    <x v="0"/>
    <n v="0"/>
    <n v="0"/>
    <s v="quarterly"/>
    <n v="0.9"/>
    <n v="1"/>
    <n v="0"/>
    <x v="2"/>
    <n v="0"/>
    <m/>
    <s v="website"/>
    <n v="33.33"/>
    <n v="0"/>
  </r>
  <r>
    <s v="AU-5-budget-identifier"/>
    <x v="66"/>
    <s v="AU-5"/>
    <x v="0"/>
    <s v="budget-identifier"/>
    <x v="18"/>
    <x v="0"/>
    <x v="2"/>
    <x v="2"/>
    <n v="36"/>
    <n v="3.2500000000000001E-2"/>
    <x v="0"/>
    <x v="0"/>
    <n v="0"/>
    <x v="0"/>
    <n v="0"/>
    <n v="0"/>
    <s v="quarterly"/>
    <n v="0.9"/>
    <n v="1"/>
    <n v="0"/>
    <x v="0"/>
    <n v="0"/>
    <m/>
    <m/>
    <n v="0"/>
    <n v="0"/>
  </r>
  <r>
    <s v="AU-5-conditions"/>
    <x v="66"/>
    <s v="AU-5"/>
    <x v="0"/>
    <s v="conditions"/>
    <x v="19"/>
    <x v="0"/>
    <x v="3"/>
    <x v="3"/>
    <n v="39"/>
    <n v="4.3299999999999998E-2"/>
    <x v="0"/>
    <x v="2"/>
    <n v="0"/>
    <x v="0"/>
    <n v="0"/>
    <n v="0"/>
    <s v="quarterly"/>
    <n v="0.9"/>
    <n v="1"/>
    <n v="0"/>
    <x v="0"/>
    <n v="0"/>
    <m/>
    <s v="document"/>
    <n v="50"/>
    <n v="0"/>
  </r>
  <r>
    <s v="AU-5-impact-appraisals"/>
    <x v="66"/>
    <s v="AU-5"/>
    <x v="0"/>
    <s v="impact-appraisals"/>
    <x v="20"/>
    <x v="0"/>
    <x v="3"/>
    <x v="3"/>
    <n v="38"/>
    <n v="4.3299999999999998E-2"/>
    <x v="0"/>
    <x v="2"/>
    <n v="0"/>
    <x v="0"/>
    <n v="0"/>
    <n v="0"/>
    <s v="quarterly"/>
    <n v="0.9"/>
    <n v="1"/>
    <n v="0"/>
    <x v="0"/>
    <n v="0"/>
    <m/>
    <s v="document"/>
    <n v="50"/>
    <n v="0"/>
  </r>
  <r>
    <s v="AU-5-results"/>
    <x v="66"/>
    <s v="AU-5"/>
    <x v="0"/>
    <s v="results"/>
    <x v="21"/>
    <x v="0"/>
    <x v="3"/>
    <x v="3"/>
    <n v="37"/>
    <n v="4.3299999999999998E-2"/>
    <x v="0"/>
    <x v="1"/>
    <n v="0"/>
    <x v="0"/>
    <n v="0"/>
    <n v="0"/>
    <s v="quarterly"/>
    <n v="0.9"/>
    <n v="1"/>
    <n v="0"/>
    <x v="2"/>
    <n v="0"/>
    <m/>
    <s v="website"/>
    <n v="33.33"/>
    <n v="0"/>
  </r>
  <r>
    <s v="AU-5-budget"/>
    <x v="66"/>
    <s v="AU-5"/>
    <x v="0"/>
    <s v="budget"/>
    <x v="22"/>
    <x v="0"/>
    <x v="4"/>
    <x v="4"/>
    <n v="30"/>
    <n v="2.1700000000000001E-2"/>
    <x v="0"/>
    <x v="2"/>
    <n v="0"/>
    <x v="0"/>
    <n v="0"/>
    <n v="0"/>
    <s v="quarterly"/>
    <n v="0.9"/>
    <n v="1"/>
    <n v="0"/>
    <x v="0"/>
    <n v="0"/>
    <m/>
    <s v="document"/>
    <n v="50"/>
    <n v="0"/>
  </r>
  <r>
    <s v="AU-5-contracts"/>
    <x v="66"/>
    <s v="AU-5"/>
    <x v="3"/>
    <s v="contracts"/>
    <x v="23"/>
    <x v="0"/>
    <x v="4"/>
    <x v="4"/>
    <n v="31"/>
    <n v="2.1700000000000001E-2"/>
    <x v="0"/>
    <x v="2"/>
    <n v="50"/>
    <x v="2"/>
    <n v="0"/>
    <n v="0"/>
    <s v="quarterly"/>
    <n v="0.9"/>
    <n v="1"/>
    <n v="0"/>
    <x v="1"/>
    <n v="1"/>
    <m/>
    <s v="document"/>
    <n v="50"/>
    <n v="50"/>
  </r>
  <r>
    <s v="AU-5-evaluations"/>
    <x v="66"/>
    <s v="AU-5"/>
    <x v="3"/>
    <s v="evaluations"/>
    <x v="24"/>
    <x v="0"/>
    <x v="4"/>
    <x v="4"/>
    <n v="28"/>
    <n v="2.1700000000000001E-2"/>
    <x v="0"/>
    <x v="2"/>
    <n v="50"/>
    <x v="2"/>
    <n v="0"/>
    <n v="0"/>
    <s v="quarterly"/>
    <n v="0.9"/>
    <n v="1"/>
    <n v="0"/>
    <x v="1"/>
    <n v="1"/>
    <m/>
    <s v="document"/>
    <n v="50"/>
    <n v="50"/>
  </r>
  <r>
    <s v="AU-5-mou"/>
    <x v="66"/>
    <s v="AU-5"/>
    <x v="3"/>
    <s v="mou"/>
    <x v="25"/>
    <x v="0"/>
    <x v="4"/>
    <x v="4"/>
    <n v="27"/>
    <n v="2.1700000000000001E-2"/>
    <x v="0"/>
    <x v="2"/>
    <n v="50"/>
    <x v="2"/>
    <n v="0"/>
    <n v="0"/>
    <s v="quarterly"/>
    <n v="0.9"/>
    <n v="1"/>
    <n v="0"/>
    <x v="1"/>
    <n v="1"/>
    <m/>
    <s v="document"/>
    <n v="50"/>
    <n v="50"/>
  </r>
  <r>
    <s v="AU-5-objectives"/>
    <x v="66"/>
    <s v="AU-5"/>
    <x v="0"/>
    <s v="objectives"/>
    <x v="26"/>
    <x v="0"/>
    <x v="4"/>
    <x v="4"/>
    <n v="29"/>
    <n v="2.1700000000000001E-2"/>
    <x v="0"/>
    <x v="2"/>
    <n v="0"/>
    <x v="0"/>
    <n v="0"/>
    <n v="0"/>
    <s v="quarterly"/>
    <n v="0.9"/>
    <n v="1"/>
    <n v="0"/>
    <x v="2"/>
    <n v="0"/>
    <m/>
    <s v="document"/>
    <n v="50"/>
    <n v="0"/>
  </r>
  <r>
    <s v="AU-5-tenders"/>
    <x v="66"/>
    <s v="AU-5"/>
    <x v="3"/>
    <s v="tenders"/>
    <x v="27"/>
    <x v="0"/>
    <x v="4"/>
    <x v="4"/>
    <n v="32"/>
    <n v="2.1700000000000001E-2"/>
    <x v="0"/>
    <x v="2"/>
    <n v="50"/>
    <x v="2"/>
    <n v="0"/>
    <n v="0"/>
    <s v="quarterly"/>
    <n v="0.9"/>
    <n v="1"/>
    <n v="0"/>
    <x v="1"/>
    <n v="1"/>
    <m/>
    <s v="document"/>
    <n v="50"/>
    <n v="50"/>
  </r>
  <r>
    <s v="AU-5-foia"/>
    <x v="66"/>
    <s v="AU-5"/>
    <x v="15"/>
    <s v="foia"/>
    <x v="36"/>
    <x v="2"/>
    <x v="6"/>
    <x v="7"/>
    <n v="1"/>
    <n v="3.3300000000000003E-2"/>
    <x v="0"/>
    <x v="5"/>
    <n v="66.66"/>
    <x v="6"/>
    <n v="0"/>
    <n v="0"/>
    <s v="quarterly"/>
    <n v="0.9"/>
    <n v="1"/>
    <n v="0"/>
    <x v="3"/>
    <n v="0"/>
    <n v="66.66"/>
    <m/>
    <n v="0"/>
    <n v="66.66"/>
  </r>
  <r>
    <s v="AU-5-accessibility"/>
    <x v="66"/>
    <s v="AU-5"/>
    <x v="0"/>
    <s v="accessibility"/>
    <x v="37"/>
    <x v="2"/>
    <x v="6"/>
    <x v="7"/>
    <n v="3"/>
    <n v="3.3300000000000003E-2"/>
    <x v="0"/>
    <x v="5"/>
    <n v="0"/>
    <x v="0"/>
    <n v="0"/>
    <n v="0"/>
    <s v="quarterly"/>
    <n v="0.9"/>
    <n v="1"/>
    <n v="0"/>
    <x v="3"/>
    <n v="0"/>
    <n v="0"/>
    <m/>
    <n v="0"/>
    <n v="0"/>
  </r>
  <r>
    <s v="AU-5-implementation-schedules"/>
    <x v="66"/>
    <s v="AU-5"/>
    <x v="343"/>
    <s v="implementation-schedules"/>
    <x v="38"/>
    <x v="2"/>
    <x v="6"/>
    <x v="7"/>
    <n v="2"/>
    <n v="3.3300000000000003E-2"/>
    <x v="0"/>
    <x v="5"/>
    <n v="38"/>
    <x v="298"/>
    <n v="0"/>
    <n v="0"/>
    <s v="quarterly"/>
    <n v="0.9"/>
    <n v="1"/>
    <n v="0"/>
    <x v="3"/>
    <n v="0"/>
    <n v="38"/>
    <m/>
    <n v="0"/>
    <n v="38"/>
  </r>
  <r>
    <s v="FR-6-strategy"/>
    <x v="67"/>
    <s v="FR-6"/>
    <x v="43"/>
    <s v="strategy"/>
    <x v="31"/>
    <x v="1"/>
    <x v="5"/>
    <x v="6"/>
    <n v="4"/>
    <n v="2.5000000000000001E-2"/>
    <x v="1"/>
    <x v="6"/>
    <n v="50"/>
    <x v="5"/>
    <n v="100"/>
    <n v="50"/>
    <s v="quarterly"/>
    <n v="0.9"/>
    <n v="1"/>
    <n v="50"/>
    <x v="3"/>
    <m/>
    <m/>
    <m/>
    <m/>
    <n v="0"/>
  </r>
  <r>
    <s v="FR-6-annual-report"/>
    <x v="67"/>
    <s v="FR-6"/>
    <x v="43"/>
    <s v="annual-report"/>
    <x v="32"/>
    <x v="1"/>
    <x v="5"/>
    <x v="6"/>
    <n v="5"/>
    <n v="2.5000000000000001E-2"/>
    <x v="1"/>
    <x v="6"/>
    <n v="50"/>
    <x v="5"/>
    <n v="100"/>
    <n v="50"/>
    <s v="quarterly"/>
    <n v="0.9"/>
    <n v="1"/>
    <n v="50"/>
    <x v="3"/>
    <m/>
    <m/>
    <m/>
    <m/>
    <n v="0"/>
  </r>
  <r>
    <s v="FR-6-current-status"/>
    <x v="67"/>
    <s v="FR-6"/>
    <x v="344"/>
    <s v="current-status"/>
    <x v="2"/>
    <x v="0"/>
    <x v="0"/>
    <x v="0"/>
    <n v="18"/>
    <n v="1.6299999999999999E-2"/>
    <x v="1"/>
    <x v="6"/>
    <n v="50"/>
    <x v="299"/>
    <n v="14.870395634399999"/>
    <n v="7.4351978171899997"/>
    <s v="quarterly"/>
    <n v="0.9"/>
    <n v="0.9"/>
    <n v="6.6916780354699998"/>
    <x v="3"/>
    <m/>
    <m/>
    <m/>
    <m/>
    <n v="0"/>
  </r>
  <r>
    <s v="FR-6-description"/>
    <x v="67"/>
    <s v="FR-6"/>
    <x v="345"/>
    <s v="description"/>
    <x v="3"/>
    <x v="0"/>
    <x v="0"/>
    <x v="0"/>
    <n v="15"/>
    <n v="1.6299999999999999E-2"/>
    <x v="1"/>
    <x v="6"/>
    <n v="50"/>
    <x v="300"/>
    <n v="78.103683492499997"/>
    <n v="39.051841746199997"/>
    <s v="quarterly"/>
    <n v="0.9"/>
    <n v="0.9"/>
    <n v="35.146657571600002"/>
    <x v="3"/>
    <m/>
    <m/>
    <m/>
    <m/>
    <n v="0"/>
  </r>
  <r>
    <s v="FR-6-implementer"/>
    <x v="67"/>
    <s v="FR-6"/>
    <x v="26"/>
    <s v="implementer"/>
    <x v="4"/>
    <x v="0"/>
    <x v="0"/>
    <x v="0"/>
    <n v="12"/>
    <n v="1.6299999999999999E-2"/>
    <x v="1"/>
    <x v="6"/>
    <n v="50"/>
    <x v="12"/>
    <n v="100"/>
    <n v="50"/>
    <s v="quarterly"/>
    <n v="0.9"/>
    <n v="0.9"/>
    <n v="45"/>
    <x v="3"/>
    <m/>
    <m/>
    <m/>
    <m/>
    <n v="0"/>
  </r>
  <r>
    <s v="FR-6-dates-planned"/>
    <x v="67"/>
    <s v="FR-6"/>
    <x v="344"/>
    <s v="dates-planned"/>
    <x v="5"/>
    <x v="0"/>
    <x v="0"/>
    <x v="0"/>
    <n v="16"/>
    <n v="1.6299999999999999E-2"/>
    <x v="1"/>
    <x v="6"/>
    <n v="50"/>
    <x v="299"/>
    <n v="14.870395634399999"/>
    <n v="7.4351978171899997"/>
    <s v="quarterly"/>
    <n v="0.9"/>
    <n v="0.9"/>
    <n v="6.6916780354699998"/>
    <x v="3"/>
    <m/>
    <m/>
    <m/>
    <m/>
    <n v="0"/>
  </r>
  <r>
    <s v="FR-6-title"/>
    <x v="67"/>
    <s v="FR-6"/>
    <x v="346"/>
    <s v="title"/>
    <x v="6"/>
    <x v="0"/>
    <x v="0"/>
    <x v="0"/>
    <n v="14"/>
    <n v="1.6299999999999999E-2"/>
    <x v="1"/>
    <x v="6"/>
    <n v="50"/>
    <x v="301"/>
    <n v="99.386084583900001"/>
    <n v="49.693042292000001"/>
    <s v="quarterly"/>
    <n v="0.9"/>
    <n v="0.9"/>
    <n v="44.723738062800003"/>
    <x v="3"/>
    <m/>
    <m/>
    <m/>
    <m/>
    <n v="0"/>
  </r>
  <r>
    <s v="FR-6-unique-id"/>
    <x v="67"/>
    <s v="FR-6"/>
    <x v="26"/>
    <s v="unique-id"/>
    <x v="7"/>
    <x v="0"/>
    <x v="0"/>
    <x v="0"/>
    <n v="13"/>
    <n v="1.6299999999999999E-2"/>
    <x v="1"/>
    <x v="6"/>
    <n v="50"/>
    <x v="12"/>
    <n v="100"/>
    <n v="50"/>
    <s v="quarterly"/>
    <n v="0.9"/>
    <n v="0.9"/>
    <n v="45"/>
    <x v="3"/>
    <m/>
    <m/>
    <m/>
    <m/>
    <n v="0"/>
  </r>
  <r>
    <s v="FR-6-aid-type"/>
    <x v="67"/>
    <s v="FR-6"/>
    <x v="347"/>
    <s v="aid-type"/>
    <x v="8"/>
    <x v="0"/>
    <x v="1"/>
    <x v="1"/>
    <n v="22"/>
    <n v="1.8599999999999998E-2"/>
    <x v="1"/>
    <x v="6"/>
    <n v="50"/>
    <x v="302"/>
    <n v="99.863201094399997"/>
    <n v="49.931600547199999"/>
    <s v="quarterly"/>
    <n v="0.9"/>
    <n v="0.9"/>
    <n v="44.9384404925"/>
    <x v="3"/>
    <m/>
    <m/>
    <m/>
    <m/>
    <n v="0"/>
  </r>
  <r>
    <s v="FR-6-collaboration-type"/>
    <x v="67"/>
    <s v="FR-6"/>
    <x v="347"/>
    <s v="collaboration-type"/>
    <x v="9"/>
    <x v="0"/>
    <x v="1"/>
    <x v="1"/>
    <n v="20"/>
    <n v="1.8599999999999998E-2"/>
    <x v="1"/>
    <x v="6"/>
    <n v="50"/>
    <x v="302"/>
    <n v="99.863201094399997"/>
    <n v="49.931600547199999"/>
    <s v="quarterly"/>
    <n v="0.9"/>
    <n v="0.9"/>
    <n v="44.9384404925"/>
    <x v="3"/>
    <m/>
    <m/>
    <m/>
    <m/>
    <n v="0"/>
  </r>
  <r>
    <s v="FR-6-finance-type"/>
    <x v="67"/>
    <s v="FR-6"/>
    <x v="348"/>
    <s v="finance-type"/>
    <x v="10"/>
    <x v="0"/>
    <x v="1"/>
    <x v="1"/>
    <n v="23"/>
    <n v="1.8599999999999998E-2"/>
    <x v="1"/>
    <x v="6"/>
    <n v="50"/>
    <x v="303"/>
    <n v="91.244870040999999"/>
    <n v="45.622435020499999"/>
    <s v="quarterly"/>
    <n v="0.9"/>
    <n v="0.9"/>
    <n v="41.060191518499998"/>
    <x v="3"/>
    <m/>
    <m/>
    <m/>
    <m/>
    <n v="0"/>
  </r>
  <r>
    <s v="FR-6-flow-type"/>
    <x v="67"/>
    <s v="FR-6"/>
    <x v="347"/>
    <s v="flow-type"/>
    <x v="11"/>
    <x v="0"/>
    <x v="1"/>
    <x v="1"/>
    <n v="21"/>
    <n v="1.8599999999999998E-2"/>
    <x v="1"/>
    <x v="6"/>
    <n v="50"/>
    <x v="302"/>
    <n v="99.863201094399997"/>
    <n v="49.931600547199999"/>
    <s v="quarterly"/>
    <n v="0.9"/>
    <n v="0.9"/>
    <n v="44.9384404925"/>
    <x v="3"/>
    <m/>
    <m/>
    <m/>
    <m/>
    <n v="0"/>
  </r>
  <r>
    <s v="FR-6-sector"/>
    <x v="67"/>
    <s v="FR-6"/>
    <x v="349"/>
    <s v="sector"/>
    <x v="12"/>
    <x v="0"/>
    <x v="1"/>
    <x v="1"/>
    <n v="24"/>
    <n v="1.8599999999999998E-2"/>
    <x v="1"/>
    <x v="6"/>
    <n v="50"/>
    <x v="304"/>
    <n v="98.703956343800002"/>
    <n v="49.351978171900001"/>
    <s v="quarterly"/>
    <n v="0.9"/>
    <n v="0.9"/>
    <n v="44.416780354700002"/>
    <x v="3"/>
    <m/>
    <m/>
    <m/>
    <m/>
    <n v="0"/>
  </r>
  <r>
    <s v="FR-6-location"/>
    <x v="67"/>
    <s v="FR-6"/>
    <x v="350"/>
    <s v="location"/>
    <x v="13"/>
    <x v="0"/>
    <x v="1"/>
    <x v="1"/>
    <n v="25"/>
    <n v="1.8599999999999998E-2"/>
    <x v="1"/>
    <x v="6"/>
    <n v="50"/>
    <x v="305"/>
    <n v="13.6034732272"/>
    <n v="6.8017366136000001"/>
    <s v="quarterly"/>
    <n v="0.9"/>
    <n v="0.9"/>
    <n v="6.1215629522399997"/>
    <x v="3"/>
    <m/>
    <m/>
    <m/>
    <m/>
    <n v="0"/>
  </r>
  <r>
    <s v="FR-6-tied-aid-status"/>
    <x v="67"/>
    <s v="FR-6"/>
    <x v="29"/>
    <s v="tied-aid-status"/>
    <x v="14"/>
    <x v="0"/>
    <x v="1"/>
    <x v="1"/>
    <n v="26"/>
    <n v="1.8599999999999998E-2"/>
    <x v="1"/>
    <x v="6"/>
    <n v="50"/>
    <x v="12"/>
    <n v="100"/>
    <n v="50"/>
    <s v="quarterly"/>
    <n v="0.9"/>
    <n v="0.9"/>
    <n v="45"/>
    <x v="3"/>
    <m/>
    <m/>
    <m/>
    <m/>
    <n v="0"/>
  </r>
  <r>
    <s v="FR-6-expenditure-actual"/>
    <x v="67"/>
    <s v="FR-6"/>
    <x v="351"/>
    <s v="expenditure-actual"/>
    <x v="15"/>
    <x v="0"/>
    <x v="2"/>
    <x v="2"/>
    <n v="35"/>
    <n v="3.2500000000000001E-2"/>
    <x v="1"/>
    <x v="6"/>
    <n v="50"/>
    <x v="306"/>
    <n v="97.811217510299997"/>
    <n v="48.905608755099998"/>
    <s v="quarterly"/>
    <n v="0.9"/>
    <n v="0.9"/>
    <n v="44.015047879599997"/>
    <x v="3"/>
    <m/>
    <m/>
    <m/>
    <m/>
    <n v="0"/>
  </r>
  <r>
    <s v="FR-6-expenditure-planned"/>
    <x v="67"/>
    <s v="FR-6"/>
    <x v="352"/>
    <s v="expenditure-planned"/>
    <x v="17"/>
    <x v="0"/>
    <x v="2"/>
    <x v="2"/>
    <n v="34"/>
    <n v="3.2500000000000001E-2"/>
    <x v="1"/>
    <x v="6"/>
    <n v="50"/>
    <x v="307"/>
    <n v="59.370725034199999"/>
    <n v="29.6853625171"/>
    <s v="quarterly"/>
    <n v="0.9"/>
    <n v="0.9"/>
    <n v="26.716826265400002"/>
    <x v="3"/>
    <m/>
    <m/>
    <m/>
    <m/>
    <n v="0"/>
  </r>
  <r>
    <s v="FR-6-results"/>
    <x v="67"/>
    <s v="FR-6"/>
    <x v="353"/>
    <s v="results"/>
    <x v="21"/>
    <x v="0"/>
    <x v="3"/>
    <x v="3"/>
    <n v="37"/>
    <n v="4.3299999999999998E-2"/>
    <x v="1"/>
    <x v="6"/>
    <n v="50"/>
    <x v="308"/>
    <n v="3.6251709986299998"/>
    <n v="1.8125854993199999"/>
    <s v="quarterly"/>
    <n v="0.9"/>
    <n v="0.9"/>
    <n v="1.63132694938"/>
    <x v="3"/>
    <m/>
    <m/>
    <m/>
    <m/>
    <n v="0"/>
  </r>
  <r>
    <s v="FR-6-objectives"/>
    <x v="67"/>
    <s v="FR-6"/>
    <x v="354"/>
    <s v="objectives"/>
    <x v="26"/>
    <x v="0"/>
    <x v="4"/>
    <x v="4"/>
    <n v="29"/>
    <n v="2.1700000000000001E-2"/>
    <x v="1"/>
    <x v="6"/>
    <n v="50"/>
    <x v="309"/>
    <n v="1.23119015048"/>
    <n v="0.61559507523900003"/>
    <s v="quarterly"/>
    <n v="0.9"/>
    <n v="0.9"/>
    <n v="0.55403556771499995"/>
    <x v="3"/>
    <m/>
    <m/>
    <m/>
    <m/>
    <n v="0"/>
  </r>
  <r>
    <s v="FR-6-audit"/>
    <x v="67"/>
    <s v="FR-6"/>
    <x v="0"/>
    <s v="audit"/>
    <x v="28"/>
    <x v="1"/>
    <x v="2"/>
    <x v="5"/>
    <n v="11"/>
    <n v="4.1700000000000001E-2"/>
    <x v="0"/>
    <x v="2"/>
    <n v="0"/>
    <x v="0"/>
    <n v="0"/>
    <n v="0"/>
    <s v="quarterly"/>
    <n v="0.9"/>
    <n v="1"/>
    <n v="0"/>
    <x v="2"/>
    <n v="0"/>
    <m/>
    <s v="document"/>
    <n v="50"/>
    <n v="0"/>
  </r>
  <r>
    <s v="FR-6-total-budget"/>
    <x v="67"/>
    <s v="FR-6"/>
    <x v="9"/>
    <s v="total-budget"/>
    <x v="29"/>
    <x v="1"/>
    <x v="2"/>
    <x v="5"/>
    <n v="9"/>
    <n v="4.1700000000000001E-2"/>
    <x v="0"/>
    <x v="3"/>
    <n v="16.664999999999999"/>
    <x v="4"/>
    <n v="0"/>
    <n v="0"/>
    <s v="quarterly"/>
    <n v="0.9"/>
    <n v="1"/>
    <n v="0"/>
    <x v="3"/>
    <n v="0"/>
    <n v="3"/>
    <s v="pdf"/>
    <n v="16.664999999999999"/>
    <n v="16.664999999999999"/>
  </r>
  <r>
    <s v="FR-6-disaggregated-budgets"/>
    <x v="67"/>
    <s v="FR-6"/>
    <x v="0"/>
    <s v="disaggregated-budgets"/>
    <x v="30"/>
    <x v="1"/>
    <x v="2"/>
    <x v="5"/>
    <n v="10"/>
    <n v="4.1700000000000001E-2"/>
    <x v="0"/>
    <x v="0"/>
    <n v="0"/>
    <x v="0"/>
    <n v="0"/>
    <n v="0"/>
    <s v="quarterly"/>
    <n v="0.9"/>
    <n v="1"/>
    <n v="0"/>
    <x v="3"/>
    <n v="0"/>
    <n v="0"/>
    <m/>
    <n v="0"/>
    <n v="0"/>
  </r>
  <r>
    <s v="FR-6-dates-actual"/>
    <x v="67"/>
    <s v="FR-6"/>
    <x v="0"/>
    <s v="dates-actual"/>
    <x v="0"/>
    <x v="0"/>
    <x v="0"/>
    <x v="0"/>
    <n v="17"/>
    <n v="1.6299999999999999E-2"/>
    <x v="0"/>
    <x v="0"/>
    <n v="0"/>
    <x v="0"/>
    <n v="0"/>
    <n v="0"/>
    <s v="quarterly"/>
    <n v="0.9"/>
    <n v="1"/>
    <n v="0"/>
    <x v="0"/>
    <n v="0"/>
    <m/>
    <m/>
    <n v="0"/>
    <n v="0"/>
  </r>
  <r>
    <s v="FR-6-contact-details"/>
    <x v="67"/>
    <s v="FR-6"/>
    <x v="0"/>
    <s v="contact-details"/>
    <x v="1"/>
    <x v="0"/>
    <x v="0"/>
    <x v="0"/>
    <n v="19"/>
    <n v="1.6299999999999999E-2"/>
    <x v="0"/>
    <x v="0"/>
    <n v="0"/>
    <x v="0"/>
    <n v="0"/>
    <n v="0"/>
    <s v="quarterly"/>
    <n v="0.9"/>
    <n v="1"/>
    <n v="0"/>
    <x v="0"/>
    <n v="0"/>
    <m/>
    <m/>
    <n v="0"/>
    <n v="0"/>
  </r>
  <r>
    <s v="FR-6-procurement-policy"/>
    <x v="67"/>
    <s v="FR-6"/>
    <x v="6"/>
    <s v="procurement-policy"/>
    <x v="34"/>
    <x v="1"/>
    <x v="5"/>
    <x v="6"/>
    <n v="7"/>
    <n v="2.5000000000000001E-2"/>
    <x v="0"/>
    <x v="2"/>
    <n v="50"/>
    <x v="2"/>
    <n v="0"/>
    <n v="0"/>
    <s v="quarterly"/>
    <n v="0.9"/>
    <n v="1"/>
    <n v="0"/>
    <x v="1"/>
    <n v="1"/>
    <m/>
    <s v="document"/>
    <n v="50"/>
    <n v="50"/>
  </r>
  <r>
    <s v="FR-6-country-strategy"/>
    <x v="67"/>
    <s v="FR-6"/>
    <x v="0"/>
    <s v="country-strategy"/>
    <x v="35"/>
    <x v="1"/>
    <x v="5"/>
    <x v="6"/>
    <n v="8"/>
    <n v="2.5000000000000001E-2"/>
    <x v="0"/>
    <x v="2"/>
    <n v="0"/>
    <x v="0"/>
    <n v="0"/>
    <n v="0"/>
    <s v="quarterly"/>
    <n v="0.9"/>
    <n v="1"/>
    <n v="0"/>
    <x v="2"/>
    <n v="0"/>
    <m/>
    <s v="document"/>
    <n v="50"/>
    <n v="0"/>
  </r>
  <r>
    <s v="FR-6-allocation"/>
    <x v="67"/>
    <s v="FR-6"/>
    <x v="6"/>
    <s v="allocation"/>
    <x v="33"/>
    <x v="1"/>
    <x v="5"/>
    <x v="6"/>
    <n v="6"/>
    <n v="2.5000000000000001E-2"/>
    <x v="0"/>
    <x v="2"/>
    <n v="50"/>
    <x v="2"/>
    <n v="0"/>
    <n v="0"/>
    <s v="quarterly"/>
    <n v="0.9"/>
    <n v="1"/>
    <n v="0"/>
    <x v="1"/>
    <n v="1"/>
    <m/>
    <s v="document"/>
    <n v="50"/>
    <n v="50"/>
  </r>
  <r>
    <s v="FR-6-cost-overall"/>
    <x v="67"/>
    <s v="FR-6"/>
    <x v="0"/>
    <s v="cost-overall"/>
    <x v="16"/>
    <x v="0"/>
    <x v="2"/>
    <x v="2"/>
    <n v="33"/>
    <n v="3.2500000000000001E-2"/>
    <x v="0"/>
    <x v="0"/>
    <n v="0"/>
    <x v="0"/>
    <n v="0"/>
    <n v="0"/>
    <s v="quarterly"/>
    <n v="0.9"/>
    <n v="1"/>
    <n v="0"/>
    <x v="0"/>
    <n v="0"/>
    <m/>
    <m/>
    <n v="0"/>
    <n v="0"/>
  </r>
  <r>
    <s v="FR-6-budget-identifier"/>
    <x v="67"/>
    <s v="FR-6"/>
    <x v="0"/>
    <s v="budget-identifier"/>
    <x v="18"/>
    <x v="0"/>
    <x v="2"/>
    <x v="2"/>
    <n v="36"/>
    <n v="3.2500000000000001E-2"/>
    <x v="0"/>
    <x v="0"/>
    <n v="0"/>
    <x v="0"/>
    <n v="0"/>
    <n v="0"/>
    <s v="quarterly"/>
    <n v="0.9"/>
    <n v="1"/>
    <n v="0"/>
    <x v="0"/>
    <n v="0"/>
    <m/>
    <m/>
    <n v="0"/>
    <n v="0"/>
  </r>
  <r>
    <s v="FR-6-conditions"/>
    <x v="67"/>
    <s v="FR-6"/>
    <x v="0"/>
    <s v="conditions"/>
    <x v="19"/>
    <x v="0"/>
    <x v="3"/>
    <x v="3"/>
    <n v="39"/>
    <n v="4.3299999999999998E-2"/>
    <x v="0"/>
    <x v="2"/>
    <n v="0"/>
    <x v="0"/>
    <n v="0"/>
    <n v="0"/>
    <s v="quarterly"/>
    <n v="0.9"/>
    <n v="1"/>
    <n v="0"/>
    <x v="0"/>
    <n v="0"/>
    <m/>
    <s v="document"/>
    <n v="50"/>
    <n v="0"/>
  </r>
  <r>
    <s v="FR-6-impact-appraisals"/>
    <x v="67"/>
    <s v="FR-6"/>
    <x v="0"/>
    <s v="impact-appraisals"/>
    <x v="20"/>
    <x v="0"/>
    <x v="3"/>
    <x v="3"/>
    <n v="38"/>
    <n v="4.3299999999999998E-2"/>
    <x v="0"/>
    <x v="2"/>
    <n v="0"/>
    <x v="0"/>
    <n v="0"/>
    <n v="0"/>
    <s v="quarterly"/>
    <n v="0.9"/>
    <n v="1"/>
    <n v="0"/>
    <x v="0"/>
    <n v="0"/>
    <m/>
    <s v="document"/>
    <n v="50"/>
    <n v="0"/>
  </r>
  <r>
    <s v="FR-6-budget"/>
    <x v="67"/>
    <s v="FR-6"/>
    <x v="0"/>
    <s v="budget"/>
    <x v="22"/>
    <x v="0"/>
    <x v="4"/>
    <x v="4"/>
    <n v="30"/>
    <n v="2.1700000000000001E-2"/>
    <x v="0"/>
    <x v="2"/>
    <n v="0"/>
    <x v="0"/>
    <n v="0"/>
    <n v="0"/>
    <s v="quarterly"/>
    <n v="0.9"/>
    <n v="1"/>
    <n v="0"/>
    <x v="0"/>
    <n v="0"/>
    <m/>
    <s v="document"/>
    <n v="50"/>
    <n v="0"/>
  </r>
  <r>
    <s v="FR-6-contracts"/>
    <x v="67"/>
    <s v="FR-6"/>
    <x v="3"/>
    <s v="contracts"/>
    <x v="23"/>
    <x v="0"/>
    <x v="4"/>
    <x v="4"/>
    <n v="31"/>
    <n v="2.1700000000000001E-2"/>
    <x v="0"/>
    <x v="2"/>
    <n v="50"/>
    <x v="2"/>
    <n v="0"/>
    <n v="0"/>
    <s v="quarterly"/>
    <n v="0.9"/>
    <n v="1"/>
    <n v="0"/>
    <x v="1"/>
    <n v="1"/>
    <m/>
    <s v="document"/>
    <n v="50"/>
    <n v="50"/>
  </r>
  <r>
    <s v="FR-6-evaluations"/>
    <x v="67"/>
    <s v="FR-6"/>
    <x v="3"/>
    <s v="evaluations"/>
    <x v="24"/>
    <x v="0"/>
    <x v="4"/>
    <x v="4"/>
    <n v="28"/>
    <n v="2.1700000000000001E-2"/>
    <x v="0"/>
    <x v="2"/>
    <n v="50"/>
    <x v="2"/>
    <n v="0"/>
    <n v="0"/>
    <s v="quarterly"/>
    <n v="0.9"/>
    <n v="1"/>
    <n v="0"/>
    <x v="1"/>
    <n v="1"/>
    <m/>
    <s v="document"/>
    <n v="50"/>
    <n v="50"/>
  </r>
  <r>
    <s v="FR-6-mou"/>
    <x v="67"/>
    <s v="FR-6"/>
    <x v="0"/>
    <s v="mou"/>
    <x v="25"/>
    <x v="0"/>
    <x v="4"/>
    <x v="4"/>
    <n v="27"/>
    <n v="2.1700000000000001E-2"/>
    <x v="0"/>
    <x v="2"/>
    <n v="0"/>
    <x v="0"/>
    <n v="0"/>
    <n v="0"/>
    <s v="quarterly"/>
    <n v="0.9"/>
    <n v="1"/>
    <n v="0"/>
    <x v="2"/>
    <n v="0"/>
    <m/>
    <s v="document"/>
    <n v="50"/>
    <n v="0"/>
  </r>
  <r>
    <s v="FR-6-tenders"/>
    <x v="67"/>
    <s v="FR-6"/>
    <x v="3"/>
    <s v="tenders"/>
    <x v="27"/>
    <x v="0"/>
    <x v="4"/>
    <x v="4"/>
    <n v="32"/>
    <n v="2.1700000000000001E-2"/>
    <x v="0"/>
    <x v="2"/>
    <n v="50"/>
    <x v="2"/>
    <n v="0"/>
    <n v="0"/>
    <s v="quarterly"/>
    <n v="0.9"/>
    <n v="1"/>
    <n v="0"/>
    <x v="1"/>
    <n v="1"/>
    <m/>
    <s v="document"/>
    <n v="50"/>
    <n v="50"/>
  </r>
  <r>
    <s v="FR-6-foia"/>
    <x v="67"/>
    <s v="FR-6"/>
    <x v="15"/>
    <s v="foia"/>
    <x v="36"/>
    <x v="2"/>
    <x v="6"/>
    <x v="7"/>
    <n v="1"/>
    <n v="3.3300000000000003E-2"/>
    <x v="0"/>
    <x v="5"/>
    <n v="66.66"/>
    <x v="6"/>
    <n v="0"/>
    <n v="0"/>
    <s v="quarterly"/>
    <n v="0.9"/>
    <n v="1"/>
    <n v="0"/>
    <x v="3"/>
    <n v="0"/>
    <n v="66.66"/>
    <m/>
    <n v="0"/>
    <n v="66.66"/>
  </r>
  <r>
    <s v="FR-6-accessibility"/>
    <x v="67"/>
    <s v="FR-6"/>
    <x v="0"/>
    <s v="accessibility"/>
    <x v="37"/>
    <x v="2"/>
    <x v="6"/>
    <x v="7"/>
    <n v="3"/>
    <n v="3.3300000000000003E-2"/>
    <x v="0"/>
    <x v="5"/>
    <n v="0"/>
    <x v="0"/>
    <n v="0"/>
    <n v="0"/>
    <s v="quarterly"/>
    <n v="0.9"/>
    <n v="1"/>
    <n v="0"/>
    <x v="3"/>
    <n v="0"/>
    <n v="0"/>
    <m/>
    <n v="0"/>
    <n v="0"/>
  </r>
  <r>
    <s v="FR-6-implementation-schedules"/>
    <x v="67"/>
    <s v="FR-6"/>
    <x v="355"/>
    <s v="implementation-schedules"/>
    <x v="38"/>
    <x v="2"/>
    <x v="6"/>
    <x v="7"/>
    <n v="2"/>
    <n v="3.3300000000000003E-2"/>
    <x v="0"/>
    <x v="5"/>
    <n v="12.5"/>
    <x v="310"/>
    <n v="0"/>
    <n v="0"/>
    <s v="quarterly"/>
    <n v="0.9"/>
    <n v="1"/>
    <n v="0"/>
    <x v="3"/>
    <n v="0"/>
    <n v="12.5"/>
    <m/>
    <n v="0"/>
    <n v="12.5"/>
  </r>
</pivotCacheRecords>
</file>

<file path=xl/pivotCache/pivotCacheRecords4.xml><?xml version="1.0" encoding="utf-8"?>
<pivotCacheRecords xmlns="http://schemas.openxmlformats.org/spreadsheetml/2006/main" xmlns:r="http://schemas.openxmlformats.org/officeDocument/2006/relationships" count="69">
  <r>
    <s v="AfDB"/>
    <n v="64.598669999999984"/>
    <n v="99.6"/>
    <n v="100.08"/>
    <n v="92.638322217675466"/>
    <n v="92.015451923076768"/>
    <n v="44.212689479045537"/>
    <n v="49.430312499999992"/>
    <n v="53.21216105769215"/>
    <x v="0"/>
  </r>
  <r>
    <s v="AsDB"/>
    <n v="85.800780000000003"/>
    <n v="98.75"/>
    <n v="100.08"/>
    <n v="95.286286019209683"/>
    <n v="90.710692882357691"/>
    <n v="75.790938938172715"/>
    <n v="46.059231590181376"/>
    <n v="79.914467203021005"/>
    <x v="1"/>
  </r>
  <r>
    <s v="Australia, DFAT"/>
    <n v="34.851779999999998"/>
    <n v="90"/>
    <n v="42.626296000000004"/>
    <n v="82.607784867210455"/>
    <n v="59.132472233930372"/>
    <n v="33.38461538461538"/>
    <n v="23.71147260273969"/>
    <n v="0"/>
    <x v="2"/>
  </r>
  <r>
    <s v="Austria, ADA"/>
    <n v="22.197779999999998"/>
    <n v="50"/>
    <n v="37.066296000000001"/>
    <n v="20.895346153846152"/>
    <n v="0"/>
    <n v="16.69230769230769"/>
    <n v="8.3324999999999214"/>
    <n v="0"/>
    <x v="3"/>
  </r>
  <r>
    <s v="Belgium, DGCD"/>
    <n v="41.73489"/>
    <n v="40"/>
    <n v="33.36"/>
    <n v="12.537207692307691"/>
    <n v="4.7687538461538379"/>
    <n v="16.69230769230769"/>
    <n v="8.3324999999999214"/>
    <n v="0"/>
    <x v="3"/>
  </r>
  <r>
    <s v="Brazil, ABC"/>
    <n v="44.398889999999994"/>
    <n v="10"/>
    <n v="0"/>
    <n v="20.895346153846152"/>
    <n v="9.5375076923076758"/>
    <n v="0"/>
    <n v="0"/>
    <n v="0"/>
    <x v="3"/>
  </r>
  <r>
    <s v="Bulgaria, MFA"/>
    <n v="33.299999999999997"/>
    <n v="30"/>
    <n v="0"/>
    <n v="0"/>
    <n v="0"/>
    <n v="8.3461538461538449"/>
    <n v="0"/>
    <n v="0"/>
    <x v="3"/>
  </r>
  <r>
    <s v="Canada, DFATD"/>
    <n v="86.799779999999998"/>
    <n v="94.054054054054006"/>
    <n v="100.08"/>
    <n v="91.933200959847994"/>
    <n v="77.499046153846137"/>
    <n v="40.896153846153851"/>
    <n v="40.751987632508765"/>
    <n v="46.801258956333541"/>
    <x v="0"/>
  </r>
  <r>
    <s v="China, MOFCOM"/>
    <n v="22.197779999999998"/>
    <n v="0"/>
    <n v="0"/>
    <n v="0"/>
    <n v="0"/>
    <n v="0"/>
    <n v="0"/>
    <n v="0"/>
    <x v="3"/>
  </r>
  <r>
    <s v="Croatia, MFA"/>
    <n v="33.299999999999997"/>
    <n v="40"/>
    <n v="5.5594440000000001"/>
    <n v="0"/>
    <n v="4.7687538461538379"/>
    <n v="16.69230769230769"/>
    <n v="0"/>
    <n v="0"/>
    <x v="3"/>
  </r>
  <r>
    <s v="Cyprus, CyprusAid"/>
    <n v="0"/>
    <n v="20"/>
    <n v="0"/>
    <n v="8.3581384615384611"/>
    <n v="9.5375076923076758"/>
    <n v="0"/>
    <n v="8.3324999999999214"/>
    <n v="0"/>
    <x v="3"/>
  </r>
  <r>
    <s v="Czech Republic, CzDA"/>
    <n v="35.351279999999996"/>
    <n v="50"/>
    <n v="50.04"/>
    <n v="31.344899999999996"/>
    <n v="26.229576923076884"/>
    <n v="33.38461538461538"/>
    <n v="12.5"/>
    <n v="0"/>
    <x v="4"/>
  </r>
  <r>
    <s v="Denmark, MFA"/>
    <n v="67.039559999999994"/>
    <n v="40"/>
    <n v="38.919443999999999"/>
    <n v="77.754724480282349"/>
    <n v="79.162182894715215"/>
    <n v="41.946388557222001"/>
    <n v="38.656442696151302"/>
    <n v="16.865781661459923"/>
    <x v="2"/>
  </r>
  <r>
    <s v="EBRD"/>
    <n v="22.197779999999998"/>
    <n v="50"/>
    <n v="20.386296000000002"/>
    <n v="25.074415384615385"/>
    <n v="28.614669230769188"/>
    <n v="25.038461538461537"/>
    <n v="25"/>
    <n v="0"/>
    <x v="4"/>
  </r>
  <r>
    <s v="EC, DEVCO"/>
    <n v="95.570999999999998"/>
    <n v="93.75"/>
    <n v="88.96"/>
    <n v="92.817806612010543"/>
    <n v="93.654870992001378"/>
    <n v="25.038461538461537"/>
    <n v="64.142720623962461"/>
    <n v="0"/>
    <x v="0"/>
  </r>
  <r>
    <s v="EC, ECHO"/>
    <n v="86.247"/>
    <n v="90"/>
    <n v="88.96"/>
    <n v="72.179282013810464"/>
    <n v="72.333001445318615"/>
    <n v="25.038461538461537"/>
    <n v="36.249999999999922"/>
    <n v="16.653846153846153"/>
    <x v="2"/>
  </r>
  <r>
    <s v="EC, ELARG"/>
    <n v="92.241"/>
    <n v="90"/>
    <n v="66.72"/>
    <n v="96.266213259514686"/>
    <n v="85.399038461538069"/>
    <n v="25.038461538461537"/>
    <n v="46.78721910112354"/>
    <n v="0"/>
    <x v="0"/>
  </r>
  <r>
    <s v="EC, FPI"/>
    <n v="96.903000000000006"/>
    <n v="97.333333333333286"/>
    <n v="88.96"/>
    <n v="94.021344184824983"/>
    <n v="94.576103973571847"/>
    <n v="25.038461538461537"/>
    <n v="64.049384281892699"/>
    <n v="0"/>
    <x v="0"/>
  </r>
  <r>
    <s v="EIB"/>
    <n v="44.395559999999996"/>
    <n v="40"/>
    <n v="27.798887999999998"/>
    <n v="22.985507692307689"/>
    <n v="16.69135384615382"/>
    <n v="25.038461538461537"/>
    <n v="25"/>
    <n v="0"/>
    <x v="4"/>
  </r>
  <r>
    <s v="Estonia, MFA"/>
    <n v="55.497779999999999"/>
    <n v="50"/>
    <n v="3.706296"/>
    <n v="41.794453846153836"/>
    <n v="30.999046153846116"/>
    <n v="25.038461538461537"/>
    <n v="25"/>
    <n v="0"/>
    <x v="4"/>
  </r>
  <r>
    <s v="Finland, MFA"/>
    <n v="40.959000000000003"/>
    <n v="50"/>
    <n v="55.6"/>
    <n v="60.641861614528544"/>
    <n v="81.386716744318676"/>
    <n v="25.038461538461537"/>
    <n v="55.832499999999918"/>
    <n v="0"/>
    <x v="2"/>
  </r>
  <r>
    <s v="France, AFD"/>
    <n v="43.619669999999999"/>
    <n v="50"/>
    <n v="16.68"/>
    <n v="22.984880769230767"/>
    <n v="19.075015384615345"/>
    <n v="25.038461538461537"/>
    <n v="8.3324999999999214"/>
    <n v="16.653846153846153"/>
    <x v="4"/>
  </r>
  <r>
    <s v="France, MAEDi"/>
    <n v="26.360279999999996"/>
    <n v="60"/>
    <n v="5.5594440000000001"/>
    <n v="60.592585790743797"/>
    <n v="88.909982517176232"/>
    <n v="33.477096706303229"/>
    <n v="42.682968536251693"/>
    <n v="17.197203514679536"/>
    <x v="2"/>
  </r>
  <r>
    <s v="France, MINEFI"/>
    <n v="24.362279999999998"/>
    <n v="40"/>
    <n v="5.5594440000000001"/>
    <n v="0"/>
    <n v="0"/>
    <n v="16.69230769230769"/>
    <n v="0"/>
    <n v="0"/>
    <x v="3"/>
  </r>
  <r>
    <s v="Gates Foundation"/>
    <n v="34.352279999999993"/>
    <n v="90"/>
    <n v="33.36"/>
    <n v="65.643130423963314"/>
    <n v="71.538461538461078"/>
    <n v="8.3461538461538449"/>
    <n v="67.52193913388092"/>
    <n v="0"/>
    <x v="2"/>
  </r>
  <r>
    <s v="GAVI"/>
    <n v="43.732889999999998"/>
    <n v="100"/>
    <n v="100.08"/>
    <n v="100.30769230769222"/>
    <n v="100.15384615384563"/>
    <n v="82.983705226071621"/>
    <n v="91.188857897827305"/>
    <n v="66.615384615384613"/>
    <x v="1"/>
  </r>
  <r>
    <s v="Germany, BMZ-GIZ"/>
    <n v="42.620669999999997"/>
    <n v="80.403225806451601"/>
    <n v="55.599443999999998"/>
    <n v="86.974266455193927"/>
    <n v="75.015820777160911"/>
    <n v="25.038461538461537"/>
    <n v="47.5"/>
    <n v="16.702133723235459"/>
    <x v="2"/>
  </r>
  <r>
    <s v="Germany, BMZ-KFW"/>
    <n v="31.521779999999996"/>
    <n v="80.403225806451601"/>
    <n v="55.599443999999998"/>
    <n v="85.930916825837457"/>
    <n v="69.125078433755831"/>
    <n v="16.69230769230769"/>
    <n v="47.5"/>
    <n v="16.68768015280423"/>
    <x v="2"/>
  </r>
  <r>
    <s v="Germany, AA"/>
    <n v="20.422889999999995"/>
    <n v="30"/>
    <n v="22.239443999999999"/>
    <n v="4.1790692307692305"/>
    <n v="0"/>
    <n v="0"/>
    <n v="0"/>
    <n v="0"/>
    <x v="3"/>
  </r>
  <r>
    <s v="Global Fund"/>
    <n v="56.939669999999992"/>
    <n v="70"/>
    <n v="44.480000000000004"/>
    <n v="98.946403430180311"/>
    <n v="85.846153846153399"/>
    <n v="89.022373470058611"/>
    <n v="54.10385399334438"/>
    <n v="82.036125687955902"/>
    <x v="0"/>
  </r>
  <r>
    <s v="Greece, HellenicAid"/>
    <n v="22.197779999999998"/>
    <n v="20"/>
    <n v="0"/>
    <n v="0"/>
    <n v="0"/>
    <n v="0"/>
    <n v="0"/>
    <n v="0"/>
    <x v="3"/>
  </r>
  <r>
    <s v="Hungary, MFA"/>
    <n v="22.197779999999998"/>
    <n v="40"/>
    <n v="0"/>
    <n v="0"/>
    <n v="0"/>
    <n v="8.3461538461538449"/>
    <n v="0"/>
    <n v="0"/>
    <x v="3"/>
  </r>
  <r>
    <s v="IADB"/>
    <n v="57.938669999999995"/>
    <n v="100"/>
    <n v="40.773147999999999"/>
    <n v="92.106395546729757"/>
    <n v="81.40955296635353"/>
    <n v="82.305529663535609"/>
    <n v="46.38717156105092"/>
    <n v="86.459716442753376"/>
    <x v="0"/>
  </r>
  <r>
    <s v="IMF"/>
    <n v="33.296669999999992"/>
    <n v="50"/>
    <n v="22.239443999999999"/>
    <n v="33.435061538461539"/>
    <n v="21.460823076923049"/>
    <n v="33.38461538461538"/>
    <n v="20.832499999999982"/>
    <n v="38.858419230769222"/>
    <x v="4"/>
  </r>
  <r>
    <s v="Ireland, IrishAid"/>
    <n v="52.946999999999996"/>
    <n v="60"/>
    <n v="61.16"/>
    <n v="57.987961154584227"/>
    <n v="63.203750184555915"/>
    <n v="16.69230769230769"/>
    <n v="31.564978852784769"/>
    <n v="0"/>
    <x v="2"/>
  </r>
  <r>
    <s v="Italy, MAE"/>
    <n v="11.098889999999999"/>
    <n v="50"/>
    <n v="16.68"/>
    <n v="16.716276923076922"/>
    <n v="14.306261538461515"/>
    <n v="8.3461538461538449"/>
    <n v="8.3324999999999214"/>
    <n v="0"/>
    <x v="3"/>
  </r>
  <r>
    <s v="Japan, JICA"/>
    <n v="33.296669999999992"/>
    <n v="90"/>
    <n v="55.599999999999994"/>
    <n v="52.69055604395593"/>
    <n v="34.574538461538346"/>
    <n v="33.38461538461538"/>
    <n v="0"/>
    <n v="0"/>
    <x v="4"/>
  </r>
  <r>
    <s v="Japan, MOFA"/>
    <n v="33.296669999999992"/>
    <n v="50"/>
    <n v="16.68"/>
    <n v="12.537207692307691"/>
    <n v="11.921884615384592"/>
    <n v="8.3461538461538449"/>
    <n v="8.3324999999999214"/>
    <n v="0"/>
    <x v="3"/>
  </r>
  <r>
    <s v="Korea, KOICA"/>
    <n v="35.351279999999996"/>
    <n v="50"/>
    <n v="38.92"/>
    <n v="27.165830769230769"/>
    <n v="45.306738461538416"/>
    <n v="41.730769230769226"/>
    <n v="12.5"/>
    <n v="44.409146153846073"/>
    <x v="4"/>
  </r>
  <r>
    <s v="Latvia, MFA"/>
    <n v="22.197779999999998"/>
    <n v="40"/>
    <n v="22.239444000000002"/>
    <n v="35.524596153846154"/>
    <n v="21.461538461538442"/>
    <n v="0"/>
    <n v="12.5"/>
    <n v="0"/>
    <x v="3"/>
  </r>
  <r>
    <s v="Lithuania, MFA"/>
    <n v="22.197779999999998"/>
    <n v="30"/>
    <n v="0"/>
    <n v="4.1790692307692305"/>
    <n v="0"/>
    <n v="0"/>
    <n v="0"/>
    <n v="0"/>
    <x v="3"/>
  </r>
  <r>
    <s v="Luxembourg, MFA"/>
    <n v="11.098889999999999"/>
    <n v="40"/>
    <n v="22.24"/>
    <n v="25.074415384615385"/>
    <n v="9.5375076923076758"/>
    <n v="33.38461538461538"/>
    <n v="8.3324999999999214"/>
    <n v="0"/>
    <x v="3"/>
  </r>
  <r>
    <s v="Malta, MFA"/>
    <n v="22.197779999999998"/>
    <n v="30"/>
    <n v="0"/>
    <n v="0"/>
    <n v="4.7687538461538308"/>
    <n v="0"/>
    <n v="0"/>
    <n v="0"/>
    <x v="3"/>
  </r>
  <r>
    <s v="Netherlands, MFA"/>
    <n v="69.703559999999996"/>
    <n v="50"/>
    <n v="44.027468106832238"/>
    <n v="90.658007265671131"/>
    <n v="93.759263004705829"/>
    <n v="16.69230769230769"/>
    <n v="68.432592716338078"/>
    <n v="0"/>
    <x v="2"/>
  </r>
  <r>
    <s v="New Zealand, MFAT"/>
    <n v="51.281999999999996"/>
    <n v="50"/>
    <n v="24.092592000000003"/>
    <n v="83.325866536158003"/>
    <n v="72.407405389221523"/>
    <n v="41.730769230769226"/>
    <n v="38.934214071856225"/>
    <n v="0"/>
    <x v="2"/>
  </r>
  <r>
    <s v="Norway, MFA"/>
    <n v="66.819779999999994"/>
    <n v="50"/>
    <n v="20.386296000000002"/>
    <n v="29.255992307692306"/>
    <n v="14.307692307692292"/>
    <n v="25.038461538461537"/>
    <n v="25"/>
    <n v="0"/>
    <x v="4"/>
  </r>
  <r>
    <s v="Poland, MFA"/>
    <n v="22.197779999999998"/>
    <n v="50"/>
    <n v="3.706296"/>
    <n v="16.716276923076922"/>
    <n v="0"/>
    <n v="16.69230769230769"/>
    <n v="8.3324999999999214"/>
    <n v="0"/>
    <x v="3"/>
  </r>
  <r>
    <s v="Portugal, CICL"/>
    <n v="22.197779999999998"/>
    <n v="40"/>
    <n v="35.213148000000004"/>
    <n v="35.523969230769225"/>
    <n v="50.076923076923016"/>
    <n v="16.69230769230769"/>
    <n v="12.5"/>
    <n v="0"/>
    <x v="4"/>
  </r>
  <r>
    <s v="Romania, MFA"/>
    <n v="22.197779999999998"/>
    <n v="40"/>
    <n v="3.706296"/>
    <n v="8.3581384615384611"/>
    <n v="9.5375076923076705"/>
    <n v="0"/>
    <n v="4.1662499999999927"/>
    <n v="0"/>
    <x v="3"/>
  </r>
  <r>
    <s v="Slovakia, SAIDC"/>
    <n v="33.296669999999992"/>
    <n v="40"/>
    <n v="3.706296"/>
    <n v="25.074415384615385"/>
    <n v="14.306261538461515"/>
    <n v="25.038461538461537"/>
    <n v="8.3324999999999214"/>
    <n v="0"/>
    <x v="3"/>
  </r>
  <r>
    <s v="Slovenia, MFA"/>
    <n v="33.299999999999997"/>
    <n v="40"/>
    <n v="7.4125920000000001"/>
    <n v="25.074415384615385"/>
    <n v="23.84376923076919"/>
    <n v="8.3461538461538449"/>
    <n v="8.3324999999999214"/>
    <n v="0"/>
    <x v="3"/>
  </r>
  <r>
    <s v="Spain, MAEC"/>
    <n v="42.177779999999998"/>
    <n v="92.448979591836718"/>
    <n v="44.48"/>
    <n v="75.029975362715447"/>
    <n v="77.294048206923932"/>
    <n v="8.3461538461538449"/>
    <n v="64.439915458937151"/>
    <n v="0"/>
    <x v="2"/>
  </r>
  <r>
    <s v="Sweden, MFA-Sida"/>
    <n v="98.234999999999985"/>
    <n v="99.4444444444444"/>
    <n v="99.114696738772153"/>
    <n v="92.393419512527984"/>
    <n v="92.722901013826075"/>
    <n v="52.463935445468223"/>
    <n v="76.603241156390695"/>
    <n v="59.898172957871537"/>
    <x v="1"/>
  </r>
  <r>
    <s v="Switzerland, SDC"/>
    <n v="49.946669999999997"/>
    <n v="70"/>
    <n v="44.478887999999998"/>
    <n v="90.91149155722276"/>
    <n v="81.553846153846138"/>
    <n v="25.038461538461537"/>
    <n v="43.546286031042072"/>
    <n v="24.148076923076843"/>
    <x v="2"/>
  </r>
  <r>
    <s v="U.S., Defense"/>
    <n v="32.520779999999995"/>
    <n v="40"/>
    <n v="22.239443999999999"/>
    <n v="47.019230769230766"/>
    <n v="38.013858611024382"/>
    <n v="16.69230769230769"/>
    <n v="50"/>
    <n v="0"/>
    <x v="4"/>
  </r>
  <r>
    <s v="U.S., MCC"/>
    <n v="80.47278"/>
    <n v="99.090909090909037"/>
    <n v="88.96"/>
    <n v="100.28648859595867"/>
    <n v="64.582258792502117"/>
    <n v="76.50641025641022"/>
    <n v="93.055555555555529"/>
    <n v="91.269138667845468"/>
    <x v="1"/>
  </r>
  <r>
    <s v="U.S., PEPFAR"/>
    <n v="32.520779999999995"/>
    <n v="40"/>
    <n v="24.092592"/>
    <n v="86.137441937624303"/>
    <n v="85.846153846153399"/>
    <n v="16.69230769230769"/>
    <n v="37.5"/>
    <n v="0"/>
    <x v="2"/>
  </r>
  <r>
    <s v="U.S., State"/>
    <n v="54.718559999999997"/>
    <n v="50"/>
    <n v="18.533148000000001"/>
    <n v="72.09615384615384"/>
    <n v="51.70348178137629"/>
    <n v="16.69230769230769"/>
    <n v="50"/>
    <n v="0"/>
    <x v="4"/>
  </r>
  <r>
    <s v="U.S., Treasury"/>
    <n v="54.718559999999997"/>
    <n v="40"/>
    <n v="40.773147999999999"/>
    <n v="43.884615384615373"/>
    <n v="50.076923076923016"/>
    <n v="25.038461538461537"/>
    <n v="12.5"/>
    <n v="16.653846153846153"/>
    <x v="4"/>
  </r>
  <r>
    <s v="U.S., USAID"/>
    <n v="54.718559999999997"/>
    <n v="40"/>
    <n v="18.533148000000001"/>
    <n v="78.632740203874832"/>
    <n v="58.050599159557358"/>
    <n v="25.038461538461537"/>
    <n v="50"/>
    <n v="0"/>
    <x v="2"/>
  </r>
  <r>
    <s v="UK, DFID"/>
    <n v="95.903999999999996"/>
    <n v="100"/>
    <n v="77.839999999999989"/>
    <n v="99.275319955433233"/>
    <n v="93.108534071734766"/>
    <n v="68.517506869585077"/>
    <n v="93.092054361156769"/>
    <n v="80.747663965280381"/>
    <x v="1"/>
  </r>
  <r>
    <s v="UK, FCO"/>
    <n v="54.278999999999996"/>
    <n v="40"/>
    <n v="18.533148000000001"/>
    <n v="68.281775563070767"/>
    <n v="64.44946175433536"/>
    <n v="8.3461538461538449"/>
    <n v="36.25"/>
    <n v="0"/>
    <x v="4"/>
  </r>
  <r>
    <s v="UK, MOD"/>
    <n v="33.299999999999997"/>
    <n v="30"/>
    <n v="20.386296000000002"/>
    <n v="0"/>
    <n v="0"/>
    <n v="0"/>
    <n v="0"/>
    <n v="0"/>
    <x v="3"/>
  </r>
  <r>
    <s v="UN OCHA"/>
    <n v="32.853779999999993"/>
    <n v="50"/>
    <n v="31.505184"/>
    <n v="61.833414831551451"/>
    <n v="39.345961174248664"/>
    <n v="49.215841005406922"/>
    <n v="46.97775098640939"/>
    <n v="16.653846153846153"/>
    <x v="2"/>
  </r>
  <r>
    <s v="UNDP"/>
    <n v="87.798779999999994"/>
    <n v="99.935064935064872"/>
    <n v="100.08"/>
    <n v="99.548938810385607"/>
    <n v="99.686966420033627"/>
    <n v="74.459092442644931"/>
    <n v="85.347501676726992"/>
    <n v="78.306352151746765"/>
    <x v="1"/>
  </r>
  <r>
    <s v="UNICEF"/>
    <n v="64.598669999999984"/>
    <n v="50"/>
    <n v="84.037452229299362"/>
    <n v="77.38834789102799"/>
    <n v="95.014340682533984"/>
    <n v="33.38461538461538"/>
    <n v="64.642653091886842"/>
    <n v="48.296153846153686"/>
    <x v="0"/>
  </r>
  <r>
    <s v="World Bank, IDA"/>
    <n v="74.035889999999995"/>
    <n v="100"/>
    <n v="74.411742350977988"/>
    <n v="95.202787851314071"/>
    <n v="93.111880186902752"/>
    <n v="93.323903340539701"/>
    <n v="50.411716908431536"/>
    <n v="76.133593695515614"/>
    <x v="1"/>
  </r>
  <r>
    <s v="World Bank, IFC"/>
    <n v="55.497779999999999"/>
    <n v="50"/>
    <n v="24.092592000000003"/>
    <n v="33.435061538461539"/>
    <n v="21.461538461538442"/>
    <n v="25.038461538461537"/>
    <n v="25"/>
    <n v="16.653846153846153"/>
    <x v="4"/>
  </r>
  <r>
    <s v="Dynamic Average"/>
    <n v="46.881405000000001"/>
    <n v="64.578464450296252"/>
    <n v="41.787121506677018"/>
    <n v="76.052590707560768"/>
    <n v="73.00404648150311"/>
    <n v="25.525534814885177"/>
    <n v="46.31569131789945"/>
    <n v="7.8067855176842684"/>
    <x v="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2" cacheId="3" applyNumberFormats="0" applyBorderFormats="0" applyFontFormats="0" applyPatternFormats="0" applyAlignmentFormats="0" applyWidthHeightFormats="1" dataCaption="Values" updatedVersion="5" minRefreshableVersion="3" useAutoFormatting="1" rowGrandTotals="0" itemPrintTitles="1" createdVersion="5" indent="0" outline="1" outlineData="1" multipleFieldFilters="0" chartFormat="31">
  <location ref="A3:B71" firstHeaderRow="1" firstDataRow="1" firstDataCol="1"/>
  <pivotFields count="27">
    <pivotField showAll="0"/>
    <pivotField axis="axisRow" showAll="0" sortType="descending">
      <items count="71">
        <item x="31"/>
        <item x="19"/>
        <item x="66"/>
        <item x="0"/>
        <item x="43"/>
        <item x="23"/>
        <item x="41"/>
        <item x="33"/>
        <item x="62"/>
        <item x="1"/>
        <item x="44"/>
        <item x="2"/>
        <item x="36"/>
        <item x="3"/>
        <item x="53"/>
        <item x="20"/>
        <item x="57"/>
        <item x="50"/>
        <item x="4"/>
        <item x="5"/>
        <item x="42"/>
        <item x="48"/>
        <item m="1" x="68"/>
        <item x="6"/>
        <item x="58"/>
        <item x="18"/>
        <item x="46"/>
        <item x="27"/>
        <item m="1" x="69"/>
        <item x="65"/>
        <item x="7"/>
        <item x="8"/>
        <item x="17"/>
        <item x="9"/>
        <item x="32"/>
        <item x="52"/>
        <item x="29"/>
        <item x="10"/>
        <item x="11"/>
        <item x="12"/>
        <item x="45"/>
        <item x="40"/>
        <item x="51"/>
        <item x="39"/>
        <item x="34"/>
        <item x="38"/>
        <item x="35"/>
        <item x="13"/>
        <item x="14"/>
        <item x="15"/>
        <item x="16"/>
        <item x="22"/>
        <item x="21"/>
        <item x="24"/>
        <item x="26"/>
        <item x="25"/>
        <item x="59"/>
        <item x="54"/>
        <item x="61"/>
        <item x="28"/>
        <item x="64"/>
        <item x="30"/>
        <item x="49"/>
        <item x="37"/>
        <item x="55"/>
        <item x="47"/>
        <item x="60"/>
        <item x="56"/>
        <item x="63"/>
        <item x="67"/>
        <item t="default"/>
      </items>
      <autoSortScope>
        <pivotArea dataOnly="0" outline="0" fieldPosition="0">
          <references count="1">
            <reference field="4294967294" count="1" selected="0">
              <x v="0"/>
            </reference>
          </references>
        </pivotArea>
      </autoSortScope>
    </pivotField>
    <pivotField showAll="0" sortType="descending">
      <autoSortScope>
        <pivotArea dataOnly="0" outline="0" fieldPosition="0">
          <references count="1">
            <reference field="4294967294" count="1" selected="0">
              <x v="0"/>
            </reference>
          </references>
        </pivotArea>
      </autoSortScope>
    </pivotField>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8">
    <i>
      <x v="64"/>
    </i>
    <i>
      <x v="60"/>
    </i>
    <i>
      <x v="55"/>
    </i>
    <i>
      <x v="25"/>
    </i>
    <i>
      <x v="1"/>
    </i>
    <i>
      <x v="52"/>
    </i>
    <i>
      <x v="66"/>
    </i>
    <i>
      <x/>
    </i>
    <i>
      <x v="32"/>
    </i>
    <i>
      <x v="29"/>
    </i>
    <i>
      <x v="7"/>
    </i>
    <i>
      <x v="17"/>
    </i>
    <i>
      <x v="14"/>
    </i>
    <i>
      <x v="65"/>
    </i>
    <i>
      <x v="16"/>
    </i>
    <i>
      <x v="15"/>
    </i>
    <i>
      <x v="26"/>
    </i>
    <i>
      <x v="53"/>
    </i>
    <i>
      <x v="43"/>
    </i>
    <i>
      <x v="27"/>
    </i>
    <i>
      <x v="51"/>
    </i>
    <i>
      <x v="12"/>
    </i>
    <i>
      <x v="24"/>
    </i>
    <i>
      <x v="20"/>
    </i>
    <i>
      <x v="2"/>
    </i>
    <i>
      <x v="44"/>
    </i>
    <i>
      <x v="34"/>
    </i>
    <i>
      <x v="69"/>
    </i>
    <i>
      <x v="63"/>
    </i>
    <i>
      <x v="56"/>
    </i>
    <i>
      <x v="59"/>
    </i>
    <i>
      <x v="57"/>
    </i>
    <i>
      <x v="36"/>
    </i>
    <i>
      <x v="38"/>
    </i>
    <i>
      <x v="61"/>
    </i>
    <i>
      <x v="58"/>
    </i>
    <i>
      <x v="33"/>
    </i>
    <i>
      <x v="54"/>
    </i>
    <i>
      <x v="67"/>
    </i>
    <i>
      <x v="11"/>
    </i>
    <i>
      <x v="19"/>
    </i>
    <i>
      <x v="45"/>
    </i>
    <i>
      <x v="47"/>
    </i>
    <i>
      <x v="21"/>
    </i>
    <i>
      <x v="18"/>
    </i>
    <i>
      <x v="13"/>
    </i>
    <i>
      <x v="3"/>
    </i>
    <i>
      <x v="39"/>
    </i>
    <i>
      <x v="4"/>
    </i>
    <i>
      <x v="41"/>
    </i>
    <i>
      <x v="49"/>
    </i>
    <i>
      <x v="50"/>
    </i>
    <i>
      <x v="37"/>
    </i>
    <i>
      <x v="35"/>
    </i>
    <i>
      <x v="46"/>
    </i>
    <i>
      <x v="9"/>
    </i>
    <i>
      <x v="48"/>
    </i>
    <i>
      <x v="23"/>
    </i>
    <i>
      <x v="5"/>
    </i>
    <i>
      <x v="62"/>
    </i>
    <i>
      <x v="68"/>
    </i>
    <i>
      <x v="31"/>
    </i>
    <i>
      <x v="6"/>
    </i>
    <i>
      <x v="42"/>
    </i>
    <i>
      <x v="40"/>
    </i>
    <i>
      <x v="10"/>
    </i>
    <i>
      <x v="30"/>
    </i>
    <i>
      <x v="8"/>
    </i>
  </rowItems>
  <colItems count="1">
    <i/>
  </colItems>
  <dataFields count="1">
    <dataField name="Sum of indicator_total_weighted_points" fld="3" baseField="0" baseItem="0" numFmtId="164"/>
  </dataFields>
  <formats count="38">
    <format dxfId="328">
      <pivotArea outline="0" collapsedLevelsAreSubtotals="1" fieldPosition="0"/>
    </format>
    <format dxfId="327">
      <pivotArea collapsedLevelsAreSubtotals="1" fieldPosition="0">
        <references count="1">
          <reference field="1" count="3">
            <x v="24"/>
            <x v="51"/>
            <x v="53"/>
          </reference>
        </references>
      </pivotArea>
    </format>
    <format dxfId="326">
      <pivotArea collapsedLevelsAreSubtotals="1" fieldPosition="0">
        <references count="1">
          <reference field="1" count="1">
            <x v="55"/>
          </reference>
        </references>
      </pivotArea>
    </format>
    <format dxfId="325">
      <pivotArea collapsedLevelsAreSubtotals="1" fieldPosition="0">
        <references count="1">
          <reference field="1" count="2">
            <x v="1"/>
            <x v="52"/>
          </reference>
        </references>
      </pivotArea>
    </format>
    <format dxfId="324">
      <pivotArea collapsedLevelsAreSubtotals="1" fieldPosition="0">
        <references count="1">
          <reference field="1" count="1">
            <x v="65"/>
          </reference>
        </references>
      </pivotArea>
    </format>
    <format dxfId="323">
      <pivotArea collapsedLevelsAreSubtotals="1" fieldPosition="0">
        <references count="1">
          <reference field="1" count="1">
            <x v="5"/>
          </reference>
        </references>
      </pivotArea>
    </format>
    <format dxfId="322">
      <pivotArea collapsedLevelsAreSubtotals="1" fieldPosition="0">
        <references count="1">
          <reference field="1" count="2">
            <x v="48"/>
            <x v="62"/>
          </reference>
        </references>
      </pivotArea>
    </format>
    <format dxfId="321">
      <pivotArea outline="0" collapsedLevelsAreSubtotals="1" fieldPosition="0"/>
    </format>
    <format dxfId="320">
      <pivotArea dataOnly="0" labelOnly="1" fieldPosition="0">
        <references count="1">
          <reference field="1" count="50">
            <x v="0"/>
            <x v="1"/>
            <x v="2"/>
            <x v="3"/>
            <x v="4"/>
            <x v="7"/>
            <x v="11"/>
            <x v="12"/>
            <x v="13"/>
            <x v="14"/>
            <x v="15"/>
            <x v="16"/>
            <x v="17"/>
            <x v="18"/>
            <x v="19"/>
            <x v="20"/>
            <x v="21"/>
            <x v="22"/>
            <x v="24"/>
            <x v="25"/>
            <x v="26"/>
            <x v="27"/>
            <x v="29"/>
            <x v="32"/>
            <x v="33"/>
            <x v="34"/>
            <x v="36"/>
            <x v="38"/>
            <x v="39"/>
            <x v="41"/>
            <x v="43"/>
            <x v="44"/>
            <x v="45"/>
            <x v="47"/>
            <x v="51"/>
            <x v="52"/>
            <x v="53"/>
            <x v="54"/>
            <x v="55"/>
            <x v="56"/>
            <x v="57"/>
            <x v="58"/>
            <x v="59"/>
            <x v="60"/>
            <x v="61"/>
            <x v="63"/>
            <x v="64"/>
            <x v="65"/>
            <x v="66"/>
            <x v="67"/>
          </reference>
        </references>
      </pivotArea>
    </format>
    <format dxfId="319">
      <pivotArea dataOnly="0" labelOnly="1" fieldPosition="0">
        <references count="1">
          <reference field="1" count="1">
            <x v="5"/>
          </reference>
        </references>
      </pivotArea>
    </format>
    <format dxfId="318">
      <pivotArea dataOnly="0" labelOnly="1" fieldPosition="0">
        <references count="1">
          <reference field="1" count="3">
            <x v="24"/>
            <x v="51"/>
            <x v="53"/>
          </reference>
        </references>
      </pivotArea>
    </format>
    <format dxfId="317">
      <pivotArea dataOnly="0" labelOnly="1" fieldPosition="0">
        <references count="1">
          <reference field="1" count="1">
            <x v="55"/>
          </reference>
        </references>
      </pivotArea>
    </format>
    <format dxfId="316">
      <pivotArea dataOnly="0" labelOnly="1" fieldPosition="0">
        <references count="1">
          <reference field="1" count="2">
            <x v="1"/>
            <x v="52"/>
          </reference>
        </references>
      </pivotArea>
    </format>
    <format dxfId="315">
      <pivotArea outline="0" collapsedLevelsAreSubtotals="1" fieldPosition="0"/>
    </format>
    <format dxfId="314">
      <pivotArea dataOnly="0" labelOnly="1" fieldPosition="0">
        <references count="1">
          <reference field="1" count="50">
            <x v="0"/>
            <x v="1"/>
            <x v="2"/>
            <x v="3"/>
            <x v="4"/>
            <x v="7"/>
            <x v="11"/>
            <x v="12"/>
            <x v="13"/>
            <x v="14"/>
            <x v="15"/>
            <x v="16"/>
            <x v="17"/>
            <x v="18"/>
            <x v="19"/>
            <x v="20"/>
            <x v="21"/>
            <x v="22"/>
            <x v="24"/>
            <x v="25"/>
            <x v="26"/>
            <x v="27"/>
            <x v="29"/>
            <x v="32"/>
            <x v="33"/>
            <x v="34"/>
            <x v="36"/>
            <x v="38"/>
            <x v="39"/>
            <x v="41"/>
            <x v="43"/>
            <x v="44"/>
            <x v="45"/>
            <x v="47"/>
            <x v="51"/>
            <x v="52"/>
            <x v="53"/>
            <x v="54"/>
            <x v="55"/>
            <x v="56"/>
            <x v="57"/>
            <x v="58"/>
            <x v="59"/>
            <x v="60"/>
            <x v="61"/>
            <x v="63"/>
            <x v="64"/>
            <x v="65"/>
            <x v="66"/>
            <x v="67"/>
          </reference>
        </references>
      </pivotArea>
    </format>
    <format dxfId="313">
      <pivotArea dataOnly="0" labelOnly="1" fieldPosition="0">
        <references count="1">
          <reference field="1" count="18">
            <x v="5"/>
            <x v="6"/>
            <x v="8"/>
            <x v="9"/>
            <x v="10"/>
            <x v="23"/>
            <x v="28"/>
            <x v="30"/>
            <x v="31"/>
            <x v="35"/>
            <x v="37"/>
            <x v="40"/>
            <x v="42"/>
            <x v="46"/>
            <x v="48"/>
            <x v="49"/>
            <x v="50"/>
            <x v="62"/>
          </reference>
        </references>
      </pivotArea>
    </format>
    <format dxfId="312">
      <pivotArea type="all" dataOnly="0" outline="0" fieldPosition="0"/>
    </format>
    <format dxfId="311">
      <pivotArea outline="0" collapsedLevelsAreSubtotals="1" fieldPosition="0"/>
    </format>
    <format dxfId="310">
      <pivotArea field="1" type="button" dataOnly="0" labelOnly="1" outline="0" axis="axisRow" fieldPosition="0"/>
    </format>
    <format dxfId="309">
      <pivotArea dataOnly="0" labelOnly="1" outline="0" axis="axisValues" fieldPosition="0"/>
    </format>
    <format dxfId="308">
      <pivotArea dataOnly="0" labelOnly="1" fieldPosition="0">
        <references count="1">
          <reference field="1" count="50">
            <x v="0"/>
            <x v="1"/>
            <x v="2"/>
            <x v="3"/>
            <x v="4"/>
            <x v="7"/>
            <x v="11"/>
            <x v="12"/>
            <x v="13"/>
            <x v="14"/>
            <x v="15"/>
            <x v="16"/>
            <x v="17"/>
            <x v="18"/>
            <x v="19"/>
            <x v="20"/>
            <x v="21"/>
            <x v="22"/>
            <x v="24"/>
            <x v="25"/>
            <x v="26"/>
            <x v="27"/>
            <x v="29"/>
            <x v="32"/>
            <x v="33"/>
            <x v="34"/>
            <x v="36"/>
            <x v="38"/>
            <x v="39"/>
            <x v="41"/>
            <x v="43"/>
            <x v="44"/>
            <x v="45"/>
            <x v="47"/>
            <x v="51"/>
            <x v="52"/>
            <x v="53"/>
            <x v="54"/>
            <x v="55"/>
            <x v="56"/>
            <x v="57"/>
            <x v="58"/>
            <x v="59"/>
            <x v="60"/>
            <x v="61"/>
            <x v="63"/>
            <x v="64"/>
            <x v="65"/>
            <x v="66"/>
            <x v="67"/>
          </reference>
        </references>
      </pivotArea>
    </format>
    <format dxfId="307">
      <pivotArea dataOnly="0" labelOnly="1" fieldPosition="0">
        <references count="1">
          <reference field="1" count="18">
            <x v="5"/>
            <x v="6"/>
            <x v="8"/>
            <x v="9"/>
            <x v="10"/>
            <x v="23"/>
            <x v="28"/>
            <x v="30"/>
            <x v="31"/>
            <x v="35"/>
            <x v="37"/>
            <x v="40"/>
            <x v="42"/>
            <x v="46"/>
            <x v="48"/>
            <x v="49"/>
            <x v="50"/>
            <x v="62"/>
          </reference>
        </references>
      </pivotArea>
    </format>
    <format dxfId="306">
      <pivotArea collapsedLevelsAreSubtotals="1" fieldPosition="0">
        <references count="1">
          <reference field="1" count="1">
            <x v="66"/>
          </reference>
        </references>
      </pivotArea>
    </format>
    <format dxfId="305">
      <pivotArea dataOnly="0" labelOnly="1" fieldPosition="0">
        <references count="1">
          <reference field="1" count="1">
            <x v="66"/>
          </reference>
        </references>
      </pivotArea>
    </format>
    <format dxfId="304">
      <pivotArea collapsedLevelsAreSubtotals="1" fieldPosition="0">
        <references count="1">
          <reference field="1" count="1">
            <x v="16"/>
          </reference>
        </references>
      </pivotArea>
    </format>
    <format dxfId="303">
      <pivotArea dataOnly="0" labelOnly="1" fieldPosition="0">
        <references count="1">
          <reference field="1" count="1">
            <x v="16"/>
          </reference>
        </references>
      </pivotArea>
    </format>
    <format dxfId="302">
      <pivotArea collapsedLevelsAreSubtotals="1" fieldPosition="0">
        <references count="1">
          <reference field="1" count="1">
            <x v="13"/>
          </reference>
        </references>
      </pivotArea>
    </format>
    <format dxfId="301">
      <pivotArea dataOnly="0" labelOnly="1" fieldPosition="0">
        <references count="1">
          <reference field="1" count="1">
            <x v="13"/>
          </reference>
        </references>
      </pivotArea>
    </format>
    <format dxfId="300">
      <pivotArea collapsedLevelsAreSubtotals="1" fieldPosition="0">
        <references count="1">
          <reference field="1" count="1">
            <x v="36"/>
          </reference>
        </references>
      </pivotArea>
    </format>
    <format dxfId="299">
      <pivotArea dataOnly="0" labelOnly="1" fieldPosition="0">
        <references count="1">
          <reference field="1" count="1">
            <x v="36"/>
          </reference>
        </references>
      </pivotArea>
    </format>
    <format dxfId="298">
      <pivotArea collapsedLevelsAreSubtotals="1" fieldPosition="0">
        <references count="1">
          <reference field="1" count="2">
            <x v="43"/>
            <x v="53"/>
          </reference>
        </references>
      </pivotArea>
    </format>
    <format dxfId="297">
      <pivotArea collapsedLevelsAreSubtotals="1" fieldPosition="0">
        <references count="1">
          <reference field="1" count="1">
            <x v="59"/>
          </reference>
        </references>
      </pivotArea>
    </format>
    <format dxfId="296">
      <pivotArea dataOnly="0" labelOnly="1" fieldPosition="0">
        <references count="1">
          <reference field="1" count="1">
            <x v="59"/>
          </reference>
        </references>
      </pivotArea>
    </format>
    <format dxfId="295">
      <pivotArea collapsedLevelsAreSubtotals="1" fieldPosition="0">
        <references count="1">
          <reference field="1" count="2">
            <x v="56"/>
            <x v="59"/>
          </reference>
        </references>
      </pivotArea>
    </format>
    <format dxfId="294">
      <pivotArea dataOnly="0" labelOnly="1" fieldPosition="0">
        <references count="1">
          <reference field="1" count="2">
            <x v="56"/>
            <x v="59"/>
          </reference>
        </references>
      </pivotArea>
    </format>
    <format dxfId="293">
      <pivotArea collapsedLevelsAreSubtotals="1" fieldPosition="0">
        <references count="1">
          <reference field="1" count="1">
            <x v="59"/>
          </reference>
        </references>
      </pivotArea>
    </format>
    <format dxfId="292">
      <pivotArea dataOnly="0" labelOnly="1" fieldPosition="0">
        <references count="1">
          <reference field="1" count="1">
            <x v="59"/>
          </reference>
        </references>
      </pivotArea>
    </format>
    <format dxfId="291">
      <pivotArea outline="0" collapsedLevelsAreSubtotals="1" fieldPosition="0"/>
    </format>
  </formats>
  <chartFormats count="1">
    <chartFormat chart="0" format="0" series="1">
      <pivotArea type="data" outline="0" fieldPosition="0">
        <references count="1">
          <reference field="4294967294" count="1" selected="0">
            <x v="0"/>
          </reference>
        </references>
      </pivotArea>
    </chartFormat>
  </chart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PivotTable2" cacheId="3" applyNumberFormats="0" applyBorderFormats="0" applyFontFormats="0" applyPatternFormats="0" applyAlignmentFormats="0" applyWidthHeightFormats="1" dataCaption="Values" updatedVersion="5" minRefreshableVersion="3" useAutoFormatting="1" rowGrandTotals="0" itemPrintTitles="1" createdVersion="5" indent="0" outline="1" outlineData="1" multipleFieldFilters="0" chartFormat="2">
  <location ref="A3:D72" firstHeaderRow="1" firstDataRow="2" firstDataCol="1"/>
  <pivotFields count="27">
    <pivotField showAll="0"/>
    <pivotField axis="axisRow" showAll="0" sortType="descending">
      <items count="71">
        <item x="31"/>
        <item x="19"/>
        <item x="66"/>
        <item x="0"/>
        <item x="43"/>
        <item x="23"/>
        <item x="41"/>
        <item x="33"/>
        <item x="62"/>
        <item x="1"/>
        <item x="44"/>
        <item x="2"/>
        <item x="36"/>
        <item x="3"/>
        <item x="53"/>
        <item x="20"/>
        <item x="57"/>
        <item x="50"/>
        <item x="4"/>
        <item x="5"/>
        <item x="42"/>
        <item x="48"/>
        <item m="1" x="68"/>
        <item x="6"/>
        <item x="58"/>
        <item x="18"/>
        <item x="46"/>
        <item x="27"/>
        <item m="1" x="69"/>
        <item x="65"/>
        <item x="7"/>
        <item x="8"/>
        <item x="17"/>
        <item x="9"/>
        <item x="32"/>
        <item x="52"/>
        <item x="29"/>
        <item x="10"/>
        <item x="11"/>
        <item x="12"/>
        <item x="45"/>
        <item x="40"/>
        <item x="51"/>
        <item x="39"/>
        <item x="34"/>
        <item x="38"/>
        <item x="35"/>
        <item x="13"/>
        <item x="14"/>
        <item x="15"/>
        <item x="16"/>
        <item x="22"/>
        <item x="21"/>
        <item x="24"/>
        <item x="26"/>
        <item x="25"/>
        <item x="59"/>
        <item x="54"/>
        <item x="61"/>
        <item x="28"/>
        <item x="64"/>
        <item x="30"/>
        <item x="49"/>
        <item x="37"/>
        <item x="55"/>
        <item x="47"/>
        <item x="60"/>
        <item x="56"/>
        <item x="63"/>
        <item x="67"/>
        <item t="default"/>
      </items>
      <autoSortScope>
        <pivotArea dataOnly="0" outline="0" fieldPosition="0">
          <references count="1">
            <reference field="4294967294" count="1" selected="0">
              <x v="0"/>
            </reference>
          </references>
        </pivotArea>
      </autoSortScope>
    </pivotField>
    <pivotField showAll="0" sortType="descending">
      <autoSortScope>
        <pivotArea dataOnly="0" outline="0" fieldPosition="0">
          <references count="1">
            <reference field="4294967294" count="1" selected="0">
              <x v="0"/>
            </reference>
          </references>
        </pivotArea>
      </autoSortScope>
    </pivotField>
    <pivotField dataField="1" showAll="0"/>
    <pivotField showAll="0"/>
    <pivotField showAll="0"/>
    <pivotField showAll="0"/>
    <pivotField showAll="0"/>
    <pivotField showAll="0"/>
    <pivotField showAll="0"/>
    <pivotField showAll="0"/>
    <pivotField axis="axisCol" showAll="0">
      <items count="3">
        <item x="1"/>
        <item n="Others"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8">
    <i>
      <x v="64"/>
    </i>
    <i>
      <x v="60"/>
    </i>
    <i>
      <x v="55"/>
    </i>
    <i>
      <x v="25"/>
    </i>
    <i>
      <x v="1"/>
    </i>
    <i>
      <x v="52"/>
    </i>
    <i>
      <x v="66"/>
    </i>
    <i>
      <x/>
    </i>
    <i>
      <x v="32"/>
    </i>
    <i>
      <x v="29"/>
    </i>
    <i>
      <x v="7"/>
    </i>
    <i>
      <x v="17"/>
    </i>
    <i>
      <x v="14"/>
    </i>
    <i>
      <x v="65"/>
    </i>
    <i>
      <x v="16"/>
    </i>
    <i>
      <x v="15"/>
    </i>
    <i>
      <x v="26"/>
    </i>
    <i>
      <x v="53"/>
    </i>
    <i>
      <x v="43"/>
    </i>
    <i>
      <x v="27"/>
    </i>
    <i>
      <x v="51"/>
    </i>
    <i>
      <x v="12"/>
    </i>
    <i>
      <x v="24"/>
    </i>
    <i>
      <x v="20"/>
    </i>
    <i>
      <x v="2"/>
    </i>
    <i>
      <x v="44"/>
    </i>
    <i>
      <x v="34"/>
    </i>
    <i>
      <x v="69"/>
    </i>
    <i>
      <x v="63"/>
    </i>
    <i>
      <x v="56"/>
    </i>
    <i>
      <x v="59"/>
    </i>
    <i>
      <x v="57"/>
    </i>
    <i>
      <x v="36"/>
    </i>
    <i>
      <x v="38"/>
    </i>
    <i>
      <x v="61"/>
    </i>
    <i>
      <x v="58"/>
    </i>
    <i>
      <x v="33"/>
    </i>
    <i>
      <x v="54"/>
    </i>
    <i>
      <x v="67"/>
    </i>
    <i>
      <x v="11"/>
    </i>
    <i>
      <x v="19"/>
    </i>
    <i>
      <x v="45"/>
    </i>
    <i>
      <x v="47"/>
    </i>
    <i>
      <x v="21"/>
    </i>
    <i>
      <x v="18"/>
    </i>
    <i>
      <x v="13"/>
    </i>
    <i>
      <x v="3"/>
    </i>
    <i>
      <x v="39"/>
    </i>
    <i>
      <x v="4"/>
    </i>
    <i>
      <x v="41"/>
    </i>
    <i>
      <x v="49"/>
    </i>
    <i>
      <x v="50"/>
    </i>
    <i>
      <x v="37"/>
    </i>
    <i>
      <x v="35"/>
    </i>
    <i>
      <x v="46"/>
    </i>
    <i>
      <x v="9"/>
    </i>
    <i>
      <x v="48"/>
    </i>
    <i>
      <x v="23"/>
    </i>
    <i>
      <x v="5"/>
    </i>
    <i>
      <x v="62"/>
    </i>
    <i>
      <x v="68"/>
    </i>
    <i>
      <x v="31"/>
    </i>
    <i>
      <x v="6"/>
    </i>
    <i>
      <x v="42"/>
    </i>
    <i>
      <x v="40"/>
    </i>
    <i>
      <x v="10"/>
    </i>
    <i>
      <x v="30"/>
    </i>
    <i>
      <x v="8"/>
    </i>
  </rowItems>
  <colFields count="1">
    <field x="11"/>
  </colFields>
  <colItems count="3">
    <i>
      <x/>
    </i>
    <i>
      <x v="1"/>
    </i>
    <i t="grand">
      <x/>
    </i>
  </colItems>
  <dataFields count="1">
    <dataField name="Sum of indicator_total_weighted_points" fld="3" baseField="0" baseItem="0" numFmtId="2"/>
  </dataFields>
  <formats count="1">
    <format dxfId="279">
      <pivotArea outline="0" collapsedLevelsAreSubtotals="1" fieldPosition="0"/>
    </format>
  </formats>
  <chartFormats count="2">
    <chartFormat chart="1" format="0" series="1">
      <pivotArea type="data" outline="0" fieldPosition="0">
        <references count="2">
          <reference field="4294967294" count="1" selected="0">
            <x v="0"/>
          </reference>
          <reference field="11" count="1" selected="0">
            <x v="0"/>
          </reference>
        </references>
      </pivotArea>
    </chartFormat>
    <chartFormat chart="1" format="1" series="1">
      <pivotArea type="data" outline="0" fieldPosition="0">
        <references count="2">
          <reference field="4294967294" count="1" selected="0">
            <x v="0"/>
          </reference>
          <reference field="11"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3.xml><?xml version="1.0" encoding="utf-8"?>
<pivotTableDefinition xmlns="http://schemas.openxmlformats.org/spreadsheetml/2006/main" name="PivotTable3" cacheId="3" applyNumberFormats="0" applyBorderFormats="0" applyFontFormats="0" applyPatternFormats="0" applyAlignmentFormats="0" applyWidthHeightFormats="1" dataCaption="Values" updatedVersion="5" minRefreshableVersion="3" useAutoFormatting="1" rowGrandTotals="0" colGrandTotals="0" itemPrintTitles="1" createdVersion="5" indent="0" outline="1" outlineData="1" multipleFieldFilters="0">
  <location ref="A3:AN74" firstHeaderRow="1" firstDataRow="4" firstDataCol="1"/>
  <pivotFields count="27">
    <pivotField showAll="0"/>
    <pivotField axis="axisRow" showAll="0">
      <items count="71">
        <item x="31"/>
        <item x="19"/>
        <item x="66"/>
        <item x="0"/>
        <item x="43"/>
        <item x="23"/>
        <item x="41"/>
        <item x="33"/>
        <item x="62"/>
        <item x="1"/>
        <item x="44"/>
        <item x="2"/>
        <item x="36"/>
        <item x="3"/>
        <item x="53"/>
        <item x="20"/>
        <item x="57"/>
        <item x="50"/>
        <item x="4"/>
        <item x="5"/>
        <item x="42"/>
        <item x="48"/>
        <item m="1" x="68"/>
        <item x="6"/>
        <item x="58"/>
        <item x="18"/>
        <item x="46"/>
        <item x="27"/>
        <item m="1" x="69"/>
        <item x="65"/>
        <item x="7"/>
        <item x="8"/>
        <item x="17"/>
        <item x="9"/>
        <item x="32"/>
        <item x="52"/>
        <item x="29"/>
        <item x="10"/>
        <item x="11"/>
        <item x="12"/>
        <item x="45"/>
        <item x="40"/>
        <item x="51"/>
        <item x="39"/>
        <item x="34"/>
        <item x="38"/>
        <item x="35"/>
        <item x="13"/>
        <item x="14"/>
        <item x="15"/>
        <item x="16"/>
        <item x="22"/>
        <item x="21"/>
        <item x="24"/>
        <item x="26"/>
        <item x="25"/>
        <item x="59"/>
        <item x="54"/>
        <item x="61"/>
        <item x="28"/>
        <item x="64"/>
        <item x="30"/>
        <item x="49"/>
        <item x="37"/>
        <item x="55"/>
        <item x="47"/>
        <item x="60"/>
        <item x="56"/>
        <item x="63"/>
        <item x="67"/>
        <item t="default"/>
      </items>
    </pivotField>
    <pivotField showAll="0"/>
    <pivotField showAll="0"/>
    <pivotField showAll="0"/>
    <pivotField axis="axisCol" showAll="0">
      <items count="40">
        <item x="25"/>
        <item x="4"/>
        <item x="36"/>
        <item x="38"/>
        <item x="37"/>
        <item x="7"/>
        <item x="6"/>
        <item x="3"/>
        <item x="5"/>
        <item x="0"/>
        <item x="9"/>
        <item x="11"/>
        <item x="8"/>
        <item x="31"/>
        <item x="32"/>
        <item x="33"/>
        <item x="29"/>
        <item x="16"/>
        <item x="24"/>
        <item x="26"/>
        <item x="22"/>
        <item x="17"/>
        <item x="15"/>
        <item x="18"/>
        <item x="2"/>
        <item x="1"/>
        <item x="23"/>
        <item x="34"/>
        <item x="35"/>
        <item x="30"/>
        <item x="28"/>
        <item x="10"/>
        <item x="21"/>
        <item x="20"/>
        <item x="19"/>
        <item x="12"/>
        <item x="13"/>
        <item x="27"/>
        <item x="14"/>
        <item t="default"/>
      </items>
    </pivotField>
    <pivotField axis="axisCol" subtotalTop="0" showAll="0" defaultSubtotal="0">
      <items count="3">
        <item x="2"/>
        <item x="1"/>
        <item x="0"/>
      </items>
    </pivotField>
    <pivotField axis="axisCol" showAll="0" defaultSubtotal="0">
      <items count="7">
        <item x="0"/>
        <item x="1"/>
        <item x="5"/>
        <item x="4"/>
        <item x="2"/>
        <item x="3"/>
        <item x="6"/>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8">
    <i>
      <x/>
    </i>
    <i>
      <x v="1"/>
    </i>
    <i>
      <x v="2"/>
    </i>
    <i>
      <x v="3"/>
    </i>
    <i>
      <x v="4"/>
    </i>
    <i>
      <x v="5"/>
    </i>
    <i>
      <x v="6"/>
    </i>
    <i>
      <x v="7"/>
    </i>
    <i>
      <x v="8"/>
    </i>
    <i>
      <x v="9"/>
    </i>
    <i>
      <x v="10"/>
    </i>
    <i>
      <x v="11"/>
    </i>
    <i>
      <x v="12"/>
    </i>
    <i>
      <x v="13"/>
    </i>
    <i>
      <x v="14"/>
    </i>
    <i>
      <x v="15"/>
    </i>
    <i>
      <x v="16"/>
    </i>
    <i>
      <x v="17"/>
    </i>
    <i>
      <x v="18"/>
    </i>
    <i>
      <x v="19"/>
    </i>
    <i>
      <x v="20"/>
    </i>
    <i>
      <x v="21"/>
    </i>
    <i>
      <x v="23"/>
    </i>
    <i>
      <x v="24"/>
    </i>
    <i>
      <x v="25"/>
    </i>
    <i>
      <x v="26"/>
    </i>
    <i>
      <x v="27"/>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rowItems>
  <colFields count="3">
    <field x="6"/>
    <field x="7"/>
    <field x="5"/>
  </colFields>
  <colItems count="39">
    <i>
      <x/>
      <x v="6"/>
      <x v="2"/>
    </i>
    <i r="2">
      <x v="3"/>
    </i>
    <i r="2">
      <x v="4"/>
    </i>
    <i>
      <x v="1"/>
      <x v="2"/>
      <x v="13"/>
    </i>
    <i r="2">
      <x v="14"/>
    </i>
    <i r="2">
      <x v="15"/>
    </i>
    <i r="2">
      <x v="27"/>
    </i>
    <i r="2">
      <x v="28"/>
    </i>
    <i r="1">
      <x v="4"/>
      <x v="16"/>
    </i>
    <i r="2">
      <x v="29"/>
    </i>
    <i r="2">
      <x v="30"/>
    </i>
    <i>
      <x v="2"/>
      <x/>
      <x v="1"/>
    </i>
    <i r="2">
      <x v="5"/>
    </i>
    <i r="2">
      <x v="6"/>
    </i>
    <i r="2">
      <x v="7"/>
    </i>
    <i r="2">
      <x v="8"/>
    </i>
    <i r="2">
      <x v="9"/>
    </i>
    <i r="2">
      <x v="24"/>
    </i>
    <i r="2">
      <x v="25"/>
    </i>
    <i r="1">
      <x v="1"/>
      <x v="10"/>
    </i>
    <i r="2">
      <x v="11"/>
    </i>
    <i r="2">
      <x v="12"/>
    </i>
    <i r="2">
      <x v="31"/>
    </i>
    <i r="2">
      <x v="35"/>
    </i>
    <i r="2">
      <x v="36"/>
    </i>
    <i r="2">
      <x v="38"/>
    </i>
    <i r="1">
      <x v="3"/>
      <x/>
    </i>
    <i r="2">
      <x v="18"/>
    </i>
    <i r="2">
      <x v="19"/>
    </i>
    <i r="2">
      <x v="20"/>
    </i>
    <i r="2">
      <x v="26"/>
    </i>
    <i r="2">
      <x v="37"/>
    </i>
    <i r="1">
      <x v="4"/>
      <x v="17"/>
    </i>
    <i r="2">
      <x v="21"/>
    </i>
    <i r="2">
      <x v="22"/>
    </i>
    <i r="2">
      <x v="23"/>
    </i>
    <i r="1">
      <x v="5"/>
      <x v="32"/>
    </i>
    <i r="2">
      <x v="33"/>
    </i>
    <i r="2">
      <x v="34"/>
    </i>
  </colItems>
  <dataFields count="1">
    <dataField name="Sum of total_points" fld="14" baseField="0" baseItem="0" numFmtId="164"/>
  </dataFields>
  <formats count="2">
    <format dxfId="278">
      <pivotArea outline="0" collapsedLevelsAreSubtotals="1" fieldPosition="0"/>
    </format>
    <format dxfId="277">
      <pivotArea dataOnly="0" outline="0" fieldPosition="0">
        <references count="1">
          <reference field="5" count="1">
            <x v="2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4.xml><?xml version="1.0" encoding="utf-8"?>
<pivotTableDefinition xmlns="http://schemas.openxmlformats.org/spreadsheetml/2006/main" name="Format of publication for 22 indicators" cacheId="3"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1">
  <location ref="A4:F28" firstHeaderRow="1" firstDataRow="2" firstDataCol="1" rowPageCount="1" colPageCount="1"/>
  <pivotFields count="27">
    <pivotField showAll="0"/>
    <pivotField showAll="0"/>
    <pivotField showAll="0"/>
    <pivotField showAll="0"/>
    <pivotField showAll="0"/>
    <pivotField axis="axisRow" showAll="0" sortType="ascending">
      <items count="40">
        <item h="1" x="37"/>
        <item x="0"/>
        <item x="8"/>
        <item h="1" x="33"/>
        <item h="1" x="32"/>
        <item h="1" x="28"/>
        <item x="16"/>
        <item h="1" x="22"/>
        <item x="18"/>
        <item x="9"/>
        <item x="17"/>
        <item h="1" x="19"/>
        <item x="1"/>
        <item h="1" x="23"/>
        <item h="1" x="35"/>
        <item x="2"/>
        <item x="3"/>
        <item x="30"/>
        <item x="15"/>
        <item h="1" x="24"/>
        <item x="10"/>
        <item x="11"/>
        <item h="1" x="36"/>
        <item h="1" x="20"/>
        <item h="1" x="38"/>
        <item x="4"/>
        <item h="1" x="25"/>
        <item h="1" x="26"/>
        <item h="1" x="31"/>
        <item x="5"/>
        <item h="1" x="34"/>
        <item x="21"/>
        <item x="12"/>
        <item x="13"/>
        <item h="1" x="27"/>
        <item x="14"/>
        <item x="6"/>
        <item x="29"/>
        <item x="7"/>
        <item t="default"/>
      </items>
    </pivotField>
    <pivotField showAll="0"/>
    <pivotField showAll="0"/>
    <pivotField showAll="0"/>
    <pivotField showAll="0"/>
    <pivotField showAll="0"/>
    <pivotField showAll="0"/>
    <pivotField axis="axisCol" showAll="0">
      <items count="8">
        <item x="2"/>
        <item x="6"/>
        <item x="4"/>
        <item x="5"/>
        <item x="1"/>
        <item x="3"/>
        <item x="0"/>
        <item t="default"/>
      </items>
    </pivotField>
    <pivotField showAll="0"/>
    <pivotField dataField="1" showAll="0">
      <items count="721">
        <item h="1" x="0"/>
        <item x="10"/>
        <item x="8"/>
        <item x="3"/>
        <item x="310"/>
        <item x="4"/>
        <item x="9"/>
        <item x="164"/>
        <item x="179"/>
        <item x="101"/>
        <item x="95"/>
        <item x="165"/>
        <item h="1" m="1" x="601"/>
        <item x="1"/>
        <item x="166"/>
        <item x="245"/>
        <item x="298"/>
        <item x="7"/>
        <item x="2"/>
        <item h="1" m="1" x="334"/>
        <item h="1" m="1" x="459"/>
        <item h="1" m="1" x="444"/>
        <item h="1" m="1" x="676"/>
        <item x="54"/>
        <item h="1" m="1" x="369"/>
        <item h="1" m="1" x="641"/>
        <item h="1" m="1" x="713"/>
        <item x="59"/>
        <item h="1" m="1" x="705"/>
        <item x="99"/>
        <item h="1" m="1" x="591"/>
        <item x="184"/>
        <item h="1" m="1" x="389"/>
        <item h="1" m="1" x="508"/>
        <item x="309"/>
        <item h="1" m="1" x="361"/>
        <item x="153"/>
        <item h="1" m="1" x="704"/>
        <item x="72"/>
        <item h="1" m="1" x="347"/>
        <item h="1" m="1" x="533"/>
        <item h="1" m="1" x="390"/>
        <item h="1" m="1" x="690"/>
        <item h="1" m="1" x="706"/>
        <item h="1" m="1" x="338"/>
        <item h="1" m="1" x="358"/>
        <item x="66"/>
        <item h="1" m="1" x="476"/>
        <item x="154"/>
        <item h="1" m="1" x="694"/>
        <item x="67"/>
        <item x="88"/>
        <item h="1" m="1" x="703"/>
        <item h="1" m="1" x="517"/>
        <item x="308"/>
        <item h="1" m="1" x="600"/>
        <item h="1" m="1" x="374"/>
        <item x="129"/>
        <item h="1" m="1" x="697"/>
        <item h="1" m="1" x="350"/>
        <item h="1" m="1" x="514"/>
        <item h="1" m="1" x="375"/>
        <item h="1" m="1" x="477"/>
        <item x="185"/>
        <item h="1" m="1" x="364"/>
        <item h="1" m="1" x="522"/>
        <item x="100"/>
        <item h="1" m="1" x="569"/>
        <item h="1" m="1" x="519"/>
        <item x="69"/>
        <item h="1" m="1" x="534"/>
        <item h="1" m="1" x="695"/>
        <item h="1" m="1" x="447"/>
        <item h="1" m="1" x="311"/>
        <item x="124"/>
        <item h="1" m="1" x="352"/>
        <item x="279"/>
        <item h="1" m="1" x="589"/>
        <item x="68"/>
        <item h="1" m="1" x="366"/>
        <item x="78"/>
        <item h="1" m="1" x="518"/>
        <item x="70"/>
        <item h="1" m="1" x="610"/>
        <item x="126"/>
        <item h="1" m="1" x="660"/>
        <item h="1" m="1" x="349"/>
        <item h="1" m="1" x="684"/>
        <item x="227"/>
        <item h="1" m="1" x="525"/>
        <item h="1" m="1" x="666"/>
        <item h="1" m="1" x="692"/>
        <item h="1" m="1" x="592"/>
        <item h="1" m="1" x="436"/>
        <item x="143"/>
        <item h="1" m="1" x="466"/>
        <item x="49"/>
        <item h="1" m="1" x="359"/>
        <item h="1" m="1" x="401"/>
        <item x="128"/>
        <item x="127"/>
        <item h="1" m="1" x="661"/>
        <item h="1" m="1" x="583"/>
        <item h="1" m="1" x="333"/>
        <item h="1" m="1" x="469"/>
        <item h="1" m="1" x="406"/>
        <item x="125"/>
        <item h="1" m="1" x="644"/>
        <item x="71"/>
        <item h="1" m="1" x="544"/>
        <item x="146"/>
        <item h="1" m="1" x="357"/>
        <item h="1" m="1" x="351"/>
        <item x="281"/>
        <item x="171"/>
        <item x="305"/>
        <item x="259"/>
        <item h="1" m="1" x="509"/>
        <item h="1" m="1" x="659"/>
        <item x="299"/>
        <item h="1" m="1" x="353"/>
        <item h="1" m="1" x="561"/>
        <item h="1" m="1" x="502"/>
        <item h="1" m="1" x="597"/>
        <item h="1" m="1" x="617"/>
        <item x="268"/>
        <item x="224"/>
        <item x="277"/>
        <item h="1" m="1" x="717"/>
        <item h="1" m="1" x="474"/>
        <item h="1" m="1" x="344"/>
        <item x="80"/>
        <item h="1" m="1" x="470"/>
        <item x="92"/>
        <item h="1" m="1" x="410"/>
        <item x="50"/>
        <item h="1" m="1" x="556"/>
        <item x="161"/>
        <item x="133"/>
        <item x="82"/>
        <item h="1" m="1" x="456"/>
        <item x="242"/>
        <item x="244"/>
        <item x="23"/>
        <item x="162"/>
        <item h="1" m="1" x="323"/>
        <item h="1" m="1" x="495"/>
        <item x="81"/>
        <item h="1" m="1" x="590"/>
        <item x="107"/>
        <item x="25"/>
        <item h="1" m="1" x="329"/>
        <item x="115"/>
        <item h="1" m="1" x="383"/>
        <item h="1" m="1" x="540"/>
        <item x="62"/>
        <item h="1" m="1" x="542"/>
        <item h="1" m="1" x="337"/>
        <item h="1" m="1" x="546"/>
        <item h="1" m="1" x="587"/>
        <item x="147"/>
        <item x="221"/>
        <item h="1" m="1" x="554"/>
        <item x="167"/>
        <item h="1" m="1" x="652"/>
        <item h="1" m="1" x="438"/>
        <item h="1" m="1" x="679"/>
        <item x="64"/>
        <item h="1" m="1" x="529"/>
        <item x="108"/>
        <item x="218"/>
        <item x="160"/>
        <item x="6"/>
        <item x="41"/>
        <item x="131"/>
        <item h="1" m="1" x="409"/>
        <item x="155"/>
        <item x="135"/>
        <item x="136"/>
        <item x="198"/>
        <item x="134"/>
        <item h="1" m="1" x="588"/>
        <item x="209"/>
        <item x="253"/>
        <item h="1" m="1" x="422"/>
        <item h="1" m="1" x="511"/>
        <item x="275"/>
        <item x="37"/>
        <item x="48"/>
        <item h="1" m="1" x="687"/>
        <item h="1" m="1" x="487"/>
        <item x="208"/>
        <item h="1" m="1" x="472"/>
        <item h="1" m="1" x="392"/>
        <item h="1" m="1" x="377"/>
        <item h="1" m="1" x="336"/>
        <item x="137"/>
        <item x="189"/>
        <item x="19"/>
        <item h="1" m="1" x="621"/>
        <item x="47"/>
        <item h="1" m="1" x="716"/>
        <item h="1" m="1" x="483"/>
        <item h="1" m="1" x="481"/>
        <item x="292"/>
        <item h="1" m="1" x="683"/>
        <item h="1" m="1" x="599"/>
        <item h="1" m="1" x="387"/>
        <item x="255"/>
        <item x="145"/>
        <item h="1" m="1" x="606"/>
        <item x="89"/>
        <item h="1" m="1" x="566"/>
        <item h="1" m="1" x="605"/>
        <item h="1" m="1" x="492"/>
        <item x="36"/>
        <item h="1" m="1" x="452"/>
        <item x="14"/>
        <item h="1" m="1" x="343"/>
        <item h="1" m="1" x="609"/>
        <item h="1" m="1" x="423"/>
        <item x="28"/>
        <item h="1" m="1" x="321"/>
        <item x="243"/>
        <item h="1" m="1" x="342"/>
        <item h="1" m="1" x="427"/>
        <item h="1" m="1" x="332"/>
        <item x="26"/>
        <item h="1" m="1" x="507"/>
        <item h="1" m="1" x="318"/>
        <item h="1" m="1" x="613"/>
        <item x="240"/>
        <item x="239"/>
        <item h="1" m="1" x="718"/>
        <item x="122"/>
        <item h="1" m="1" x="680"/>
        <item h="1" m="1" x="653"/>
        <item x="241"/>
        <item x="132"/>
        <item h="1" m="1" x="701"/>
        <item h="1" m="1" x="631"/>
        <item h="1" m="1" x="545"/>
        <item h="1" m="1" x="408"/>
        <item x="30"/>
        <item x="159"/>
        <item h="1" m="1" x="439"/>
        <item x="175"/>
        <item x="96"/>
        <item x="152"/>
        <item x="181"/>
        <item h="1" m="1" x="665"/>
        <item x="278"/>
        <item h="1" m="1" x="506"/>
        <item x="307"/>
        <item h="1" m="1" x="516"/>
        <item h="1" m="1" x="496"/>
        <item x="238"/>
        <item h="1" m="1" x="657"/>
        <item x="65"/>
        <item h="1" m="1" x="719"/>
        <item h="1" m="1" x="629"/>
        <item h="1" m="1" x="572"/>
        <item x="151"/>
        <item h="1" m="1" x="638"/>
        <item x="103"/>
        <item h="1" m="1" x="365"/>
        <item x="85"/>
        <item h="1" m="1" x="464"/>
        <item h="1" m="1" x="355"/>
        <item x="226"/>
        <item x="220"/>
        <item h="1" m="1" x="567"/>
        <item x="201"/>
        <item h="1" m="1" x="658"/>
        <item x="276"/>
        <item x="144"/>
        <item h="1" m="1" x="650"/>
        <item h="1" m="1" x="497"/>
        <item h="1" m="1" x="391"/>
        <item h="1" m="1" x="396"/>
        <item h="1" m="1" x="442"/>
        <item h="1" m="1" x="530"/>
        <item h="1" m="1" x="340"/>
        <item h="1" m="1" x="345"/>
        <item x="150"/>
        <item x="112"/>
        <item x="251"/>
        <item x="222"/>
        <item x="63"/>
        <item h="1" m="1" x="643"/>
        <item h="1" m="1" x="535"/>
        <item h="1" m="1" x="558"/>
        <item h="1" m="1" x="455"/>
        <item h="1" m="1" x="515"/>
        <item h="1" m="1" x="709"/>
        <item x="223"/>
        <item h="1" m="1" x="651"/>
        <item h="1" m="1" x="316"/>
        <item h="1" m="1" x="314"/>
        <item x="91"/>
        <item h="1" m="1" x="445"/>
        <item x="83"/>
        <item x="274"/>
        <item x="117"/>
        <item h="1" m="1" x="467"/>
        <item h="1" m="1" x="553"/>
        <item h="1" m="1" x="491"/>
        <item x="230"/>
        <item x="46"/>
        <item x="300"/>
        <item h="1" m="1" x="642"/>
        <item x="114"/>
        <item h="1" m="1" x="440"/>
        <item h="1" m="1" x="393"/>
        <item h="1" m="1" x="615"/>
        <item h="1" m="1" x="699"/>
        <item x="192"/>
        <item h="1" m="1" x="431"/>
        <item h="1" m="1" x="354"/>
        <item h="1" m="1" x="618"/>
        <item x="123"/>
        <item h="1" m="1" x="584"/>
        <item h="1" m="1" x="498"/>
        <item x="22"/>
        <item x="270"/>
        <item x="211"/>
        <item x="34"/>
        <item x="199"/>
        <item x="210"/>
        <item h="1" m="1" x="402"/>
        <item h="1" m="1" x="689"/>
        <item x="237"/>
        <item h="1" m="1" x="633"/>
        <item h="1" m="1" x="557"/>
        <item x="205"/>
        <item h="1" m="1" x="313"/>
        <item x="258"/>
        <item x="116"/>
        <item h="1" m="1" x="563"/>
        <item h="1" m="1" x="446"/>
        <item h="1" m="1" x="536"/>
        <item x="282"/>
        <item h="1" m="1" x="326"/>
        <item h="1" m="1" x="465"/>
        <item h="1" m="1" x="531"/>
        <item h="1" m="1" x="595"/>
        <item h="1" m="1" x="381"/>
        <item x="280"/>
        <item x="254"/>
        <item x="97"/>
        <item h="1" m="1" x="404"/>
        <item h="1" m="1" x="400"/>
        <item x="260"/>
        <item x="293"/>
        <item x="142"/>
        <item x="35"/>
        <item h="1" m="1" x="673"/>
        <item h="1" m="1" x="623"/>
        <item x="111"/>
        <item h="1" m="1" x="575"/>
        <item h="1" m="1" x="688"/>
        <item h="1" m="1" x="424"/>
        <item h="1" m="1" x="693"/>
        <item h="1" m="1" x="682"/>
        <item h="1" m="1" x="417"/>
        <item h="1" m="1" x="696"/>
        <item x="219"/>
        <item x="252"/>
        <item h="1" m="1" x="504"/>
        <item h="1" m="1" x="547"/>
        <item h="1" m="1" x="394"/>
        <item h="1" m="1" x="363"/>
        <item h="1" m="1" x="669"/>
        <item h="1" m="1" x="339"/>
        <item x="273"/>
        <item x="16"/>
        <item h="1" m="1" x="421"/>
        <item x="94"/>
        <item h="1" m="1" x="454"/>
        <item x="98"/>
        <item h="1" m="1" x="628"/>
        <item h="1" m="1" x="672"/>
        <item x="202"/>
        <item x="44"/>
        <item x="40"/>
        <item x="79"/>
        <item x="303"/>
        <item x="168"/>
        <item h="1" m="1" x="710"/>
        <item h="1" m="1" x="482"/>
        <item x="269"/>
        <item x="247"/>
        <item h="1" m="1" x="319"/>
        <item h="1" m="1" x="451"/>
        <item h="1" m="1" x="664"/>
        <item x="283"/>
        <item h="1" m="1" x="551"/>
        <item h="1" m="1" x="663"/>
        <item h="1" m="1" x="712"/>
        <item x="90"/>
        <item h="1" m="1" x="407"/>
        <item x="291"/>
        <item x="207"/>
        <item x="180"/>
        <item h="1" m="1" x="585"/>
        <item h="1" m="1" x="490"/>
        <item x="11"/>
        <item h="1" m="1" x="630"/>
        <item x="109"/>
        <item x="206"/>
        <item x="262"/>
        <item h="1" m="1" x="640"/>
        <item x="225"/>
        <item h="1" m="1" x="388"/>
        <item h="1" m="1" x="670"/>
        <item h="1" m="1" x="356"/>
        <item h="1" m="1" x="691"/>
        <item x="149"/>
        <item h="1" m="1" x="681"/>
        <item x="186"/>
        <item h="1" m="1" x="577"/>
        <item h="1" m="1" x="441"/>
        <item h="1" m="1" x="708"/>
        <item x="27"/>
        <item h="1" m="1" x="448"/>
        <item x="176"/>
        <item h="1" m="1" x="458"/>
        <item x="52"/>
        <item x="182"/>
        <item h="1" m="1" x="624"/>
        <item x="196"/>
        <item x="195"/>
        <item h="1" m="1" x="324"/>
        <item x="140"/>
        <item h="1" m="1" x="415"/>
        <item x="197"/>
        <item h="1" m="1" x="437"/>
        <item h="1" m="1" x="607"/>
        <item x="190"/>
        <item h="1" m="1" x="700"/>
        <item h="1" m="1" x="360"/>
        <item h="1" m="1" x="386"/>
        <item x="257"/>
        <item h="1" m="1" x="317"/>
        <item x="21"/>
        <item h="1" m="1" x="647"/>
        <item x="118"/>
        <item x="148"/>
        <item x="39"/>
        <item x="232"/>
        <item h="1" m="1" x="499"/>
        <item x="178"/>
        <item x="266"/>
        <item h="1" m="1" x="656"/>
        <item x="24"/>
        <item h="1" m="1" x="473"/>
        <item x="53"/>
        <item x="256"/>
        <item x="15"/>
        <item x="130"/>
        <item h="1" m="1" x="560"/>
        <item h="1" m="1" x="500"/>
        <item h="1" m="1" x="371"/>
        <item x="306"/>
        <item h="1" m="1" x="632"/>
        <item x="188"/>
        <item h="1" m="1" x="341"/>
        <item h="1" m="1" x="418"/>
        <item h="1" m="1" x="552"/>
        <item h="1" m="1" x="397"/>
        <item x="42"/>
        <item h="1" m="1" x="548"/>
        <item x="18"/>
        <item h="1" m="1" x="368"/>
        <item h="1" m="1" x="327"/>
        <item h="1" m="1" x="510"/>
        <item h="1" m="1" x="594"/>
        <item x="183"/>
        <item x="121"/>
        <item x="249"/>
        <item x="304"/>
        <item h="1" m="1" x="413"/>
        <item h="1" m="1" x="626"/>
        <item x="187"/>
        <item h="1" m="1" x="488"/>
        <item h="1" m="1" x="379"/>
        <item h="1" m="1" x="620"/>
        <item h="1" m="1" x="678"/>
        <item h="1" m="1" x="619"/>
        <item h="1" m="1" x="714"/>
        <item h="1" m="1" x="715"/>
        <item h="1" m="1" x="485"/>
        <item x="141"/>
        <item h="1" m="1" x="505"/>
        <item x="119"/>
        <item h="1" m="1" x="428"/>
        <item h="1" m="1" x="645"/>
        <item x="193"/>
        <item x="203"/>
        <item x="43"/>
        <item x="301"/>
        <item h="1" m="1" x="443"/>
        <item x="139"/>
        <item x="194"/>
        <item x="110"/>
        <item h="1" m="1" x="373"/>
        <item x="120"/>
        <item x="200"/>
        <item h="1" m="1" x="538"/>
        <item h="1" m="1" x="513"/>
        <item x="13"/>
        <item x="138"/>
        <item x="295"/>
        <item x="163"/>
        <item x="297"/>
        <item x="191"/>
        <item x="38"/>
        <item h="1" m="1" x="478"/>
        <item h="1" m="1" x="435"/>
        <item h="1" m="1" x="330"/>
        <item h="1" m="1" x="523"/>
        <item x="248"/>
        <item x="45"/>
        <item x="204"/>
        <item x="177"/>
        <item h="1" m="1" x="579"/>
        <item h="1" m="1" x="475"/>
        <item h="1" m="1" x="405"/>
        <item h="1" m="1" x="549"/>
        <item x="20"/>
        <item h="1" m="1" x="616"/>
        <item x="17"/>
        <item h="1" m="1" x="463"/>
        <item h="1" m="1" x="503"/>
        <item h="1" m="1" x="550"/>
        <item h="1" m="1" x="602"/>
        <item h="1" m="1" x="662"/>
        <item h="1" m="1" x="528"/>
        <item x="302"/>
        <item x="294"/>
        <item h="1" m="1" x="426"/>
        <item x="33"/>
        <item h="1" m="1" x="598"/>
        <item h="1" m="1" x="674"/>
        <item x="296"/>
        <item h="1" m="1" x="419"/>
        <item h="1" m="1" x="346"/>
        <item h="1" m="1" x="668"/>
        <item x="250"/>
        <item h="1" m="1" x="376"/>
        <item x="113"/>
        <item x="84"/>
        <item h="1" m="1" x="648"/>
        <item h="1" m="1" x="586"/>
        <item h="1" m="1" x="655"/>
        <item x="12"/>
        <item h="1" m="1" x="460"/>
        <item h="1" m="1" x="320"/>
        <item x="231"/>
        <item h="1" m="1" x="312"/>
        <item x="93"/>
        <item h="1" m="1" x="331"/>
        <item h="1" m="1" x="646"/>
        <item x="61"/>
        <item x="156"/>
        <item x="246"/>
        <item x="213"/>
        <item h="1" m="1" x="562"/>
        <item h="1" m="1" x="521"/>
        <item h="1" m="1" x="348"/>
        <item h="1" m="1" x="526"/>
        <item h="1" m="1" x="385"/>
        <item h="1" m="1" x="322"/>
        <item x="77"/>
        <item x="272"/>
        <item x="216"/>
        <item h="1" m="1" x="702"/>
        <item x="236"/>
        <item h="1" m="1" x="416"/>
        <item h="1" m="1" x="608"/>
        <item x="229"/>
        <item h="1" m="1" x="457"/>
        <item x="73"/>
        <item x="31"/>
        <item x="233"/>
        <item x="74"/>
        <item h="1" m="1" x="698"/>
        <item h="1" m="1" x="570"/>
        <item x="288"/>
        <item x="106"/>
        <item h="1" m="1" x="380"/>
        <item h="1" m="1" x="468"/>
        <item h="1" m="1" x="471"/>
        <item h="1" m="1" x="430"/>
        <item x="157"/>
        <item h="1" m="1" x="555"/>
        <item x="235"/>
        <item x="284"/>
        <item h="1" m="1" x="571"/>
        <item h="1" m="1" x="582"/>
        <item h="1" m="1" x="593"/>
        <item x="289"/>
        <item h="1" m="1" x="649"/>
        <item h="1" m="1" x="433"/>
        <item h="1" m="1" x="411"/>
        <item x="32"/>
        <item x="60"/>
        <item x="290"/>
        <item h="1" m="1" x="493"/>
        <item h="1" m="1" x="654"/>
        <item h="1" m="1" x="494"/>
        <item h="1" m="1" x="429"/>
        <item x="271"/>
        <item h="1" m="1" x="524"/>
        <item h="1" m="1" x="539"/>
        <item h="1" m="1" x="335"/>
        <item x="75"/>
        <item h="1" m="1" x="449"/>
        <item h="1" m="1" x="412"/>
        <item x="105"/>
        <item x="169"/>
        <item h="1" m="1" x="384"/>
        <item h="1" m="1" x="398"/>
        <item h="1" m="1" x="541"/>
        <item h="1" m="1" x="573"/>
        <item h="1" m="1" x="625"/>
        <item h="1" m="1" x="596"/>
        <item h="1" m="1" x="543"/>
        <item h="1" m="1" x="527"/>
        <item x="173"/>
        <item x="212"/>
        <item h="1" m="1" x="576"/>
        <item x="287"/>
        <item h="1" m="1" x="627"/>
        <item h="1" m="1" x="461"/>
        <item x="29"/>
        <item h="1" m="1" x="399"/>
        <item h="1" m="1" x="489"/>
        <item h="1" m="1" x="501"/>
        <item x="172"/>
        <item h="1" m="1" x="480"/>
        <item h="1" m="1" x="328"/>
        <item h="1" m="1" x="671"/>
        <item h="1" m="1" x="520"/>
        <item x="234"/>
        <item h="1" m="1" x="434"/>
        <item x="261"/>
        <item h="1" m="1" x="382"/>
        <item h="1" m="1" x="462"/>
        <item h="1" m="1" x="614"/>
        <item x="215"/>
        <item h="1" m="1" x="578"/>
        <item h="1" m="1" x="367"/>
        <item x="214"/>
        <item x="228"/>
        <item h="1" m="1" x="564"/>
        <item h="1" m="1" x="604"/>
        <item h="1" m="1" x="675"/>
        <item h="1" m="1" x="370"/>
        <item h="1" m="1" x="568"/>
        <item x="104"/>
        <item h="1" m="1" x="420"/>
        <item h="1" m="1" x="425"/>
        <item x="86"/>
        <item x="174"/>
        <item x="285"/>
        <item h="1" m="1" x="622"/>
        <item x="267"/>
        <item h="1" m="1" x="362"/>
        <item x="158"/>
        <item h="1" m="1" x="612"/>
        <item h="1" m="1" x="403"/>
        <item h="1" m="1" x="686"/>
        <item h="1" m="1" x="611"/>
        <item x="265"/>
        <item h="1" m="1" x="603"/>
        <item h="1" m="1" x="565"/>
        <item x="286"/>
        <item x="102"/>
        <item h="1" m="1" x="325"/>
        <item x="264"/>
        <item h="1" m="1" x="580"/>
        <item h="1" m="1" x="479"/>
        <item h="1" m="1" x="532"/>
        <item h="1" m="1" x="432"/>
        <item x="76"/>
        <item x="51"/>
        <item h="1" m="1" x="537"/>
        <item h="1" m="1" x="512"/>
        <item h="1" m="1" x="581"/>
        <item h="1" m="1" x="484"/>
        <item h="1" m="1" x="453"/>
        <item h="1" m="1" x="677"/>
        <item x="58"/>
        <item h="1" m="1" x="395"/>
        <item h="1" m="1" x="414"/>
        <item h="1" m="1" x="711"/>
        <item x="87"/>
        <item h="1" m="1" x="378"/>
        <item h="1" m="1" x="635"/>
        <item h="1" m="1" x="634"/>
        <item h="1" m="1" x="685"/>
        <item h="1" m="1" x="636"/>
        <item h="1" m="1" x="639"/>
        <item h="1" m="1" x="450"/>
        <item x="170"/>
        <item h="1" m="1" x="707"/>
        <item h="1" m="1" x="559"/>
        <item x="55"/>
        <item h="1" m="1" x="372"/>
        <item x="217"/>
        <item x="263"/>
        <item x="57"/>
        <item h="1" m="1" x="315"/>
        <item h="1" m="1" x="574"/>
        <item x="56"/>
        <item h="1" m="1" x="667"/>
        <item h="1" m="1" x="486"/>
        <item h="1" m="1" x="637"/>
        <item x="5"/>
        <item t="default"/>
      </items>
    </pivotField>
    <pivotField showAll="0"/>
    <pivotField showAll="0"/>
    <pivotField showAll="0"/>
    <pivotField showAll="0"/>
    <pivotField showAll="0"/>
    <pivotField showAll="0"/>
    <pivotField name="survey_publication_status" axis="axisPage" multipleItemSelectionAllowed="1" showAll="0">
      <items count="5">
        <item x="1"/>
        <item h="1" x="0"/>
        <item h="1" x="2"/>
        <item x="3"/>
        <item t="default"/>
      </items>
    </pivotField>
    <pivotField showAll="0"/>
    <pivotField showAll="0"/>
    <pivotField showAll="0"/>
    <pivotField showAll="0"/>
    <pivotField showAll="0"/>
  </pivotFields>
  <rowFields count="1">
    <field x="5"/>
  </rowFields>
  <rowItems count="23">
    <i>
      <x v="1"/>
    </i>
    <i>
      <x v="2"/>
    </i>
    <i>
      <x v="6"/>
    </i>
    <i>
      <x v="8"/>
    </i>
    <i>
      <x v="9"/>
    </i>
    <i>
      <x v="10"/>
    </i>
    <i>
      <x v="12"/>
    </i>
    <i>
      <x v="15"/>
    </i>
    <i>
      <x v="16"/>
    </i>
    <i>
      <x v="17"/>
    </i>
    <i>
      <x v="18"/>
    </i>
    <i>
      <x v="20"/>
    </i>
    <i>
      <x v="21"/>
    </i>
    <i>
      <x v="25"/>
    </i>
    <i>
      <x v="29"/>
    </i>
    <i>
      <x v="31"/>
    </i>
    <i>
      <x v="32"/>
    </i>
    <i>
      <x v="33"/>
    </i>
    <i>
      <x v="35"/>
    </i>
    <i>
      <x v="36"/>
    </i>
    <i>
      <x v="37"/>
    </i>
    <i>
      <x v="38"/>
    </i>
    <i t="grand">
      <x/>
    </i>
  </rowItems>
  <colFields count="1">
    <field x="12"/>
  </colFields>
  <colItems count="5">
    <i>
      <x v="1"/>
    </i>
    <i>
      <x v="2"/>
    </i>
    <i>
      <x v="4"/>
    </i>
    <i>
      <x v="5"/>
    </i>
    <i t="grand">
      <x/>
    </i>
  </colItems>
  <pageFields count="1">
    <pageField fld="21" hier="-1"/>
  </pageFields>
  <dataFields count="1">
    <dataField name="Count of total_points" fld="14" subtotal="count" baseField="5" baseItem="0"/>
  </dataFields>
  <chartFormats count="5">
    <chartFormat chart="0" format="0" series="1">
      <pivotArea type="data" outline="0" fieldPosition="0">
        <references count="2">
          <reference field="4294967294" count="1" selected="0">
            <x v="0"/>
          </reference>
          <reference field="12" count="1" selected="0">
            <x v="1"/>
          </reference>
        </references>
      </pivotArea>
    </chartFormat>
    <chartFormat chart="0" format="1" series="1">
      <pivotArea type="data" outline="0" fieldPosition="0">
        <references count="2">
          <reference field="4294967294" count="1" selected="0">
            <x v="0"/>
          </reference>
          <reference field="12" count="1" selected="0">
            <x v="2"/>
          </reference>
        </references>
      </pivotArea>
    </chartFormat>
    <chartFormat chart="0" format="2" series="1">
      <pivotArea type="data" outline="0" fieldPosition="0">
        <references count="2">
          <reference field="4294967294" count="1" selected="0">
            <x v="0"/>
          </reference>
          <reference field="12" count="1" selected="0">
            <x v="4"/>
          </reference>
        </references>
      </pivotArea>
    </chartFormat>
    <chartFormat chart="0" format="3" series="1">
      <pivotArea type="data" outline="0" fieldPosition="0">
        <references count="2">
          <reference field="4294967294" count="1" selected="0">
            <x v="0"/>
          </reference>
          <reference field="12" count="1" selected="0">
            <x v="5"/>
          </reference>
        </references>
      </pivotArea>
    </chartFormat>
    <chartFormat chart="0" format="4" series="1">
      <pivotArea type="data" outline="0" fieldPosition="0">
        <references count="2">
          <reference field="4294967294" count="1" selected="0">
            <x v="0"/>
          </reference>
          <reference field="12" count="1" selected="0">
            <x v="6"/>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Format of publication for 22 indicators graduated by format" hideValuesRow="1"/>
    </ext>
  </extLst>
</pivotTableDefinition>
</file>

<file path=xl/pivotTables/pivotTable5.xml><?xml version="1.0" encoding="utf-8"?>
<pivotTableDefinition xmlns="http://schemas.openxmlformats.org/spreadsheetml/2006/main" name="PivotTable5" cacheId="3" applyNumberFormats="0" applyBorderFormats="0" applyFontFormats="0" applyPatternFormats="0" applyAlignmentFormats="0" applyWidthHeightFormats="1" dataCaption="Values" updatedVersion="5" minRefreshableVersion="3" useAutoFormatting="1" colGrandTotals="0" itemPrintTitles="1" createdVersion="5" indent="0" outline="1" outlineData="1" multipleFieldFilters="0" chartFormat="9">
  <location ref="A5:E71" firstHeaderRow="1" firstDataRow="2" firstDataCol="1" rowPageCount="1" colPageCount="1"/>
  <pivotFields count="27">
    <pivotField showAll="0"/>
    <pivotField axis="axisRow" showAll="0" sortType="ascending">
      <items count="71">
        <item x="31"/>
        <item x="19"/>
        <item x="66"/>
        <item x="0"/>
        <item x="43"/>
        <item x="23"/>
        <item x="41"/>
        <item x="33"/>
        <item x="62"/>
        <item x="1"/>
        <item x="44"/>
        <item x="2"/>
        <item x="36"/>
        <item x="3"/>
        <item x="53"/>
        <item x="20"/>
        <item x="57"/>
        <item x="50"/>
        <item x="4"/>
        <item x="5"/>
        <item x="42"/>
        <item x="48"/>
        <item m="1" x="68"/>
        <item x="67"/>
        <item x="6"/>
        <item x="58"/>
        <item x="18"/>
        <item x="63"/>
        <item x="46"/>
        <item x="27"/>
        <item m="1" x="69"/>
        <item x="65"/>
        <item x="7"/>
        <item x="8"/>
        <item x="17"/>
        <item x="9"/>
        <item x="32"/>
        <item x="52"/>
        <item x="29"/>
        <item x="10"/>
        <item x="11"/>
        <item x="12"/>
        <item x="45"/>
        <item x="40"/>
        <item x="51"/>
        <item x="39"/>
        <item x="34"/>
        <item x="38"/>
        <item x="35"/>
        <item x="13"/>
        <item x="14"/>
        <item x="15"/>
        <item x="16"/>
        <item x="22"/>
        <item x="21"/>
        <item x="24"/>
        <item x="26"/>
        <item x="25"/>
        <item x="59"/>
        <item x="54"/>
        <item x="61"/>
        <item x="28"/>
        <item x="64"/>
        <item x="30"/>
        <item x="49"/>
        <item x="37"/>
        <item x="55"/>
        <item x="47"/>
        <item x="60"/>
        <item x="56"/>
        <item t="default"/>
      </items>
    </pivotField>
    <pivotField showAll="0"/>
    <pivotField showAll="0"/>
    <pivotField showAll="0"/>
    <pivotField showAll="0">
      <items count="40">
        <item h="1" x="37"/>
        <item x="0"/>
        <item x="8"/>
        <item h="1" x="33"/>
        <item h="1" x="32"/>
        <item h="1" x="28"/>
        <item x="16"/>
        <item h="1" x="22"/>
        <item x="18"/>
        <item x="9"/>
        <item x="17"/>
        <item h="1" x="19"/>
        <item x="1"/>
        <item h="1" x="23"/>
        <item h="1" x="35"/>
        <item x="2"/>
        <item x="3"/>
        <item x="30"/>
        <item x="15"/>
        <item h="1" x="24"/>
        <item x="10"/>
        <item x="11"/>
        <item h="1" x="36"/>
        <item h="1" x="20"/>
        <item h="1" x="38"/>
        <item x="4"/>
        <item h="1" x="25"/>
        <item h="1" x="26"/>
        <item h="1" x="31"/>
        <item x="5"/>
        <item h="1" x="34"/>
        <item x="21"/>
        <item x="12"/>
        <item x="13"/>
        <item h="1" x="27"/>
        <item x="14"/>
        <item x="6"/>
        <item x="29"/>
        <item x="7"/>
        <item t="default"/>
      </items>
    </pivotField>
    <pivotField showAll="0"/>
    <pivotField showAll="0"/>
    <pivotField showAll="0"/>
    <pivotField showAll="0"/>
    <pivotField showAll="0"/>
    <pivotField showAll="0"/>
    <pivotField axis="axisCol" showAll="0">
      <items count="8">
        <item x="2"/>
        <item x="6"/>
        <item x="4"/>
        <item h="1" x="5"/>
        <item x="1"/>
        <item x="3"/>
        <item h="1" x="0"/>
        <item t="default"/>
      </items>
    </pivotField>
    <pivotField showAll="0"/>
    <pivotField dataField="1" showAll="0">
      <items count="721">
        <item h="1" x="0"/>
        <item x="10"/>
        <item x="8"/>
        <item x="3"/>
        <item x="310"/>
        <item x="4"/>
        <item x="9"/>
        <item x="164"/>
        <item x="179"/>
        <item x="101"/>
        <item x="95"/>
        <item x="165"/>
        <item h="1" m="1" x="601"/>
        <item x="1"/>
        <item x="166"/>
        <item x="245"/>
        <item x="298"/>
        <item x="7"/>
        <item x="2"/>
        <item h="1" m="1" x="334"/>
        <item h="1" m="1" x="459"/>
        <item h="1" m="1" x="444"/>
        <item h="1" m="1" x="676"/>
        <item x="54"/>
        <item h="1" m="1" x="369"/>
        <item h="1" m="1" x="641"/>
        <item h="1" m="1" x="713"/>
        <item x="59"/>
        <item h="1" m="1" x="705"/>
        <item x="99"/>
        <item h="1" m="1" x="591"/>
        <item x="184"/>
        <item h="1" m="1" x="389"/>
        <item h="1" m="1" x="508"/>
        <item x="309"/>
        <item h="1" m="1" x="361"/>
        <item x="153"/>
        <item h="1" m="1" x="704"/>
        <item x="72"/>
        <item h="1" m="1" x="347"/>
        <item h="1" m="1" x="533"/>
        <item h="1" m="1" x="390"/>
        <item h="1" m="1" x="690"/>
        <item h="1" m="1" x="706"/>
        <item h="1" m="1" x="338"/>
        <item h="1" m="1" x="358"/>
        <item x="66"/>
        <item h="1" m="1" x="476"/>
        <item x="154"/>
        <item h="1" m="1" x="694"/>
        <item x="67"/>
        <item x="88"/>
        <item h="1" m="1" x="703"/>
        <item h="1" m="1" x="517"/>
        <item x="308"/>
        <item h="1" m="1" x="600"/>
        <item h="1" m="1" x="374"/>
        <item x="129"/>
        <item h="1" m="1" x="697"/>
        <item h="1" m="1" x="350"/>
        <item h="1" m="1" x="514"/>
        <item h="1" m="1" x="375"/>
        <item h="1" m="1" x="477"/>
        <item x="185"/>
        <item h="1" m="1" x="364"/>
        <item h="1" m="1" x="522"/>
        <item x="100"/>
        <item h="1" m="1" x="569"/>
        <item h="1" m="1" x="519"/>
        <item x="69"/>
        <item h="1" m="1" x="534"/>
        <item h="1" m="1" x="695"/>
        <item h="1" m="1" x="447"/>
        <item h="1" m="1" x="311"/>
        <item x="124"/>
        <item h="1" m="1" x="352"/>
        <item x="279"/>
        <item h="1" m="1" x="589"/>
        <item x="68"/>
        <item h="1" m="1" x="366"/>
        <item x="78"/>
        <item h="1" m="1" x="518"/>
        <item x="70"/>
        <item h="1" m="1" x="610"/>
        <item x="126"/>
        <item h="1" m="1" x="660"/>
        <item h="1" m="1" x="349"/>
        <item h="1" m="1" x="684"/>
        <item x="227"/>
        <item h="1" m="1" x="525"/>
        <item h="1" m="1" x="666"/>
        <item h="1" m="1" x="692"/>
        <item h="1" m="1" x="592"/>
        <item h="1" m="1" x="436"/>
        <item x="143"/>
        <item h="1" m="1" x="466"/>
        <item x="49"/>
        <item h="1" m="1" x="359"/>
        <item h="1" m="1" x="401"/>
        <item x="128"/>
        <item x="127"/>
        <item h="1" m="1" x="661"/>
        <item h="1" m="1" x="583"/>
        <item h="1" m="1" x="333"/>
        <item h="1" m="1" x="469"/>
        <item h="1" m="1" x="406"/>
        <item x="125"/>
        <item h="1" m="1" x="644"/>
        <item x="71"/>
        <item h="1" m="1" x="544"/>
        <item x="146"/>
        <item h="1" m="1" x="357"/>
        <item h="1" m="1" x="351"/>
        <item x="281"/>
        <item x="171"/>
        <item x="305"/>
        <item x="259"/>
        <item h="1" m="1" x="509"/>
        <item h="1" m="1" x="659"/>
        <item x="299"/>
        <item h="1" m="1" x="353"/>
        <item h="1" m="1" x="561"/>
        <item h="1" m="1" x="502"/>
        <item h="1" m="1" x="597"/>
        <item h="1" m="1" x="617"/>
        <item x="268"/>
        <item x="224"/>
        <item x="277"/>
        <item h="1" m="1" x="717"/>
        <item h="1" m="1" x="474"/>
        <item h="1" m="1" x="344"/>
        <item x="80"/>
        <item h="1" m="1" x="470"/>
        <item x="92"/>
        <item h="1" m="1" x="410"/>
        <item x="50"/>
        <item h="1" m="1" x="556"/>
        <item x="161"/>
        <item x="133"/>
        <item x="82"/>
        <item h="1" m="1" x="456"/>
        <item x="242"/>
        <item x="244"/>
        <item x="23"/>
        <item x="162"/>
        <item h="1" m="1" x="323"/>
        <item h="1" m="1" x="495"/>
        <item x="81"/>
        <item h="1" m="1" x="590"/>
        <item x="107"/>
        <item x="25"/>
        <item h="1" m="1" x="329"/>
        <item x="115"/>
        <item h="1" m="1" x="383"/>
        <item h="1" m="1" x="540"/>
        <item x="62"/>
        <item h="1" m="1" x="542"/>
        <item h="1" m="1" x="337"/>
        <item h="1" m="1" x="546"/>
        <item h="1" m="1" x="587"/>
        <item x="147"/>
        <item x="221"/>
        <item h="1" m="1" x="554"/>
        <item x="167"/>
        <item h="1" m="1" x="652"/>
        <item h="1" m="1" x="438"/>
        <item h="1" m="1" x="679"/>
        <item x="64"/>
        <item h="1" m="1" x="529"/>
        <item x="108"/>
        <item x="218"/>
        <item x="160"/>
        <item x="6"/>
        <item x="41"/>
        <item x="131"/>
        <item h="1" m="1" x="409"/>
        <item x="155"/>
        <item x="135"/>
        <item x="136"/>
        <item x="198"/>
        <item x="134"/>
        <item h="1" m="1" x="588"/>
        <item x="209"/>
        <item x="253"/>
        <item h="1" m="1" x="422"/>
        <item h="1" m="1" x="511"/>
        <item x="275"/>
        <item x="37"/>
        <item x="48"/>
        <item h="1" m="1" x="687"/>
        <item h="1" m="1" x="487"/>
        <item x="208"/>
        <item h="1" m="1" x="472"/>
        <item h="1" m="1" x="392"/>
        <item h="1" m="1" x="377"/>
        <item h="1" m="1" x="336"/>
        <item x="137"/>
        <item x="189"/>
        <item x="19"/>
        <item h="1" m="1" x="621"/>
        <item x="47"/>
        <item h="1" m="1" x="716"/>
        <item h="1" m="1" x="483"/>
        <item h="1" m="1" x="481"/>
        <item x="292"/>
        <item h="1" m="1" x="683"/>
        <item h="1" m="1" x="599"/>
        <item h="1" m="1" x="387"/>
        <item x="255"/>
        <item x="145"/>
        <item h="1" m="1" x="606"/>
        <item x="89"/>
        <item h="1" m="1" x="566"/>
        <item h="1" m="1" x="605"/>
        <item h="1" m="1" x="492"/>
        <item x="36"/>
        <item h="1" m="1" x="452"/>
        <item x="14"/>
        <item h="1" m="1" x="343"/>
        <item h="1" m="1" x="609"/>
        <item h="1" m="1" x="423"/>
        <item x="28"/>
        <item h="1" m="1" x="321"/>
        <item x="243"/>
        <item h="1" m="1" x="342"/>
        <item h="1" m="1" x="427"/>
        <item h="1" m="1" x="332"/>
        <item x="26"/>
        <item h="1" m="1" x="507"/>
        <item h="1" m="1" x="318"/>
        <item h="1" m="1" x="613"/>
        <item x="240"/>
        <item x="239"/>
        <item h="1" m="1" x="718"/>
        <item x="122"/>
        <item h="1" m="1" x="680"/>
        <item h="1" m="1" x="653"/>
        <item x="241"/>
        <item x="132"/>
        <item h="1" m="1" x="701"/>
        <item h="1" m="1" x="631"/>
        <item h="1" m="1" x="545"/>
        <item h="1" m="1" x="408"/>
        <item x="30"/>
        <item x="159"/>
        <item h="1" m="1" x="439"/>
        <item x="175"/>
        <item x="96"/>
        <item x="152"/>
        <item x="181"/>
        <item h="1" m="1" x="665"/>
        <item x="278"/>
        <item h="1" m="1" x="506"/>
        <item x="307"/>
        <item h="1" m="1" x="516"/>
        <item h="1" m="1" x="496"/>
        <item x="238"/>
        <item h="1" m="1" x="657"/>
        <item x="65"/>
        <item h="1" m="1" x="719"/>
        <item h="1" m="1" x="629"/>
        <item h="1" m="1" x="572"/>
        <item x="151"/>
        <item h="1" m="1" x="638"/>
        <item x="103"/>
        <item h="1" m="1" x="365"/>
        <item x="85"/>
        <item h="1" m="1" x="464"/>
        <item h="1" m="1" x="355"/>
        <item x="226"/>
        <item x="220"/>
        <item h="1" m="1" x="567"/>
        <item x="201"/>
        <item h="1" m="1" x="658"/>
        <item x="276"/>
        <item x="144"/>
        <item h="1" m="1" x="650"/>
        <item h="1" m="1" x="497"/>
        <item h="1" m="1" x="391"/>
        <item h="1" m="1" x="396"/>
        <item h="1" m="1" x="442"/>
        <item h="1" m="1" x="530"/>
        <item h="1" m="1" x="340"/>
        <item h="1" m="1" x="345"/>
        <item x="150"/>
        <item x="112"/>
        <item x="251"/>
        <item x="222"/>
        <item x="63"/>
        <item h="1" m="1" x="643"/>
        <item h="1" m="1" x="535"/>
        <item h="1" m="1" x="558"/>
        <item h="1" m="1" x="455"/>
        <item h="1" m="1" x="515"/>
        <item h="1" m="1" x="709"/>
        <item x="223"/>
        <item h="1" m="1" x="651"/>
        <item h="1" m="1" x="316"/>
        <item h="1" m="1" x="314"/>
        <item x="91"/>
        <item h="1" m="1" x="445"/>
        <item x="83"/>
        <item x="274"/>
        <item x="117"/>
        <item h="1" m="1" x="467"/>
        <item h="1" m="1" x="553"/>
        <item h="1" m="1" x="491"/>
        <item x="230"/>
        <item x="46"/>
        <item x="300"/>
        <item h="1" m="1" x="642"/>
        <item x="114"/>
        <item h="1" m="1" x="440"/>
        <item h="1" m="1" x="393"/>
        <item h="1" m="1" x="615"/>
        <item h="1" m="1" x="699"/>
        <item x="192"/>
        <item h="1" m="1" x="431"/>
        <item h="1" m="1" x="354"/>
        <item h="1" m="1" x="618"/>
        <item x="123"/>
        <item h="1" m="1" x="584"/>
        <item h="1" m="1" x="498"/>
        <item x="22"/>
        <item x="270"/>
        <item x="211"/>
        <item x="34"/>
        <item x="199"/>
        <item x="210"/>
        <item h="1" m="1" x="402"/>
        <item h="1" m="1" x="689"/>
        <item x="237"/>
        <item h="1" m="1" x="633"/>
        <item h="1" m="1" x="557"/>
        <item x="205"/>
        <item h="1" m="1" x="313"/>
        <item x="258"/>
        <item x="116"/>
        <item h="1" m="1" x="563"/>
        <item h="1" m="1" x="446"/>
        <item h="1" m="1" x="536"/>
        <item x="282"/>
        <item h="1" m="1" x="326"/>
        <item h="1" m="1" x="465"/>
        <item h="1" m="1" x="531"/>
        <item h="1" m="1" x="595"/>
        <item h="1" m="1" x="381"/>
        <item x="280"/>
        <item x="254"/>
        <item x="97"/>
        <item h="1" m="1" x="404"/>
        <item h="1" m="1" x="400"/>
        <item x="260"/>
        <item x="293"/>
        <item x="142"/>
        <item x="35"/>
        <item h="1" m="1" x="673"/>
        <item h="1" m="1" x="623"/>
        <item x="111"/>
        <item h="1" m="1" x="575"/>
        <item h="1" m="1" x="688"/>
        <item h="1" m="1" x="424"/>
        <item h="1" m="1" x="693"/>
        <item h="1" m="1" x="682"/>
        <item h="1" m="1" x="417"/>
        <item h="1" m="1" x="696"/>
        <item x="219"/>
        <item x="252"/>
        <item h="1" m="1" x="504"/>
        <item h="1" m="1" x="547"/>
        <item h="1" m="1" x="394"/>
        <item h="1" m="1" x="363"/>
        <item h="1" m="1" x="669"/>
        <item h="1" m="1" x="339"/>
        <item x="273"/>
        <item x="16"/>
        <item h="1" m="1" x="421"/>
        <item x="94"/>
        <item h="1" m="1" x="454"/>
        <item x="98"/>
        <item h="1" m="1" x="628"/>
        <item h="1" m="1" x="672"/>
        <item x="202"/>
        <item x="44"/>
        <item x="40"/>
        <item x="79"/>
        <item x="303"/>
        <item x="168"/>
        <item h="1" m="1" x="710"/>
        <item h="1" m="1" x="482"/>
        <item x="269"/>
        <item x="247"/>
        <item h="1" m="1" x="319"/>
        <item h="1" m="1" x="451"/>
        <item h="1" m="1" x="664"/>
        <item x="283"/>
        <item h="1" m="1" x="551"/>
        <item h="1" m="1" x="663"/>
        <item h="1" m="1" x="712"/>
        <item x="90"/>
        <item h="1" m="1" x="407"/>
        <item x="291"/>
        <item x="207"/>
        <item x="180"/>
        <item h="1" m="1" x="585"/>
        <item h="1" m="1" x="490"/>
        <item x="11"/>
        <item h="1" m="1" x="630"/>
        <item x="109"/>
        <item x="206"/>
        <item x="262"/>
        <item h="1" m="1" x="640"/>
        <item x="225"/>
        <item h="1" m="1" x="388"/>
        <item h="1" m="1" x="670"/>
        <item h="1" m="1" x="356"/>
        <item h="1" m="1" x="691"/>
        <item x="149"/>
        <item h="1" m="1" x="681"/>
        <item x="186"/>
        <item h="1" m="1" x="577"/>
        <item h="1" m="1" x="441"/>
        <item h="1" m="1" x="708"/>
        <item x="27"/>
        <item h="1" m="1" x="448"/>
        <item x="176"/>
        <item h="1" m="1" x="458"/>
        <item x="52"/>
        <item x="182"/>
        <item h="1" m="1" x="624"/>
        <item x="196"/>
        <item x="195"/>
        <item h="1" m="1" x="324"/>
        <item x="140"/>
        <item h="1" m="1" x="415"/>
        <item x="197"/>
        <item h="1" m="1" x="437"/>
        <item h="1" m="1" x="607"/>
        <item x="190"/>
        <item h="1" m="1" x="700"/>
        <item h="1" m="1" x="360"/>
        <item h="1" m="1" x="386"/>
        <item x="257"/>
        <item h="1" m="1" x="317"/>
        <item x="21"/>
        <item h="1" m="1" x="647"/>
        <item x="118"/>
        <item x="148"/>
        <item x="39"/>
        <item x="232"/>
        <item h="1" m="1" x="499"/>
        <item x="178"/>
        <item x="266"/>
        <item h="1" m="1" x="656"/>
        <item x="24"/>
        <item h="1" m="1" x="473"/>
        <item x="53"/>
        <item x="256"/>
        <item x="15"/>
        <item x="130"/>
        <item h="1" m="1" x="560"/>
        <item h="1" m="1" x="500"/>
        <item h="1" m="1" x="371"/>
        <item x="306"/>
        <item h="1" m="1" x="632"/>
        <item x="188"/>
        <item h="1" m="1" x="341"/>
        <item h="1" m="1" x="418"/>
        <item h="1" m="1" x="552"/>
        <item h="1" m="1" x="397"/>
        <item x="42"/>
        <item h="1" m="1" x="548"/>
        <item x="18"/>
        <item h="1" m="1" x="368"/>
        <item h="1" m="1" x="327"/>
        <item h="1" m="1" x="510"/>
        <item h="1" m="1" x="594"/>
        <item x="183"/>
        <item x="121"/>
        <item x="249"/>
        <item x="304"/>
        <item h="1" m="1" x="413"/>
        <item h="1" m="1" x="626"/>
        <item x="187"/>
        <item h="1" m="1" x="488"/>
        <item h="1" m="1" x="379"/>
        <item h="1" m="1" x="620"/>
        <item h="1" m="1" x="678"/>
        <item h="1" m="1" x="619"/>
        <item h="1" m="1" x="714"/>
        <item h="1" m="1" x="715"/>
        <item h="1" m="1" x="485"/>
        <item x="141"/>
        <item h="1" m="1" x="505"/>
        <item x="119"/>
        <item h="1" m="1" x="428"/>
        <item h="1" m="1" x="645"/>
        <item x="193"/>
        <item x="203"/>
        <item x="43"/>
        <item x="301"/>
        <item h="1" m="1" x="443"/>
        <item x="139"/>
        <item x="194"/>
        <item x="110"/>
        <item h="1" m="1" x="373"/>
        <item x="120"/>
        <item x="200"/>
        <item h="1" m="1" x="538"/>
        <item h="1" m="1" x="513"/>
        <item x="13"/>
        <item x="138"/>
        <item x="295"/>
        <item x="163"/>
        <item x="297"/>
        <item x="191"/>
        <item x="38"/>
        <item h="1" m="1" x="478"/>
        <item h="1" m="1" x="435"/>
        <item h="1" m="1" x="330"/>
        <item h="1" m="1" x="523"/>
        <item x="248"/>
        <item x="45"/>
        <item x="204"/>
        <item x="177"/>
        <item h="1" m="1" x="579"/>
        <item h="1" m="1" x="475"/>
        <item h="1" m="1" x="405"/>
        <item h="1" m="1" x="549"/>
        <item x="20"/>
        <item h="1" m="1" x="616"/>
        <item x="17"/>
        <item h="1" m="1" x="463"/>
        <item h="1" m="1" x="503"/>
        <item h="1" m="1" x="550"/>
        <item h="1" m="1" x="602"/>
        <item h="1" m="1" x="662"/>
        <item h="1" m="1" x="528"/>
        <item x="302"/>
        <item x="294"/>
        <item h="1" m="1" x="426"/>
        <item x="33"/>
        <item h="1" m="1" x="598"/>
        <item h="1" m="1" x="674"/>
        <item x="296"/>
        <item h="1" m="1" x="419"/>
        <item h="1" m="1" x="346"/>
        <item h="1" m="1" x="668"/>
        <item x="250"/>
        <item h="1" m="1" x="376"/>
        <item x="113"/>
        <item x="84"/>
        <item h="1" m="1" x="648"/>
        <item h="1" m="1" x="586"/>
        <item h="1" m="1" x="655"/>
        <item x="12"/>
        <item h="1" m="1" x="460"/>
        <item h="1" m="1" x="320"/>
        <item x="231"/>
        <item h="1" m="1" x="312"/>
        <item x="93"/>
        <item h="1" m="1" x="331"/>
        <item h="1" m="1" x="646"/>
        <item x="61"/>
        <item x="156"/>
        <item x="246"/>
        <item x="213"/>
        <item h="1" m="1" x="562"/>
        <item h="1" m="1" x="521"/>
        <item h="1" m="1" x="348"/>
        <item h="1" m="1" x="526"/>
        <item h="1" m="1" x="385"/>
        <item h="1" m="1" x="322"/>
        <item x="77"/>
        <item x="272"/>
        <item x="216"/>
        <item h="1" m="1" x="702"/>
        <item x="236"/>
        <item h="1" m="1" x="416"/>
        <item h="1" m="1" x="608"/>
        <item x="229"/>
        <item h="1" m="1" x="457"/>
        <item x="73"/>
        <item x="31"/>
        <item x="233"/>
        <item x="74"/>
        <item h="1" m="1" x="698"/>
        <item h="1" m="1" x="570"/>
        <item x="288"/>
        <item x="106"/>
        <item h="1" m="1" x="380"/>
        <item h="1" m="1" x="468"/>
        <item h="1" m="1" x="471"/>
        <item h="1" m="1" x="430"/>
        <item x="157"/>
        <item h="1" m="1" x="555"/>
        <item x="235"/>
        <item x="284"/>
        <item h="1" m="1" x="571"/>
        <item h="1" m="1" x="582"/>
        <item h="1" m="1" x="593"/>
        <item x="289"/>
        <item h="1" m="1" x="649"/>
        <item h="1" m="1" x="433"/>
        <item h="1" m="1" x="411"/>
        <item x="32"/>
        <item x="60"/>
        <item x="290"/>
        <item h="1" m="1" x="493"/>
        <item h="1" m="1" x="654"/>
        <item h="1" m="1" x="494"/>
        <item h="1" m="1" x="429"/>
        <item x="271"/>
        <item h="1" m="1" x="524"/>
        <item h="1" m="1" x="539"/>
        <item h="1" m="1" x="335"/>
        <item x="75"/>
        <item h="1" m="1" x="449"/>
        <item h="1" m="1" x="412"/>
        <item x="105"/>
        <item x="169"/>
        <item h="1" m="1" x="384"/>
        <item h="1" m="1" x="398"/>
        <item h="1" m="1" x="541"/>
        <item h="1" m="1" x="573"/>
        <item h="1" m="1" x="625"/>
        <item h="1" m="1" x="596"/>
        <item h="1" m="1" x="543"/>
        <item h="1" m="1" x="527"/>
        <item x="173"/>
        <item x="212"/>
        <item h="1" m="1" x="576"/>
        <item x="287"/>
        <item h="1" m="1" x="627"/>
        <item h="1" m="1" x="461"/>
        <item x="29"/>
        <item h="1" m="1" x="399"/>
        <item h="1" m="1" x="489"/>
        <item h="1" m="1" x="501"/>
        <item x="172"/>
        <item h="1" m="1" x="480"/>
        <item h="1" m="1" x="328"/>
        <item h="1" m="1" x="671"/>
        <item h="1" m="1" x="520"/>
        <item x="234"/>
        <item h="1" m="1" x="434"/>
        <item x="261"/>
        <item h="1" m="1" x="382"/>
        <item h="1" m="1" x="462"/>
        <item h="1" m="1" x="614"/>
        <item x="215"/>
        <item h="1" m="1" x="578"/>
        <item h="1" m="1" x="367"/>
        <item x="214"/>
        <item x="228"/>
        <item h="1" m="1" x="564"/>
        <item h="1" m="1" x="604"/>
        <item h="1" m="1" x="675"/>
        <item h="1" m="1" x="370"/>
        <item h="1" m="1" x="568"/>
        <item x="104"/>
        <item h="1" m="1" x="420"/>
        <item h="1" m="1" x="425"/>
        <item x="86"/>
        <item x="174"/>
        <item x="285"/>
        <item h="1" m="1" x="622"/>
        <item x="267"/>
        <item h="1" m="1" x="362"/>
        <item x="158"/>
        <item h="1" m="1" x="612"/>
        <item h="1" m="1" x="403"/>
        <item h="1" m="1" x="686"/>
        <item h="1" m="1" x="611"/>
        <item x="265"/>
        <item h="1" m="1" x="603"/>
        <item h="1" m="1" x="565"/>
        <item x="286"/>
        <item x="102"/>
        <item h="1" m="1" x="325"/>
        <item x="264"/>
        <item h="1" m="1" x="580"/>
        <item h="1" m="1" x="479"/>
        <item h="1" m="1" x="532"/>
        <item h="1" m="1" x="432"/>
        <item x="76"/>
        <item x="51"/>
        <item h="1" m="1" x="537"/>
        <item h="1" m="1" x="512"/>
        <item h="1" m="1" x="581"/>
        <item h="1" m="1" x="484"/>
        <item h="1" m="1" x="453"/>
        <item h="1" m="1" x="677"/>
        <item x="58"/>
        <item h="1" m="1" x="395"/>
        <item h="1" m="1" x="414"/>
        <item h="1" m="1" x="711"/>
        <item x="87"/>
        <item h="1" m="1" x="378"/>
        <item h="1" m="1" x="635"/>
        <item h="1" m="1" x="634"/>
        <item h="1" m="1" x="685"/>
        <item h="1" m="1" x="636"/>
        <item h="1" m="1" x="639"/>
        <item h="1" m="1" x="450"/>
        <item x="170"/>
        <item h="1" m="1" x="707"/>
        <item h="1" m="1" x="559"/>
        <item x="55"/>
        <item h="1" m="1" x="372"/>
        <item x="217"/>
        <item x="263"/>
        <item x="57"/>
        <item h="1" m="1" x="315"/>
        <item h="1" m="1" x="574"/>
        <item x="56"/>
        <item h="1" m="1" x="667"/>
        <item h="1" m="1" x="486"/>
        <item h="1" m="1" x="637"/>
        <item x="5"/>
        <item t="default"/>
      </items>
    </pivotField>
    <pivotField showAll="0"/>
    <pivotField showAll="0"/>
    <pivotField showAll="0"/>
    <pivotField showAll="0"/>
    <pivotField showAll="0"/>
    <pivotField showAll="0"/>
    <pivotField axis="axisPage" multipleItemSelectionAllowed="1" showAll="0">
      <items count="5">
        <item x="1"/>
        <item h="1" x="0"/>
        <item h="1" x="2"/>
        <item x="3"/>
        <item t="default"/>
      </items>
    </pivotField>
    <pivotField showAll="0"/>
    <pivotField showAll="0"/>
    <pivotField showAll="0"/>
    <pivotField showAll="0"/>
    <pivotField showAll="0"/>
  </pivotFields>
  <rowFields count="1">
    <field x="1"/>
  </rowFields>
  <rowItems count="65">
    <i>
      <x/>
    </i>
    <i>
      <x v="1"/>
    </i>
    <i>
      <x v="2"/>
    </i>
    <i>
      <x v="3"/>
    </i>
    <i>
      <x v="4"/>
    </i>
    <i>
      <x v="5"/>
    </i>
    <i>
      <x v="7"/>
    </i>
    <i>
      <x v="9"/>
    </i>
    <i>
      <x v="10"/>
    </i>
    <i>
      <x v="11"/>
    </i>
    <i>
      <x v="12"/>
    </i>
    <i>
      <x v="13"/>
    </i>
    <i>
      <x v="14"/>
    </i>
    <i>
      <x v="15"/>
    </i>
    <i>
      <x v="16"/>
    </i>
    <i>
      <x v="17"/>
    </i>
    <i>
      <x v="18"/>
    </i>
    <i>
      <x v="19"/>
    </i>
    <i>
      <x v="20"/>
    </i>
    <i>
      <x v="21"/>
    </i>
    <i>
      <x v="23"/>
    </i>
    <i>
      <x v="24"/>
    </i>
    <i>
      <x v="25"/>
    </i>
    <i>
      <x v="26"/>
    </i>
    <i>
      <x v="27"/>
    </i>
    <i>
      <x v="28"/>
    </i>
    <i>
      <x v="29"/>
    </i>
    <i>
      <x v="31"/>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t="grand">
      <x/>
    </i>
  </rowItems>
  <colFields count="1">
    <field x="12"/>
  </colFields>
  <colItems count="4">
    <i>
      <x v="1"/>
    </i>
    <i>
      <x v="2"/>
    </i>
    <i>
      <x v="4"/>
    </i>
    <i>
      <x v="5"/>
    </i>
  </colItems>
  <pageFields count="1">
    <pageField fld="21" hier="-1"/>
  </pageFields>
  <dataFields count="1">
    <dataField name="Count of total_points" fld="14" subtotal="count" baseField="1" baseItem="0"/>
  </dataFields>
  <formats count="6">
    <format dxfId="275">
      <pivotArea type="all" dataOnly="0" outline="0" fieldPosition="0"/>
    </format>
    <format dxfId="274">
      <pivotArea outline="0" collapsedLevelsAreSubtotals="1" fieldPosition="0"/>
    </format>
    <format dxfId="273">
      <pivotArea dataOnly="0" labelOnly="1" fieldPosition="0">
        <references count="1">
          <reference field="1" count="50">
            <x v="0"/>
            <x v="1"/>
            <x v="2"/>
            <x v="4"/>
            <x v="5"/>
            <x v="7"/>
            <x v="9"/>
            <x v="10"/>
            <x v="12"/>
            <x v="14"/>
            <x v="15"/>
            <x v="16"/>
            <x v="17"/>
            <x v="18"/>
            <x v="19"/>
            <x v="20"/>
            <x v="22"/>
            <x v="25"/>
            <x v="26"/>
            <x v="28"/>
            <x v="29"/>
            <x v="30"/>
            <x v="31"/>
            <x v="33"/>
            <x v="34"/>
            <x v="36"/>
            <x v="38"/>
            <x v="41"/>
            <x v="42"/>
            <x v="43"/>
            <x v="44"/>
            <x v="45"/>
            <x v="46"/>
            <x v="51"/>
            <x v="52"/>
            <x v="53"/>
            <x v="54"/>
            <x v="55"/>
            <x v="56"/>
            <x v="57"/>
            <x v="58"/>
            <x v="59"/>
            <x v="60"/>
            <x v="61"/>
            <x v="62"/>
            <x v="63"/>
            <x v="65"/>
            <x v="66"/>
            <x v="67"/>
            <x v="68"/>
          </reference>
        </references>
      </pivotArea>
    </format>
    <format dxfId="272">
      <pivotArea dataOnly="0" labelOnly="1" fieldPosition="0">
        <references count="1">
          <reference field="1" count="15">
            <x v="3"/>
            <x v="11"/>
            <x v="13"/>
            <x v="21"/>
            <x v="24"/>
            <x v="35"/>
            <x v="37"/>
            <x v="39"/>
            <x v="40"/>
            <x v="47"/>
            <x v="48"/>
            <x v="49"/>
            <x v="50"/>
            <x v="64"/>
            <x v="69"/>
          </reference>
        </references>
      </pivotArea>
    </format>
    <format dxfId="271">
      <pivotArea dataOnly="0" labelOnly="1" grandRow="1" outline="0" fieldPosition="0"/>
    </format>
    <format dxfId="270">
      <pivotArea dataOnly="0" labelOnly="1" fieldPosition="0">
        <references count="1">
          <reference field="12" count="4">
            <x v="1"/>
            <x v="2"/>
            <x v="4"/>
            <x v="5"/>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6.xml><?xml version="1.0" encoding="utf-8"?>
<pivotTableDefinition xmlns="http://schemas.openxmlformats.org/spreadsheetml/2006/main" name="PivotTable11" cacheId="3"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location ref="A5:D74" firstHeaderRow="1" firstDataRow="2" firstDataCol="1" rowPageCount="1" colPageCount="1"/>
  <pivotFields count="27">
    <pivotField showAll="0"/>
    <pivotField axis="axisRow" showAll="0" sortType="descending">
      <items count="71">
        <item x="31"/>
        <item x="19"/>
        <item x="66"/>
        <item x="0"/>
        <item x="43"/>
        <item x="23"/>
        <item x="41"/>
        <item x="33"/>
        <item x="62"/>
        <item x="1"/>
        <item x="44"/>
        <item x="2"/>
        <item x="36"/>
        <item x="3"/>
        <item x="53"/>
        <item x="20"/>
        <item x="57"/>
        <item x="50"/>
        <item x="4"/>
        <item x="5"/>
        <item x="42"/>
        <item x="48"/>
        <item m="1" x="68"/>
        <item x="6"/>
        <item x="58"/>
        <item x="18"/>
        <item x="46"/>
        <item x="27"/>
        <item m="1" x="69"/>
        <item x="65"/>
        <item x="7"/>
        <item x="8"/>
        <item x="17"/>
        <item x="9"/>
        <item x="32"/>
        <item x="52"/>
        <item x="29"/>
        <item x="10"/>
        <item x="11"/>
        <item x="12"/>
        <item x="45"/>
        <item x="40"/>
        <item x="51"/>
        <item x="39"/>
        <item x="34"/>
        <item x="38"/>
        <item x="35"/>
        <item x="13"/>
        <item x="14"/>
        <item x="15"/>
        <item x="16"/>
        <item x="22"/>
        <item x="21"/>
        <item x="24"/>
        <item x="26"/>
        <item x="25"/>
        <item x="59"/>
        <item x="54"/>
        <item x="61"/>
        <item x="28"/>
        <item x="64"/>
        <item x="30"/>
        <item x="49"/>
        <item x="37"/>
        <item x="55"/>
        <item x="47"/>
        <item x="60"/>
        <item x="56"/>
        <item x="63"/>
        <item x="67"/>
        <item t="default"/>
      </items>
      <autoSortScope>
        <pivotArea dataOnly="0" outline="0" fieldPosition="0">
          <references count="1">
            <reference field="4294967294" count="1" selected="0">
              <x v="0"/>
            </reference>
          </references>
        </pivotArea>
      </autoSortScope>
    </pivotField>
    <pivotField showAll="0"/>
    <pivotField axis="axisPage" multipleItemSelectionAllowed="1" showAll="0">
      <items count="720">
        <item h="1" x="0"/>
        <item x="17"/>
        <item x="24"/>
        <item x="18"/>
        <item x="13"/>
        <item x="355"/>
        <item x="5"/>
        <item x="19"/>
        <item x="1"/>
        <item x="8"/>
        <item x="9"/>
        <item x="23"/>
        <item x="21"/>
        <item x="223"/>
        <item x="11"/>
        <item m="1" x="465"/>
        <item m="1" x="710"/>
        <item x="189"/>
        <item x="207"/>
        <item x="12"/>
        <item m="1" x="709"/>
        <item x="140"/>
        <item m="1" x="372"/>
        <item m="1" x="439"/>
        <item m="1" x="567"/>
        <item x="146"/>
        <item x="133"/>
        <item x="214"/>
        <item x="190"/>
        <item x="208"/>
        <item x="147"/>
        <item x="2"/>
        <item x="3"/>
        <item m="1" x="571"/>
        <item m="1" x="715"/>
        <item x="172"/>
        <item m="1" x="659"/>
        <item m="1" x="716"/>
        <item m="1" x="473"/>
        <item m="1" x="547"/>
        <item m="1" x="429"/>
        <item x="7"/>
        <item x="177"/>
        <item x="197"/>
        <item m="1" x="417"/>
        <item m="1" x="696"/>
        <item m="1" x="471"/>
        <item x="209"/>
        <item m="1" x="452"/>
        <item m="1" x="618"/>
        <item m="1" x="484"/>
        <item m="1" x="413"/>
        <item x="188"/>
        <item m="1" x="455"/>
        <item m="1" x="416"/>
        <item m="1" x="499"/>
        <item x="28"/>
        <item m="1" x="630"/>
        <item m="1" x="616"/>
        <item x="285"/>
        <item x="284"/>
        <item x="290"/>
        <item m="1" x="486"/>
        <item x="130"/>
        <item m="1" x="589"/>
        <item m="1" x="453"/>
        <item m="1" x="379"/>
        <item x="134"/>
        <item x="174"/>
        <item x="225"/>
        <item x="6"/>
        <item m="1" x="411"/>
        <item x="343"/>
        <item m="1" x="694"/>
        <item m="1" x="610"/>
        <item x="77"/>
        <item m="1" x="686"/>
        <item x="139"/>
        <item x="187"/>
        <item x="76"/>
        <item x="16"/>
        <item m="1" x="517"/>
        <item m="1" x="524"/>
        <item x="57"/>
        <item m="1" x="551"/>
        <item m="1" x="489"/>
        <item m="1" x="566"/>
        <item m="1" x="645"/>
        <item x="118"/>
        <item m="1" x="640"/>
        <item x="131"/>
        <item m="1" x="608"/>
        <item x="22"/>
        <item x="135"/>
        <item m="1" x="658"/>
        <item m="1" x="697"/>
        <item x="136"/>
        <item x="72"/>
        <item x="211"/>
        <item m="1" x="718"/>
        <item m="1" x="437"/>
        <item m="1" x="650"/>
        <item m="1" x="570"/>
        <item x="193"/>
        <item m="1" x="627"/>
        <item m="1" x="461"/>
        <item m="1" x="507"/>
        <item m="1" x="552"/>
        <item m="1" x="623"/>
        <item x="220"/>
        <item m="1" x="519"/>
        <item x="226"/>
        <item m="1" x="394"/>
        <item m="1" x="528"/>
        <item m="1" x="704"/>
        <item x="191"/>
        <item x="70"/>
        <item m="1" x="440"/>
        <item m="1" x="464"/>
        <item m="1" x="527"/>
        <item x="227"/>
        <item m="1" x="667"/>
        <item m="1" x="617"/>
        <item m="1" x="577"/>
        <item m="1" x="675"/>
        <item m="1" x="478"/>
        <item m="1" x="539"/>
        <item x="71"/>
        <item x="182"/>
        <item m="1" x="454"/>
        <item m="1" x="717"/>
        <item x="181"/>
        <item m="1" x="653"/>
        <item x="73"/>
        <item x="221"/>
        <item m="1" x="500"/>
        <item m="1" x="636"/>
        <item m="1" x="427"/>
        <item m="1" x="438"/>
        <item m="1" x="609"/>
        <item m="1" x="599"/>
        <item m="1" x="641"/>
        <item m="1" x="703"/>
        <item m="1" x="515"/>
        <item x="26"/>
        <item m="1" x="521"/>
        <item x="113"/>
        <item m="1" x="433"/>
        <item m="1" x="671"/>
        <item x="74"/>
        <item m="1" x="369"/>
        <item m="1" x="509"/>
        <item m="1" x="374"/>
        <item m="1" x="373"/>
        <item m="1" x="629"/>
        <item m="1" x="482"/>
        <item x="212"/>
        <item m="1" x="583"/>
        <item m="1" x="578"/>
        <item m="1" x="545"/>
        <item m="1" x="553"/>
        <item m="1" x="387"/>
        <item m="1" x="684"/>
        <item m="1" x="592"/>
        <item x="14"/>
        <item m="1" x="385"/>
        <item m="1" x="662"/>
        <item m="1" x="591"/>
        <item m="1" x="420"/>
        <item m="1" x="457"/>
        <item m="1" x="415"/>
        <item m="1" x="546"/>
        <item m="1" x="638"/>
        <item m="1" x="648"/>
        <item m="1" x="611"/>
        <item x="46"/>
        <item x="119"/>
        <item m="1" x="378"/>
        <item x="137"/>
        <item x="75"/>
        <item x="254"/>
        <item m="1" x="612"/>
        <item m="1" x="683"/>
        <item m="1" x="460"/>
        <item x="192"/>
        <item m="1" x="505"/>
        <item m="1" x="492"/>
        <item m="1" x="472"/>
        <item x="183"/>
        <item m="1" x="370"/>
        <item x="222"/>
        <item m="1" x="656"/>
        <item m="1" x="512"/>
        <item m="1" x="698"/>
        <item m="1" x="488"/>
        <item x="228"/>
        <item x="79"/>
        <item x="180"/>
        <item x="184"/>
        <item m="1" x="554"/>
        <item m="1" x="631"/>
        <item m="1" x="525"/>
        <item m="1" x="614"/>
        <item x="29"/>
        <item m="1" x="495"/>
        <item m="1" x="633"/>
        <item m="1" x="447"/>
        <item x="186"/>
        <item m="1" x="474"/>
        <item m="1" x="365"/>
        <item m="1" x="407"/>
        <item x="215"/>
        <item m="1" x="644"/>
        <item m="1" x="541"/>
        <item m="1" x="380"/>
        <item x="213"/>
        <item m="1" x="400"/>
        <item m="1" x="593"/>
        <item x="47"/>
        <item m="1" x="538"/>
        <item m="1" x="613"/>
        <item m="1" x="632"/>
        <item x="176"/>
        <item m="1" x="450"/>
        <item x="287"/>
        <item x="80"/>
        <item x="289"/>
        <item x="114"/>
        <item m="1" x="572"/>
        <item m="1" x="367"/>
        <item m="1" x="706"/>
        <item m="1" x="639"/>
        <item m="1" x="410"/>
        <item m="1" x="371"/>
        <item m="1" x="602"/>
        <item m="1" x="584"/>
        <item m="1" x="558"/>
        <item x="64"/>
        <item x="4"/>
        <item x="154"/>
        <item m="1" x="513"/>
        <item m="1" x="431"/>
        <item m="1" x="679"/>
        <item m="1" x="520"/>
        <item m="1" x="534"/>
        <item x="230"/>
        <item x="20"/>
        <item m="1" x="687"/>
        <item x="244"/>
        <item x="175"/>
        <item x="138"/>
        <item x="53"/>
        <item x="229"/>
        <item x="196"/>
        <item m="1" x="663"/>
        <item m="1" x="657"/>
        <item x="178"/>
        <item x="15"/>
        <item m="1" x="503"/>
        <item m="1" x="445"/>
        <item m="1" x="479"/>
        <item m="1" x="619"/>
        <item m="1" x="695"/>
        <item x="198"/>
        <item m="1" x="688"/>
        <item x="67"/>
        <item x="123"/>
        <item x="304"/>
        <item m="1" x="699"/>
        <item m="1" x="680"/>
        <item x="337"/>
        <item m="1" x="702"/>
        <item x="128"/>
        <item x="288"/>
        <item x="286"/>
        <item x="105"/>
        <item x="217"/>
        <item x="170"/>
        <item x="44"/>
        <item x="195"/>
        <item x="273"/>
        <item x="129"/>
        <item x="43"/>
        <item x="219"/>
        <item x="194"/>
        <item x="283"/>
        <item m="1" x="423"/>
        <item m="1" x="469"/>
        <item x="210"/>
        <item m="1" x="537"/>
        <item m="1" x="700"/>
        <item m="1" x="559"/>
        <item x="69"/>
        <item m="1" x="542"/>
        <item m="1" x="426"/>
        <item x="185"/>
        <item x="255"/>
        <item m="1" x="590"/>
        <item m="1" x="635"/>
        <item x="327"/>
        <item x="179"/>
        <item m="1" x="444"/>
        <item m="1" x="573"/>
        <item x="78"/>
        <item m="1" x="496"/>
        <item x="305"/>
        <item m="1" x="442"/>
        <item m="1" x="666"/>
        <item x="68"/>
        <item m="1" x="604"/>
        <item m="1" x="655"/>
        <item m="1" x="522"/>
        <item x="224"/>
        <item m="1" x="555"/>
        <item m="1" x="536"/>
        <item x="60"/>
        <item m="1" x="443"/>
        <item m="1" x="390"/>
        <item m="1" x="436"/>
        <item x="171"/>
        <item m="1" x="375"/>
        <item x="63"/>
        <item x="106"/>
        <item m="1" x="642"/>
        <item m="1" x="382"/>
        <item x="216"/>
        <item m="1" x="480"/>
        <item x="274"/>
        <item m="1" x="403"/>
        <item x="218"/>
        <item m="1" x="622"/>
        <item m="1" x="388"/>
        <item m="1" x="360"/>
        <item x="51"/>
        <item x="55"/>
        <item m="1" x="406"/>
        <item x="10"/>
        <item m="1" x="689"/>
        <item m="1" x="424"/>
        <item m="1" x="487"/>
        <item m="1" x="498"/>
        <item m="1" x="634"/>
        <item m="1" x="714"/>
        <item m="1" x="647"/>
        <item x="104"/>
        <item m="1" x="435"/>
        <item m="1" x="568"/>
        <item x="62"/>
        <item x="42"/>
        <item m="1" x="692"/>
        <item m="1" x="504"/>
        <item x="124"/>
        <item h="1" m="1" x="549"/>
        <item h="1" m="1" x="685"/>
        <item h="1" m="1" x="530"/>
        <item h="1" m="1" x="605"/>
        <item h="1" m="1" x="674"/>
        <item h="1" m="1" x="682"/>
        <item h="1" m="1" x="421"/>
        <item h="1" m="1" x="548"/>
        <item h="1" x="52"/>
        <item h="1" m="1" x="574"/>
        <item h="1" m="1" x="491"/>
        <item h="1" m="1" x="544"/>
        <item h="1" m="1" x="432"/>
        <item h="1" m="1" x="366"/>
        <item h="1" m="1" x="681"/>
        <item h="1" m="1" x="518"/>
        <item h="1" m="1" x="575"/>
        <item h="1" m="1" x="661"/>
        <item h="1" m="1" x="514"/>
        <item h="1" m="1" x="615"/>
        <item h="1" m="1" x="563"/>
        <item h="1" m="1" x="556"/>
        <item h="1" m="1" x="434"/>
        <item h="1" m="1" x="677"/>
        <item h="1" m="1" x="649"/>
        <item h="1" m="1" x="585"/>
        <item h="1" m="1" x="595"/>
        <item h="1" m="1" x="393"/>
        <item h="1" m="1" x="430"/>
        <item h="1" m="1" x="529"/>
        <item h="1" m="1" x="562"/>
        <item h="1" m="1" x="564"/>
        <item h="1" m="1" x="485"/>
        <item h="1" m="1" x="359"/>
        <item h="1" m="1" x="497"/>
        <item h="1" m="1" x="516"/>
        <item h="1" m="1" x="441"/>
        <item h="1" m="1" x="561"/>
        <item h="1" m="1" x="376"/>
        <item h="1" m="1" x="626"/>
        <item h="1" m="1" x="540"/>
        <item h="1" m="1" x="398"/>
        <item h="1" m="1" x="404"/>
        <item h="1" m="1" x="408"/>
        <item h="1" m="1" x="557"/>
        <item h="1" m="1" x="580"/>
        <item h="1" m="1" x="581"/>
        <item h="1" m="1" x="531"/>
        <item h="1" m="1" x="463"/>
        <item h="1" m="1" x="510"/>
        <item h="1" m="1" x="711"/>
        <item h="1" m="1" x="364"/>
        <item h="1" m="1" x="532"/>
        <item h="1" m="1" x="476"/>
        <item h="1" m="1" x="643"/>
        <item h="1" m="1" x="560"/>
        <item h="1" m="1" x="587"/>
        <item h="1" m="1" x="668"/>
        <item h="1" m="1" x="511"/>
        <item h="1" m="1" x="392"/>
        <item h="1" m="1" x="579"/>
        <item h="1" m="1" x="625"/>
        <item h="1" m="1" x="586"/>
        <item h="1" m="1" x="383"/>
        <item h="1" m="1" x="533"/>
        <item h="1" m="1" x="713"/>
        <item h="1" m="1" x="670"/>
        <item h="1" m="1" x="705"/>
        <item h="1" m="1" x="597"/>
        <item h="1" m="1" x="475"/>
        <item h="1" m="1" x="598"/>
        <item h="1" m="1" x="451"/>
        <item h="1" m="1" x="646"/>
        <item h="1" m="1" x="651"/>
        <item h="1" m="1" x="624"/>
        <item h="1" m="1" x="481"/>
        <item h="1" m="1" x="405"/>
        <item h="1" m="1" x="664"/>
        <item h="1" m="1" x="691"/>
        <item h="1" m="1" x="425"/>
        <item h="1" m="1" x="391"/>
        <item h="1" m="1" x="506"/>
        <item h="1" m="1" x="606"/>
        <item h="1" m="1" x="569"/>
        <item h="1" m="1" x="467"/>
        <item h="1" m="1" x="412"/>
        <item h="1" m="1" x="669"/>
        <item h="1" m="1" x="526"/>
        <item h="1" m="1" x="368"/>
        <item h="1" m="1" x="607"/>
        <item h="1" m="1" x="690"/>
        <item h="1" m="1" x="490"/>
        <item h="1" m="1" x="396"/>
        <item h="1" m="1" x="419"/>
        <item h="1" m="1" x="493"/>
        <item h="1" m="1" x="576"/>
        <item h="1" m="1" x="707"/>
        <item h="1" m="1" x="449"/>
        <item h="1" m="1" x="459"/>
        <item h="1" m="1" x="399"/>
        <item h="1" m="1" x="620"/>
        <item h="1" m="1" x="409"/>
        <item h="1" m="1" x="601"/>
        <item h="1" m="1" x="428"/>
        <item h="1" m="1" x="637"/>
        <item h="1" m="1" x="588"/>
        <item h="1" m="1" x="483"/>
        <item h="1" m="1" x="389"/>
        <item h="1" m="1" x="600"/>
        <item h="1" m="1" x="494"/>
        <item h="1" m="1" x="466"/>
        <item h="1" m="1" x="502"/>
        <item h="1" m="1" x="458"/>
        <item h="1" m="1" x="654"/>
        <item h="1" m="1" x="395"/>
        <item h="1" m="1" x="508"/>
        <item h="1" m="1" x="356"/>
        <item h="1" m="1" x="381"/>
        <item h="1" m="1" x="377"/>
        <item h="1" m="1" x="621"/>
        <item h="1" m="1" x="418"/>
        <item h="1" m="1" x="363"/>
        <item h="1" m="1" x="501"/>
        <item h="1" m="1" x="361"/>
        <item h="1" m="1" x="594"/>
        <item h="1" m="1" x="357"/>
        <item h="1" m="1" x="672"/>
        <item h="1" m="1" x="535"/>
        <item h="1" m="1" x="401"/>
        <item h="1" m="1" x="665"/>
        <item h="1" m="1" x="603"/>
        <item h="1" m="1" x="628"/>
        <item h="1" m="1" x="446"/>
        <item h="1" m="1" x="678"/>
        <item h="1" m="1" x="422"/>
        <item h="1" m="1" x="565"/>
        <item h="1" m="1" x="477"/>
        <item h="1" m="1" x="652"/>
        <item h="1" m="1" x="596"/>
        <item h="1" m="1" x="358"/>
        <item h="1" m="1" x="543"/>
        <item h="1" m="1" x="468"/>
        <item h="1" m="1" x="660"/>
        <item h="1" m="1" x="470"/>
        <item h="1" m="1" x="456"/>
        <item h="1" m="1" x="676"/>
        <item h="1" m="1" x="462"/>
        <item h="1" m="1" x="386"/>
        <item h="1" m="1" x="384"/>
        <item h="1" m="1" x="523"/>
        <item h="1" m="1" x="550"/>
        <item h="1" m="1" x="402"/>
        <item h="1" x="25"/>
        <item h="1" x="27"/>
        <item h="1" x="30"/>
        <item h="1" x="31"/>
        <item h="1" x="32"/>
        <item h="1" x="33"/>
        <item h="1" x="34"/>
        <item h="1" x="35"/>
        <item h="1" x="36"/>
        <item h="1" m="1" x="708"/>
        <item h="1" m="1" x="582"/>
        <item h="1" x="39"/>
        <item h="1" x="40"/>
        <item h="1" m="1" x="712"/>
        <item h="1" x="48"/>
        <item h="1" x="49"/>
        <item h="1" x="50"/>
        <item h="1" x="54"/>
        <item h="1" x="56"/>
        <item h="1" x="58"/>
        <item h="1" x="59"/>
        <item h="1" x="61"/>
        <item h="1" x="65"/>
        <item h="1" x="66"/>
        <item h="1" x="81"/>
        <item h="1" x="82"/>
        <item h="1" x="83"/>
        <item h="1" x="84"/>
        <item h="1" x="85"/>
        <item h="1" x="86"/>
        <item h="1" x="87"/>
        <item h="1" x="88"/>
        <item h="1" x="89"/>
        <item h="1" x="90"/>
        <item h="1" x="91"/>
        <item h="1" x="92"/>
        <item h="1" x="93"/>
        <item h="1" x="94"/>
        <item h="1" x="95"/>
        <item h="1" x="96"/>
        <item h="1" x="97"/>
        <item h="1" x="98"/>
        <item h="1" x="99"/>
        <item h="1" x="100"/>
        <item h="1" x="101"/>
        <item h="1" x="102"/>
        <item h="1" x="103"/>
        <item h="1" x="107"/>
        <item h="1" x="108"/>
        <item h="1" x="109"/>
        <item h="1" x="110"/>
        <item h="1" x="111"/>
        <item h="1" x="112"/>
        <item h="1" x="115"/>
        <item h="1" x="116"/>
        <item h="1" x="117"/>
        <item h="1" x="120"/>
        <item h="1" x="121"/>
        <item h="1" x="122"/>
        <item h="1" x="125"/>
        <item h="1" x="126"/>
        <item h="1" x="127"/>
        <item h="1" x="132"/>
        <item h="1" x="141"/>
        <item h="1" x="142"/>
        <item h="1" x="143"/>
        <item h="1" m="1" x="397"/>
        <item h="1" x="145"/>
        <item h="1" x="148"/>
        <item h="1" x="149"/>
        <item h="1" x="150"/>
        <item h="1" x="151"/>
        <item h="1" m="1" x="673"/>
        <item h="1" x="153"/>
        <item h="1" x="155"/>
        <item h="1" x="156"/>
        <item h="1" x="157"/>
        <item h="1" x="158"/>
        <item h="1" x="159"/>
        <item h="1" x="160"/>
        <item h="1" x="161"/>
        <item h="1" x="162"/>
        <item h="1" x="163"/>
        <item h="1" x="164"/>
        <item h="1" x="165"/>
        <item h="1" x="166"/>
        <item h="1" x="167"/>
        <item h="1" x="168"/>
        <item h="1" x="169"/>
        <item h="1" x="173"/>
        <item h="1" m="1" x="414"/>
        <item h="1" x="200"/>
        <item h="1" x="201"/>
        <item h="1" x="202"/>
        <item h="1" x="203"/>
        <item h="1" x="204"/>
        <item h="1" x="205"/>
        <item h="1" x="206"/>
        <item h="1" x="231"/>
        <item h="1" x="232"/>
        <item h="1" x="233"/>
        <item h="1" x="234"/>
        <item h="1" x="235"/>
        <item h="1" x="236"/>
        <item h="1" x="237"/>
        <item h="1" x="238"/>
        <item h="1" x="239"/>
        <item h="1" x="240"/>
        <item h="1" x="241"/>
        <item h="1" x="242"/>
        <item h="1" x="243"/>
        <item h="1" x="245"/>
        <item h="1" x="246"/>
        <item h="1" x="247"/>
        <item h="1" x="248"/>
        <item h="1" x="249"/>
        <item h="1" x="250"/>
        <item h="1" x="251"/>
        <item h="1" x="252"/>
        <item h="1" x="253"/>
        <item h="1" m="1" x="448"/>
        <item h="1" x="345"/>
        <item h="1" x="346"/>
        <item h="1" x="347"/>
        <item h="1" x="348"/>
        <item h="1" x="349"/>
        <item h="1" x="350"/>
        <item h="1" x="351"/>
        <item h="1" x="352"/>
        <item h="1" x="353"/>
        <item h="1" x="354"/>
        <item h="1" x="256"/>
        <item h="1" x="257"/>
        <item h="1" x="258"/>
        <item h="1" x="259"/>
        <item h="1" x="260"/>
        <item h="1" x="261"/>
        <item h="1" x="262"/>
        <item h="1" x="263"/>
        <item h="1" x="264"/>
        <item h="1" x="265"/>
        <item h="1" x="266"/>
        <item h="1" x="267"/>
        <item h="1" x="268"/>
        <item h="1" x="269"/>
        <item h="1" x="270"/>
        <item h="1" x="271"/>
        <item h="1" x="272"/>
        <item h="1" x="275"/>
        <item h="1" x="276"/>
        <item h="1" x="277"/>
        <item h="1" x="278"/>
        <item h="1" x="279"/>
        <item h="1" x="280"/>
        <item h="1" x="281"/>
        <item h="1" x="282"/>
        <item h="1" x="291"/>
        <item h="1" x="292"/>
        <item h="1" x="293"/>
        <item h="1" x="294"/>
        <item h="1" x="295"/>
        <item h="1" m="1" x="701"/>
        <item h="1" x="297"/>
        <item h="1" m="1" x="693"/>
        <item h="1" x="299"/>
        <item h="1" x="300"/>
        <item h="1" x="301"/>
        <item h="1" x="302"/>
        <item h="1" x="303"/>
        <item h="1" x="306"/>
        <item h="1" x="307"/>
        <item h="1" x="308"/>
        <item h="1" x="309"/>
        <item h="1" m="1" x="362"/>
        <item h="1" x="311"/>
        <item h="1" x="312"/>
        <item h="1" x="313"/>
        <item h="1" x="314"/>
        <item h="1" x="315"/>
        <item h="1" x="316"/>
        <item h="1" x="317"/>
        <item h="1" x="318"/>
        <item h="1" x="319"/>
        <item h="1" x="320"/>
        <item h="1" x="321"/>
        <item h="1" x="322"/>
        <item h="1" x="323"/>
        <item h="1" x="324"/>
        <item h="1" x="325"/>
        <item h="1" x="326"/>
        <item h="1" x="328"/>
        <item h="1" x="329"/>
        <item h="1" x="330"/>
        <item h="1" x="331"/>
        <item h="1" x="332"/>
        <item h="1" x="333"/>
        <item h="1" x="334"/>
        <item h="1" x="335"/>
        <item h="1" x="336"/>
        <item h="1" x="338"/>
        <item h="1" x="339"/>
        <item h="1" x="340"/>
        <item h="1" x="341"/>
        <item h="1" x="342"/>
        <item h="1" x="37"/>
        <item h="1" x="38"/>
        <item h="1" x="41"/>
        <item h="1" x="45"/>
        <item h="1" x="144"/>
        <item h="1" x="152"/>
        <item h="1" x="199"/>
        <item h="1" x="344"/>
        <item h="1" x="296"/>
        <item h="1" x="298"/>
        <item h="1" x="310"/>
        <item t="default"/>
      </items>
    </pivotField>
    <pivotField showAll="0"/>
    <pivotField showAll="0">
      <items count="40">
        <item h="1" x="37"/>
        <item h="1" x="0"/>
        <item h="1" x="8"/>
        <item x="33"/>
        <item x="32"/>
        <item x="28"/>
        <item h="1" x="16"/>
        <item x="22"/>
        <item h="1" x="18"/>
        <item h="1" x="9"/>
        <item h="1" x="17"/>
        <item x="19"/>
        <item h="1" x="1"/>
        <item x="23"/>
        <item x="35"/>
        <item h="1" x="2"/>
        <item h="1" x="3"/>
        <item h="1" x="30"/>
        <item h="1" x="15"/>
        <item x="24"/>
        <item h="1" x="10"/>
        <item h="1" x="11"/>
        <item h="1" x="36"/>
        <item x="20"/>
        <item h="1" x="38"/>
        <item h="1" x="4"/>
        <item x="25"/>
        <item x="26"/>
        <item x="31"/>
        <item h="1" x="5"/>
        <item x="34"/>
        <item h="1" x="21"/>
        <item h="1" x="12"/>
        <item h="1" x="13"/>
        <item x="27"/>
        <item h="1" x="14"/>
        <item h="1" x="6"/>
        <item h="1" x="29"/>
        <item h="1" x="7"/>
        <item t="default"/>
      </items>
    </pivotField>
    <pivotField showAll="0"/>
    <pivotField showAll="0"/>
    <pivotField showAll="0"/>
    <pivotField showAll="0"/>
    <pivotField showAll="0"/>
    <pivotField showAll="0"/>
    <pivotField axis="axisCol" showAll="0">
      <items count="8">
        <item x="6"/>
        <item n="other sources" x="2"/>
        <item x="4"/>
        <item x="5"/>
        <item x="3"/>
        <item x="1"/>
        <item x="0"/>
        <item t="default"/>
      </items>
    </pivotField>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8">
    <i>
      <x v="38"/>
    </i>
    <i>
      <x v="33"/>
    </i>
    <i>
      <x v="25"/>
    </i>
    <i>
      <x v="55"/>
    </i>
    <i>
      <x v="44"/>
    </i>
    <i>
      <x v="7"/>
    </i>
    <i>
      <x v="65"/>
    </i>
    <i>
      <x v="1"/>
    </i>
    <i>
      <x v="63"/>
    </i>
    <i>
      <x v="12"/>
    </i>
    <i>
      <x v="11"/>
    </i>
    <i>
      <x v="26"/>
    </i>
    <i>
      <x v="2"/>
    </i>
    <i>
      <x v="15"/>
    </i>
    <i>
      <x v="67"/>
    </i>
    <i>
      <x v="21"/>
    </i>
    <i>
      <x v="36"/>
    </i>
    <i>
      <x v="58"/>
    </i>
    <i>
      <x v="53"/>
    </i>
    <i>
      <x v="17"/>
    </i>
    <i>
      <x v="20"/>
    </i>
    <i>
      <x v="14"/>
    </i>
    <i>
      <x v="27"/>
    </i>
    <i>
      <x v="16"/>
    </i>
    <i>
      <x v="41"/>
    </i>
    <i>
      <x v="45"/>
    </i>
    <i>
      <x v="13"/>
    </i>
    <i>
      <x v="57"/>
    </i>
    <i>
      <x v="19"/>
    </i>
    <i>
      <x v="59"/>
    </i>
    <i>
      <x v="34"/>
    </i>
    <i>
      <x v="66"/>
    </i>
    <i>
      <x v="3"/>
    </i>
    <i>
      <x v="18"/>
    </i>
    <i>
      <x v="35"/>
    </i>
    <i>
      <x v="43"/>
    </i>
    <i>
      <x v="37"/>
    </i>
    <i>
      <x v="29"/>
    </i>
    <i>
      <x v="56"/>
    </i>
    <i>
      <x v="69"/>
    </i>
    <i>
      <x/>
    </i>
    <i>
      <x v="47"/>
    </i>
    <i>
      <x v="4"/>
    </i>
    <i>
      <x v="24"/>
    </i>
    <i>
      <x v="54"/>
    </i>
    <i>
      <x v="46"/>
    </i>
    <i>
      <x v="49"/>
    </i>
    <i>
      <x v="64"/>
    </i>
    <i>
      <x v="60"/>
    </i>
    <i>
      <x v="9"/>
    </i>
    <i>
      <x v="51"/>
    </i>
    <i>
      <x v="61"/>
    </i>
    <i>
      <x v="52"/>
    </i>
    <i>
      <x v="32"/>
    </i>
    <i>
      <x v="23"/>
    </i>
    <i>
      <x v="50"/>
    </i>
    <i>
      <x v="39"/>
    </i>
    <i>
      <x v="31"/>
    </i>
    <i>
      <x v="62"/>
    </i>
    <i>
      <x v="48"/>
    </i>
    <i>
      <x v="68"/>
    </i>
    <i>
      <x v="6"/>
    </i>
    <i>
      <x v="42"/>
    </i>
    <i>
      <x v="40"/>
    </i>
    <i>
      <x v="30"/>
    </i>
    <i>
      <x v="10"/>
    </i>
    <i>
      <x v="5"/>
    </i>
    <i t="grand">
      <x/>
    </i>
  </rowItems>
  <colFields count="1">
    <field x="12"/>
  </colFields>
  <colItems count="3">
    <i>
      <x/>
    </i>
    <i>
      <x v="1"/>
    </i>
    <i t="grand">
      <x/>
    </i>
  </colItems>
  <pageFields count="1">
    <pageField fld="3" hier="-1"/>
  </pageFields>
  <dataFields count="1">
    <dataField name="Count of total_points" fld="14" subtotal="count" baseField="1"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7.xml><?xml version="1.0" encoding="utf-8"?>
<pivotTableDefinition xmlns="http://schemas.openxmlformats.org/spreadsheetml/2006/main" name="PivotTable7" cacheId="3" applyNumberFormats="0" applyBorderFormats="0" applyFontFormats="0" applyPatternFormats="0" applyAlignmentFormats="0" applyWidthHeightFormats="1" dataCaption="Values" updatedVersion="5" minRefreshableVersion="3" useAutoFormatting="1" rowGrandTotals="0" itemPrintTitles="1" createdVersion="5" indent="0" outline="1" outlineData="1" multipleFieldFilters="0" chartFormat="1">
  <location ref="A3:E72" firstHeaderRow="1" firstDataRow="2" firstDataCol="1"/>
  <pivotFields count="27">
    <pivotField showAll="0"/>
    <pivotField axis="axisRow" showAll="0" sortType="descending">
      <items count="71">
        <item x="31"/>
        <item x="19"/>
        <item x="66"/>
        <item x="0"/>
        <item x="43"/>
        <item x="23"/>
        <item x="41"/>
        <item x="33"/>
        <item x="62"/>
        <item x="1"/>
        <item x="44"/>
        <item x="2"/>
        <item x="36"/>
        <item x="3"/>
        <item x="53"/>
        <item x="20"/>
        <item x="57"/>
        <item x="50"/>
        <item x="4"/>
        <item x="5"/>
        <item x="42"/>
        <item x="48"/>
        <item m="1" x="68"/>
        <item x="6"/>
        <item x="58"/>
        <item x="18"/>
        <item x="46"/>
        <item x="27"/>
        <item m="1" x="69"/>
        <item x="65"/>
        <item x="7"/>
        <item x="8"/>
        <item x="17"/>
        <item x="9"/>
        <item x="32"/>
        <item x="52"/>
        <item x="29"/>
        <item x="10"/>
        <item x="11"/>
        <item x="12"/>
        <item x="45"/>
        <item x="40"/>
        <item x="51"/>
        <item x="39"/>
        <item x="34"/>
        <item x="38"/>
        <item x="35"/>
        <item x="13"/>
        <item x="14"/>
        <item x="15"/>
        <item x="16"/>
        <item x="22"/>
        <item x="21"/>
        <item x="24"/>
        <item x="26"/>
        <item x="25"/>
        <item x="59"/>
        <item x="54"/>
        <item x="61"/>
        <item x="28"/>
        <item x="64"/>
        <item x="30"/>
        <item x="49"/>
        <item x="37"/>
        <item x="55"/>
        <item x="47"/>
        <item x="60"/>
        <item x="56"/>
        <item x="63"/>
        <item x="67"/>
        <item t="default"/>
      </items>
      <autoSortScope>
        <pivotArea dataOnly="0" outline="0" fieldPosition="0">
          <references count="1">
            <reference field="4294967294" count="1" selected="0">
              <x v="0"/>
            </reference>
          </references>
        </pivotArea>
      </autoSortScope>
    </pivotField>
    <pivotField showAll="0"/>
    <pivotField dataField="1" showAll="0"/>
    <pivotField showAll="0"/>
    <pivotField showAll="0"/>
    <pivotField axis="axisCol" showAll="0">
      <items count="4">
        <item x="2"/>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8">
    <i>
      <x v="64"/>
    </i>
    <i>
      <x v="60"/>
    </i>
    <i>
      <x v="55"/>
    </i>
    <i>
      <x v="25"/>
    </i>
    <i>
      <x v="1"/>
    </i>
    <i>
      <x v="52"/>
    </i>
    <i>
      <x v="66"/>
    </i>
    <i>
      <x/>
    </i>
    <i>
      <x v="32"/>
    </i>
    <i>
      <x v="29"/>
    </i>
    <i>
      <x v="7"/>
    </i>
    <i>
      <x v="17"/>
    </i>
    <i>
      <x v="14"/>
    </i>
    <i>
      <x v="65"/>
    </i>
    <i>
      <x v="16"/>
    </i>
    <i>
      <x v="15"/>
    </i>
    <i>
      <x v="26"/>
    </i>
    <i>
      <x v="53"/>
    </i>
    <i>
      <x v="43"/>
    </i>
    <i>
      <x v="27"/>
    </i>
    <i>
      <x v="51"/>
    </i>
    <i>
      <x v="12"/>
    </i>
    <i>
      <x v="24"/>
    </i>
    <i>
      <x v="20"/>
    </i>
    <i>
      <x v="2"/>
    </i>
    <i>
      <x v="44"/>
    </i>
    <i>
      <x v="34"/>
    </i>
    <i>
      <x v="69"/>
    </i>
    <i>
      <x v="63"/>
    </i>
    <i>
      <x v="56"/>
    </i>
    <i>
      <x v="59"/>
    </i>
    <i>
      <x v="57"/>
    </i>
    <i>
      <x v="36"/>
    </i>
    <i>
      <x v="38"/>
    </i>
    <i>
      <x v="61"/>
    </i>
    <i>
      <x v="58"/>
    </i>
    <i>
      <x v="33"/>
    </i>
    <i>
      <x v="54"/>
    </i>
    <i>
      <x v="67"/>
    </i>
    <i>
      <x v="11"/>
    </i>
    <i>
      <x v="19"/>
    </i>
    <i>
      <x v="45"/>
    </i>
    <i>
      <x v="47"/>
    </i>
    <i>
      <x v="21"/>
    </i>
    <i>
      <x v="18"/>
    </i>
    <i>
      <x v="13"/>
    </i>
    <i>
      <x v="3"/>
    </i>
    <i>
      <x v="39"/>
    </i>
    <i>
      <x v="4"/>
    </i>
    <i>
      <x v="41"/>
    </i>
    <i>
      <x v="49"/>
    </i>
    <i>
      <x v="50"/>
    </i>
    <i>
      <x v="37"/>
    </i>
    <i>
      <x v="35"/>
    </i>
    <i>
      <x v="46"/>
    </i>
    <i>
      <x v="9"/>
    </i>
    <i>
      <x v="48"/>
    </i>
    <i>
      <x v="23"/>
    </i>
    <i>
      <x v="5"/>
    </i>
    <i>
      <x v="62"/>
    </i>
    <i>
      <x v="68"/>
    </i>
    <i>
      <x v="31"/>
    </i>
    <i>
      <x v="6"/>
    </i>
    <i>
      <x v="42"/>
    </i>
    <i>
      <x v="40"/>
    </i>
    <i>
      <x v="10"/>
    </i>
    <i>
      <x v="30"/>
    </i>
    <i>
      <x v="8"/>
    </i>
  </rowItems>
  <colFields count="1">
    <field x="6"/>
  </colFields>
  <colItems count="4">
    <i>
      <x/>
    </i>
    <i>
      <x v="1"/>
    </i>
    <i>
      <x v="2"/>
    </i>
    <i t="grand">
      <x/>
    </i>
  </colItems>
  <dataFields count="1">
    <dataField name="Sum of indicator_total_weighted_points" fld="3" baseField="0" baseItem="0"/>
  </dataFields>
  <formats count="1">
    <format dxfId="253">
      <pivotArea collapsedLevelsAreSubtotals="1" fieldPosition="0">
        <references count="1">
          <reference field="1" count="0"/>
        </references>
      </pivotArea>
    </format>
  </formats>
  <chartFormats count="3">
    <chartFormat chart="0" format="0" series="1">
      <pivotArea type="data" outline="0" fieldPosition="0">
        <references count="2">
          <reference field="4294967294" count="1" selected="0">
            <x v="0"/>
          </reference>
          <reference field="6" count="1" selected="0">
            <x v="0"/>
          </reference>
        </references>
      </pivotArea>
    </chartFormat>
    <chartFormat chart="0" format="1" series="1">
      <pivotArea type="data" outline="0" fieldPosition="0">
        <references count="2">
          <reference field="4294967294" count="1" selected="0">
            <x v="0"/>
          </reference>
          <reference field="6" count="1" selected="0">
            <x v="1"/>
          </reference>
        </references>
      </pivotArea>
    </chartFormat>
    <chartFormat chart="0" format="2" series="1">
      <pivotArea type="data" outline="0" fieldPosition="0">
        <references count="2">
          <reference field="4294967294" count="1" selected="0">
            <x v="0"/>
          </reference>
          <reference field="6"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8.xml><?xml version="1.0" encoding="utf-8"?>
<pivotTableDefinition xmlns="http://schemas.openxmlformats.org/spreadsheetml/2006/main" name="PivotTable1" cacheId="2" applyNumberFormats="0" applyBorderFormats="0" applyFontFormats="0" applyPatternFormats="0" applyAlignmentFormats="0" applyWidthHeightFormats="1" dataCaption="Values" updatedVersion="5" minRefreshableVersion="3" useAutoFormatting="1" rowGrandTotals="0" itemPrintTitles="1" createdVersion="5" indent="0" outline="1" outlineData="1" multipleFieldFilters="0">
  <location ref="A3:D8" firstHeaderRow="0" firstDataRow="1" firstDataCol="1"/>
  <pivotFields count="4">
    <pivotField dataField="1" numFmtId="164" showAll="0"/>
    <pivotField dataField="1" numFmtId="164" showAll="0"/>
    <pivotField dataField="1" numFmtId="164" showAll="0"/>
    <pivotField axis="axisRow" showAll="0">
      <items count="7">
        <item x="0"/>
        <item x="1"/>
        <item x="2"/>
        <item x="3"/>
        <item x="4"/>
        <item h="1" x="5"/>
        <item t="default"/>
      </items>
    </pivotField>
  </pivotFields>
  <rowFields count="1">
    <field x="3"/>
  </rowFields>
  <rowItems count="5">
    <i>
      <x/>
    </i>
    <i>
      <x v="1"/>
    </i>
    <i>
      <x v="2"/>
    </i>
    <i>
      <x v="3"/>
    </i>
    <i>
      <x v="4"/>
    </i>
  </rowItems>
  <colFields count="1">
    <field x="-2"/>
  </colFields>
  <colItems count="3">
    <i>
      <x/>
    </i>
    <i i="1">
      <x v="1"/>
    </i>
    <i i="2">
      <x v="2"/>
    </i>
  </colItems>
  <dataFields count="3">
    <dataField name="Average of Commitment" fld="0" subtotal="average" baseField="3" baseItem="0"/>
    <dataField name="Average of Organisation" fld="1" subtotal="average" baseField="3" baseItem="0"/>
    <dataField name="Average of Activity" fld="2" subtotal="average" baseField="3" baseItem="0"/>
  </dataFields>
  <formats count="2">
    <format dxfId="247">
      <pivotArea collapsedLevelsAreSubtotals="1" fieldPosition="0">
        <references count="1">
          <reference field="3" count="5">
            <x v="0"/>
            <x v="1"/>
            <x v="2"/>
            <x v="3"/>
            <x v="4"/>
          </reference>
        </references>
      </pivotArea>
    </format>
    <format dxfId="246">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9.xml><?xml version="1.0" encoding="utf-8"?>
<pivotTableDefinition xmlns="http://schemas.openxmlformats.org/spreadsheetml/2006/main" name="PivotTable8" cacheId="3" applyNumberFormats="0" applyBorderFormats="0" applyFontFormats="0" applyPatternFormats="0" applyAlignmentFormats="0" applyWidthHeightFormats="1" dataCaption="Values" updatedVersion="5" minRefreshableVersion="3" useAutoFormatting="1" rowGrandTotals="0" itemPrintTitles="1" createdVersion="5" indent="0" outline="1" outlineData="1" multipleFieldFilters="0">
  <location ref="A3:J72" firstHeaderRow="1" firstDataRow="2" firstDataCol="1"/>
  <pivotFields count="27">
    <pivotField showAll="0"/>
    <pivotField axis="axisRow" showAll="0">
      <items count="71">
        <item x="31"/>
        <item x="19"/>
        <item x="66"/>
        <item x="0"/>
        <item x="43"/>
        <item x="23"/>
        <item x="41"/>
        <item x="33"/>
        <item x="62"/>
        <item x="1"/>
        <item x="44"/>
        <item x="2"/>
        <item x="36"/>
        <item x="3"/>
        <item x="53"/>
        <item x="20"/>
        <item x="57"/>
        <item x="50"/>
        <item x="4"/>
        <item x="5"/>
        <item x="42"/>
        <item x="48"/>
        <item m="1" x="68"/>
        <item x="6"/>
        <item x="58"/>
        <item x="18"/>
        <item x="46"/>
        <item x="27"/>
        <item m="1" x="69"/>
        <item x="65"/>
        <item x="7"/>
        <item x="8"/>
        <item x="17"/>
        <item x="9"/>
        <item x="32"/>
        <item x="52"/>
        <item x="29"/>
        <item x="10"/>
        <item x="11"/>
        <item x="12"/>
        <item x="45"/>
        <item x="40"/>
        <item x="51"/>
        <item x="39"/>
        <item x="34"/>
        <item x="38"/>
        <item x="35"/>
        <item x="13"/>
        <item x="14"/>
        <item x="15"/>
        <item x="16"/>
        <item x="22"/>
        <item x="21"/>
        <item x="24"/>
        <item x="26"/>
        <item x="25"/>
        <item x="59"/>
        <item x="54"/>
        <item x="61"/>
        <item x="28"/>
        <item x="64"/>
        <item x="30"/>
        <item x="49"/>
        <item x="37"/>
        <item x="55"/>
        <item x="47"/>
        <item x="60"/>
        <item x="56"/>
        <item x="63"/>
        <item x="67"/>
        <item t="default"/>
      </items>
    </pivotField>
    <pivotField showAll="0"/>
    <pivotField dataField="1" showAll="0"/>
    <pivotField showAll="0"/>
    <pivotField showAll="0"/>
    <pivotField showAll="0"/>
    <pivotField showAll="0"/>
    <pivotField axis="axisCol" showAll="0">
      <items count="9">
        <item x="7"/>
        <item x="6"/>
        <item x="5"/>
        <item x="0"/>
        <item x="1"/>
        <item x="4"/>
        <item x="2"/>
        <item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8">
    <i>
      <x/>
    </i>
    <i>
      <x v="1"/>
    </i>
    <i>
      <x v="2"/>
    </i>
    <i>
      <x v="3"/>
    </i>
    <i>
      <x v="4"/>
    </i>
    <i>
      <x v="5"/>
    </i>
    <i>
      <x v="6"/>
    </i>
    <i>
      <x v="7"/>
    </i>
    <i>
      <x v="8"/>
    </i>
    <i>
      <x v="9"/>
    </i>
    <i>
      <x v="10"/>
    </i>
    <i>
      <x v="11"/>
    </i>
    <i>
      <x v="12"/>
    </i>
    <i>
      <x v="13"/>
    </i>
    <i>
      <x v="14"/>
    </i>
    <i>
      <x v="15"/>
    </i>
    <i>
      <x v="16"/>
    </i>
    <i>
      <x v="17"/>
    </i>
    <i>
      <x v="18"/>
    </i>
    <i>
      <x v="19"/>
    </i>
    <i>
      <x v="20"/>
    </i>
    <i>
      <x v="21"/>
    </i>
    <i>
      <x v="23"/>
    </i>
    <i>
      <x v="24"/>
    </i>
    <i>
      <x v="25"/>
    </i>
    <i>
      <x v="26"/>
    </i>
    <i>
      <x v="27"/>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rowItems>
  <colFields count="1">
    <field x="8"/>
  </colFields>
  <colItems count="9">
    <i>
      <x/>
    </i>
    <i>
      <x v="1"/>
    </i>
    <i>
      <x v="2"/>
    </i>
    <i>
      <x v="3"/>
    </i>
    <i>
      <x v="4"/>
    </i>
    <i>
      <x v="5"/>
    </i>
    <i>
      <x v="6"/>
    </i>
    <i>
      <x v="7"/>
    </i>
    <i t="grand">
      <x/>
    </i>
  </colItems>
  <dataFields count="1">
    <dataField name="Sum of indicator_total_weighted_points" fld="3" baseField="0" baseItem="0" numFmtId="2"/>
  </dataFields>
  <formats count="2">
    <format dxfId="245">
      <pivotArea outline="0" collapsedLevelsAreSubtotals="1" fieldPosition="0"/>
    </format>
    <format dxfId="244">
      <pivotArea grandCol="1"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10.xml><?xml version="1.0" encoding="utf-8"?>
<pivotTableDefinition xmlns="http://schemas.openxmlformats.org/spreadsheetml/2006/main" name="PivotTable9" cacheId="3" applyNumberFormats="0" applyBorderFormats="0" applyFontFormats="0" applyPatternFormats="0" applyAlignmentFormats="0" applyWidthHeightFormats="1" dataCaption="Values" updatedVersion="5" minRefreshableVersion="3" useAutoFormatting="1" rowGrandTotals="0" colGrandTotals="0" itemPrintTitles="1" createdVersion="5" indent="0" outline="1" outlineData="1" multipleFieldFilters="0">
  <location ref="A4:I73" firstHeaderRow="1" firstDataRow="2" firstDataCol="1"/>
  <pivotFields count="27">
    <pivotField showAll="0"/>
    <pivotField axis="axisRow" showAll="0">
      <items count="71">
        <item x="31"/>
        <item x="19"/>
        <item x="66"/>
        <item x="0"/>
        <item x="43"/>
        <item x="23"/>
        <item x="41"/>
        <item x="33"/>
        <item x="62"/>
        <item x="1"/>
        <item x="44"/>
        <item x="2"/>
        <item x="36"/>
        <item x="3"/>
        <item x="53"/>
        <item x="20"/>
        <item x="57"/>
        <item x="50"/>
        <item x="4"/>
        <item x="5"/>
        <item x="42"/>
        <item x="48"/>
        <item m="1" x="68"/>
        <item x="6"/>
        <item x="58"/>
        <item x="18"/>
        <item x="46"/>
        <item x="27"/>
        <item m="1" x="69"/>
        <item x="65"/>
        <item x="7"/>
        <item x="8"/>
        <item x="17"/>
        <item x="9"/>
        <item x="32"/>
        <item x="52"/>
        <item x="29"/>
        <item x="10"/>
        <item x="11"/>
        <item x="12"/>
        <item x="45"/>
        <item x="40"/>
        <item x="51"/>
        <item x="39"/>
        <item x="34"/>
        <item x="38"/>
        <item x="35"/>
        <item x="13"/>
        <item x="14"/>
        <item x="15"/>
        <item x="16"/>
        <item x="22"/>
        <item x="21"/>
        <item x="24"/>
        <item x="26"/>
        <item x="25"/>
        <item x="59"/>
        <item x="54"/>
        <item x="61"/>
        <item x="28"/>
        <item x="64"/>
        <item x="30"/>
        <item x="49"/>
        <item x="37"/>
        <item x="55"/>
        <item x="47"/>
        <item x="60"/>
        <item x="56"/>
        <item x="63"/>
        <item x="67"/>
        <item t="default"/>
      </items>
    </pivotField>
    <pivotField showAll="0"/>
    <pivotField showAll="0"/>
    <pivotField showAll="0"/>
    <pivotField showAll="0"/>
    <pivotField showAll="0"/>
    <pivotField showAll="0"/>
    <pivotField axis="axisCol" showAll="0">
      <items count="9">
        <item x="7"/>
        <item x="6"/>
        <item x="5"/>
        <item x="0"/>
        <item x="1"/>
        <item x="4"/>
        <item x="2"/>
        <item x="3"/>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8">
    <i>
      <x/>
    </i>
    <i>
      <x v="1"/>
    </i>
    <i>
      <x v="2"/>
    </i>
    <i>
      <x v="3"/>
    </i>
    <i>
      <x v="4"/>
    </i>
    <i>
      <x v="5"/>
    </i>
    <i>
      <x v="6"/>
    </i>
    <i>
      <x v="7"/>
    </i>
    <i>
      <x v="8"/>
    </i>
    <i>
      <x v="9"/>
    </i>
    <i>
      <x v="10"/>
    </i>
    <i>
      <x v="11"/>
    </i>
    <i>
      <x v="12"/>
    </i>
    <i>
      <x v="13"/>
    </i>
    <i>
      <x v="14"/>
    </i>
    <i>
      <x v="15"/>
    </i>
    <i>
      <x v="16"/>
    </i>
    <i>
      <x v="17"/>
    </i>
    <i>
      <x v="18"/>
    </i>
    <i>
      <x v="19"/>
    </i>
    <i>
      <x v="20"/>
    </i>
    <i>
      <x v="21"/>
    </i>
    <i>
      <x v="23"/>
    </i>
    <i>
      <x v="24"/>
    </i>
    <i>
      <x v="25"/>
    </i>
    <i>
      <x v="26"/>
    </i>
    <i>
      <x v="27"/>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rowItems>
  <colFields count="1">
    <field x="8"/>
  </colFields>
  <colItems count="8">
    <i>
      <x/>
    </i>
    <i>
      <x v="1"/>
    </i>
    <i>
      <x v="2"/>
    </i>
    <i>
      <x v="3"/>
    </i>
    <i>
      <x v="4"/>
    </i>
    <i>
      <x v="5"/>
    </i>
    <i>
      <x v="6"/>
    </i>
    <i>
      <x v="7"/>
    </i>
  </colItems>
  <dataFields count="1">
    <dataField name="Sum of total_points" fld="14" baseField="0" baseItem="0" numFmtId="2"/>
  </dataFields>
  <formats count="1">
    <format dxfId="24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11.xml><?xml version="1.0" encoding="utf-8"?>
<pivotTableDefinition xmlns="http://schemas.openxmlformats.org/spreadsheetml/2006/main" name="PivotTable10" cacheId="4" applyNumberFormats="0" applyBorderFormats="0" applyFontFormats="0" applyPatternFormats="0" applyAlignmentFormats="0" applyWidthHeightFormats="1" dataCaption="Values" updatedVersion="5" minRefreshableVersion="3" useAutoFormatting="1" rowGrandTotals="0" itemPrintTitles="1" createdVersion="5" indent="0" outline="1" outlineData="1" multipleFieldFilters="0">
  <location ref="A3:I8" firstHeaderRow="0" firstDataRow="1" firstDataCol="1"/>
  <pivotFields count="10">
    <pivotField showAll="0"/>
    <pivotField dataField="1" numFmtId="2" showAll="0"/>
    <pivotField dataField="1" numFmtId="2" showAll="0"/>
    <pivotField dataField="1" numFmtId="2" showAll="0"/>
    <pivotField dataField="1" numFmtId="2" showAll="0"/>
    <pivotField dataField="1" numFmtId="2" showAll="0"/>
    <pivotField dataField="1" numFmtId="2" showAll="0"/>
    <pivotField dataField="1" numFmtId="2" showAll="0"/>
    <pivotField dataField="1" numFmtId="2" showAll="0"/>
    <pivotField axis="axisRow" showAll="0">
      <items count="7">
        <item x="1"/>
        <item x="0"/>
        <item x="2"/>
        <item x="4"/>
        <item x="3"/>
        <item h="1" x="5"/>
        <item t="default"/>
      </items>
    </pivotField>
  </pivotFields>
  <rowFields count="1">
    <field x="9"/>
  </rowFields>
  <rowItems count="5">
    <i>
      <x/>
    </i>
    <i>
      <x v="1"/>
    </i>
    <i>
      <x v="2"/>
    </i>
    <i>
      <x v="3"/>
    </i>
    <i>
      <x v="4"/>
    </i>
  </rowItems>
  <colFields count="1">
    <field x="-2"/>
  </colFields>
  <colItems count="8">
    <i>
      <x/>
    </i>
    <i i="1">
      <x v="1"/>
    </i>
    <i i="2">
      <x v="2"/>
    </i>
    <i i="3">
      <x v="3"/>
    </i>
    <i i="4">
      <x v="4"/>
    </i>
    <i i="5">
      <x v="5"/>
    </i>
    <i i="6">
      <x v="6"/>
    </i>
    <i i="7">
      <x v="7"/>
    </i>
  </colItems>
  <dataFields count="8">
    <dataField name="Average of Commitment" fld="1" subtotal="average" baseField="9" baseItem="5"/>
    <dataField name="Average of Organisation - Planning" fld="2" subtotal="average" baseField="9" baseItem="5"/>
    <dataField name="Average of Organisation - Financial" fld="3" subtotal="average" baseField="9" baseItem="5"/>
    <dataField name="Average of Activity - Basic information" fld="4" subtotal="average" baseField="9" baseItem="5"/>
    <dataField name="Average of Activity - classifications" fld="5" subtotal="average" baseField="9" baseItem="5"/>
    <dataField name="Average of Activity - related documents" fld="6" subtotal="average" baseField="9" baseItem="5"/>
    <dataField name="Average of Activity - financial" fld="7" subtotal="average" baseField="9" baseItem="5"/>
    <dataField name="Average of Activity - performance" fld="8" subtotal="average" baseField="9" baseItem="5"/>
  </dataFields>
  <formats count="3">
    <format dxfId="242">
      <pivotArea grandRow="1" outline="0" collapsedLevelsAreSubtotals="1" fieldPosition="0"/>
    </format>
    <format dxfId="241">
      <pivotArea collapsedLevelsAreSubtotals="1" fieldPosition="0">
        <references count="1">
          <reference field="9" count="0"/>
        </references>
      </pivotArea>
    </format>
    <format dxfId="240">
      <pivotArea collapsedLevelsAreSubtotals="1" fieldPosition="0">
        <references count="2">
          <reference field="4294967294" count="1" selected="0">
            <x v="0"/>
          </reference>
          <reference field="9" count="1">
            <x v="3"/>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12.xml><?xml version="1.0" encoding="utf-8"?>
<pivotTableDefinition xmlns="http://schemas.openxmlformats.org/spreadsheetml/2006/main" name="PivotTable3" cacheId="3" applyNumberFormats="0" applyBorderFormats="0" applyFontFormats="0" applyPatternFormats="0" applyAlignmentFormats="0" applyWidthHeightFormats="1" dataCaption="Values" updatedVersion="5" minRefreshableVersion="3" useAutoFormatting="1" rowGrandTotals="0" colGrandTotals="0" itemPrintTitles="1" createdVersion="5" indent="0" outline="1" outlineData="1" multipleFieldFilters="0">
  <location ref="A3:AN74" firstHeaderRow="1" firstDataRow="4" firstDataCol="1"/>
  <pivotFields count="27">
    <pivotField showAll="0"/>
    <pivotField axis="axisRow" showAll="0">
      <items count="71">
        <item x="31"/>
        <item x="19"/>
        <item x="66"/>
        <item x="0"/>
        <item x="43"/>
        <item x="23"/>
        <item x="41"/>
        <item x="33"/>
        <item x="62"/>
        <item x="1"/>
        <item x="44"/>
        <item x="2"/>
        <item x="36"/>
        <item x="3"/>
        <item x="53"/>
        <item x="20"/>
        <item x="57"/>
        <item x="50"/>
        <item x="4"/>
        <item x="5"/>
        <item x="42"/>
        <item x="48"/>
        <item m="1" x="68"/>
        <item x="6"/>
        <item x="58"/>
        <item x="18"/>
        <item x="46"/>
        <item x="27"/>
        <item m="1" x="69"/>
        <item x="65"/>
        <item x="7"/>
        <item x="8"/>
        <item x="17"/>
        <item x="9"/>
        <item x="32"/>
        <item x="52"/>
        <item x="29"/>
        <item x="10"/>
        <item x="11"/>
        <item x="12"/>
        <item x="45"/>
        <item x="40"/>
        <item x="51"/>
        <item x="39"/>
        <item x="34"/>
        <item x="38"/>
        <item x="35"/>
        <item x="13"/>
        <item x="14"/>
        <item x="15"/>
        <item x="16"/>
        <item x="22"/>
        <item x="21"/>
        <item x="24"/>
        <item x="26"/>
        <item x="25"/>
        <item x="59"/>
        <item x="54"/>
        <item x="61"/>
        <item x="28"/>
        <item x="64"/>
        <item x="30"/>
        <item x="49"/>
        <item x="37"/>
        <item x="55"/>
        <item x="47"/>
        <item x="60"/>
        <item x="56"/>
        <item x="63"/>
        <item x="67"/>
        <item t="default"/>
      </items>
    </pivotField>
    <pivotField showAll="0"/>
    <pivotField dataField="1" showAll="0"/>
    <pivotField showAll="0"/>
    <pivotField axis="axisCol" showAll="0">
      <items count="40">
        <item x="25"/>
        <item x="4"/>
        <item x="36"/>
        <item x="38"/>
        <item x="37"/>
        <item x="7"/>
        <item x="6"/>
        <item x="3"/>
        <item x="5"/>
        <item x="0"/>
        <item x="9"/>
        <item x="11"/>
        <item x="8"/>
        <item x="31"/>
        <item x="32"/>
        <item x="33"/>
        <item x="29"/>
        <item x="16"/>
        <item x="24"/>
        <item x="26"/>
        <item x="22"/>
        <item x="17"/>
        <item x="15"/>
        <item x="18"/>
        <item x="2"/>
        <item x="1"/>
        <item x="23"/>
        <item x="34"/>
        <item x="35"/>
        <item x="30"/>
        <item x="28"/>
        <item x="10"/>
        <item x="21"/>
        <item x="20"/>
        <item x="19"/>
        <item x="12"/>
        <item x="13"/>
        <item x="27"/>
        <item x="14"/>
        <item t="default"/>
      </items>
    </pivotField>
    <pivotField axis="axisCol" subtotalTop="0" showAll="0" defaultSubtotal="0">
      <items count="3">
        <item x="2"/>
        <item x="1"/>
        <item x="0"/>
      </items>
    </pivotField>
    <pivotField axis="axisCol" showAll="0" defaultSubtotal="0">
      <items count="7">
        <item x="0"/>
        <item x="1"/>
        <item x="5"/>
        <item x="4"/>
        <item x="2"/>
        <item x="3"/>
        <item x="6"/>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8">
    <i>
      <x/>
    </i>
    <i>
      <x v="1"/>
    </i>
    <i>
      <x v="2"/>
    </i>
    <i>
      <x v="3"/>
    </i>
    <i>
      <x v="4"/>
    </i>
    <i>
      <x v="5"/>
    </i>
    <i>
      <x v="6"/>
    </i>
    <i>
      <x v="7"/>
    </i>
    <i>
      <x v="8"/>
    </i>
    <i>
      <x v="9"/>
    </i>
    <i>
      <x v="10"/>
    </i>
    <i>
      <x v="11"/>
    </i>
    <i>
      <x v="12"/>
    </i>
    <i>
      <x v="13"/>
    </i>
    <i>
      <x v="14"/>
    </i>
    <i>
      <x v="15"/>
    </i>
    <i>
      <x v="16"/>
    </i>
    <i>
      <x v="17"/>
    </i>
    <i>
      <x v="18"/>
    </i>
    <i>
      <x v="19"/>
    </i>
    <i>
      <x v="20"/>
    </i>
    <i>
      <x v="21"/>
    </i>
    <i>
      <x v="23"/>
    </i>
    <i>
      <x v="24"/>
    </i>
    <i>
      <x v="25"/>
    </i>
    <i>
      <x v="26"/>
    </i>
    <i>
      <x v="27"/>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rowItems>
  <colFields count="3">
    <field x="6"/>
    <field x="7"/>
    <field x="5"/>
  </colFields>
  <colItems count="39">
    <i>
      <x/>
      <x v="6"/>
      <x v="2"/>
    </i>
    <i r="2">
      <x v="3"/>
    </i>
    <i r="2">
      <x v="4"/>
    </i>
    <i>
      <x v="1"/>
      <x v="2"/>
      <x v="13"/>
    </i>
    <i r="2">
      <x v="14"/>
    </i>
    <i r="2">
      <x v="15"/>
    </i>
    <i r="2">
      <x v="27"/>
    </i>
    <i r="2">
      <x v="28"/>
    </i>
    <i r="1">
      <x v="4"/>
      <x v="16"/>
    </i>
    <i r="2">
      <x v="29"/>
    </i>
    <i r="2">
      <x v="30"/>
    </i>
    <i>
      <x v="2"/>
      <x/>
      <x v="1"/>
    </i>
    <i r="2">
      <x v="5"/>
    </i>
    <i r="2">
      <x v="6"/>
    </i>
    <i r="2">
      <x v="7"/>
    </i>
    <i r="2">
      <x v="8"/>
    </i>
    <i r="2">
      <x v="9"/>
    </i>
    <i r="2">
      <x v="24"/>
    </i>
    <i r="2">
      <x v="25"/>
    </i>
    <i r="1">
      <x v="1"/>
      <x v="10"/>
    </i>
    <i r="2">
      <x v="11"/>
    </i>
    <i r="2">
      <x v="12"/>
    </i>
    <i r="2">
      <x v="31"/>
    </i>
    <i r="2">
      <x v="35"/>
    </i>
    <i r="2">
      <x v="36"/>
    </i>
    <i r="2">
      <x v="38"/>
    </i>
    <i r="1">
      <x v="3"/>
      <x/>
    </i>
    <i r="2">
      <x v="18"/>
    </i>
    <i r="2">
      <x v="19"/>
    </i>
    <i r="2">
      <x v="20"/>
    </i>
    <i r="2">
      <x v="26"/>
    </i>
    <i r="2">
      <x v="37"/>
    </i>
    <i r="1">
      <x v="4"/>
      <x v="17"/>
    </i>
    <i r="2">
      <x v="21"/>
    </i>
    <i r="2">
      <x v="22"/>
    </i>
    <i r="2">
      <x v="23"/>
    </i>
    <i r="1">
      <x v="5"/>
      <x v="32"/>
    </i>
    <i r="2">
      <x v="33"/>
    </i>
    <i r="2">
      <x v="34"/>
    </i>
  </colItems>
  <dataFields count="1">
    <dataField name="Sum of indicator_total_weighted_points" fld="3" baseField="0" baseItem="0"/>
  </dataFields>
  <formats count="2">
    <format dxfId="239">
      <pivotArea outline="0" collapsedLevelsAreSubtotals="1" fieldPosition="0"/>
    </format>
    <format dxfId="238">
      <pivotArea dataOnly="0" outline="0" fieldPosition="0">
        <references count="1">
          <reference field="5" count="1">
            <x v="2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13.xml><?xml version="1.0" encoding="utf-8"?>
<pivotTableDefinition xmlns="http://schemas.openxmlformats.org/spreadsheetml/2006/main" name="PivotTable27" cacheId="3" applyNumberFormats="0" applyBorderFormats="0" applyFontFormats="0" applyPatternFormats="0" applyAlignmentFormats="0" applyWidthHeightFormats="1" dataCaption="Values" updatedVersion="5" minRefreshableVersion="3" useAutoFormatting="1" rowGrandTotals="0" itemPrintTitles="1" createdVersion="5" indent="0" outline="1" outlineData="1" multipleFieldFilters="0" chartFormat="31" rowHeaderCaption="Donor Names">
  <location ref="B3:C71" firstHeaderRow="1" firstDataRow="1" firstDataCol="1"/>
  <pivotFields count="27">
    <pivotField showAll="0"/>
    <pivotField axis="axisRow" showAll="0" sortType="ascending">
      <items count="71">
        <item x="31"/>
        <item x="19"/>
        <item x="66"/>
        <item x="0"/>
        <item x="43"/>
        <item x="23"/>
        <item x="41"/>
        <item x="33"/>
        <item x="62"/>
        <item x="1"/>
        <item x="44"/>
        <item x="2"/>
        <item x="36"/>
        <item x="3"/>
        <item x="53"/>
        <item x="20"/>
        <item x="57"/>
        <item x="50"/>
        <item x="4"/>
        <item x="5"/>
        <item x="42"/>
        <item x="48"/>
        <item m="1" x="68"/>
        <item x="67"/>
        <item x="6"/>
        <item x="58"/>
        <item x="18"/>
        <item x="63"/>
        <item x="46"/>
        <item x="27"/>
        <item m="1" x="69"/>
        <item x="65"/>
        <item x="7"/>
        <item x="8"/>
        <item x="17"/>
        <item x="9"/>
        <item x="32"/>
        <item x="52"/>
        <item x="29"/>
        <item x="10"/>
        <item x="11"/>
        <item x="12"/>
        <item x="45"/>
        <item x="40"/>
        <item x="51"/>
        <item x="39"/>
        <item x="34"/>
        <item x="38"/>
        <item x="35"/>
        <item x="13"/>
        <item x="14"/>
        <item x="15"/>
        <item x="16"/>
        <item x="22"/>
        <item x="21"/>
        <item x="24"/>
        <item x="26"/>
        <item x="25"/>
        <item x="59"/>
        <item x="54"/>
        <item x="61"/>
        <item x="28"/>
        <item x="64"/>
        <item x="30"/>
        <item x="49"/>
        <item x="37"/>
        <item x="55"/>
        <item x="47"/>
        <item x="60"/>
        <item x="56"/>
        <item t="default"/>
      </items>
    </pivotField>
    <pivotField showAll="0" sortType="descending">
      <autoSortScope>
        <pivotArea dataOnly="0" outline="0" fieldPosition="0">
          <references count="1">
            <reference field="4294967294" count="1" selected="0">
              <x v="0"/>
            </reference>
          </references>
        </pivotArea>
      </autoSortScope>
    </pivotField>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8">
    <i>
      <x/>
    </i>
    <i>
      <x v="1"/>
    </i>
    <i>
      <x v="2"/>
    </i>
    <i>
      <x v="3"/>
    </i>
    <i>
      <x v="4"/>
    </i>
    <i>
      <x v="5"/>
    </i>
    <i>
      <x v="6"/>
    </i>
    <i>
      <x v="7"/>
    </i>
    <i>
      <x v="8"/>
    </i>
    <i>
      <x v="9"/>
    </i>
    <i>
      <x v="10"/>
    </i>
    <i>
      <x v="11"/>
    </i>
    <i>
      <x v="12"/>
    </i>
    <i>
      <x v="13"/>
    </i>
    <i>
      <x v="14"/>
    </i>
    <i>
      <x v="15"/>
    </i>
    <i>
      <x v="16"/>
    </i>
    <i>
      <x v="17"/>
    </i>
    <i>
      <x v="18"/>
    </i>
    <i>
      <x v="19"/>
    </i>
    <i>
      <x v="20"/>
    </i>
    <i>
      <x v="21"/>
    </i>
    <i>
      <x v="23"/>
    </i>
    <i>
      <x v="24"/>
    </i>
    <i>
      <x v="25"/>
    </i>
    <i>
      <x v="26"/>
    </i>
    <i>
      <x v="27"/>
    </i>
    <i>
      <x v="28"/>
    </i>
    <i>
      <x v="29"/>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rowItems>
  <colItems count="1">
    <i/>
  </colItems>
  <dataFields count="1">
    <dataField name="Sum of indicator_total_weighted_points" fld="3" baseField="0" baseItem="0" numFmtId="2"/>
  </dataFields>
  <formats count="45">
    <format dxfId="110">
      <pivotArea outline="0" collapsedLevelsAreSubtotals="1" fieldPosition="0"/>
    </format>
    <format dxfId="109">
      <pivotArea collapsedLevelsAreSubtotals="1" fieldPosition="0">
        <references count="1">
          <reference field="1" count="3">
            <x v="25"/>
            <x v="53"/>
            <x v="55"/>
          </reference>
        </references>
      </pivotArea>
    </format>
    <format dxfId="108">
      <pivotArea collapsedLevelsAreSubtotals="1" fieldPosition="0">
        <references count="1">
          <reference field="1" count="1">
            <x v="57"/>
          </reference>
        </references>
      </pivotArea>
    </format>
    <format dxfId="107">
      <pivotArea collapsedLevelsAreSubtotals="1" fieldPosition="0">
        <references count="1">
          <reference field="1" count="2">
            <x v="1"/>
            <x v="54"/>
          </reference>
        </references>
      </pivotArea>
    </format>
    <format dxfId="106">
      <pivotArea collapsedLevelsAreSubtotals="1" fieldPosition="0">
        <references count="1">
          <reference field="1" count="1">
            <x v="67"/>
          </reference>
        </references>
      </pivotArea>
    </format>
    <format dxfId="105">
      <pivotArea collapsedLevelsAreSubtotals="1" fieldPosition="0">
        <references count="1">
          <reference field="1" count="1">
            <x v="5"/>
          </reference>
        </references>
      </pivotArea>
    </format>
    <format dxfId="104">
      <pivotArea collapsedLevelsAreSubtotals="1" fieldPosition="0">
        <references count="1">
          <reference field="1" count="2">
            <x v="50"/>
            <x v="64"/>
          </reference>
        </references>
      </pivotArea>
    </format>
    <format dxfId="103">
      <pivotArea outline="0" collapsedLevelsAreSubtotals="1" fieldPosition="0"/>
    </format>
    <format dxfId="102">
      <pivotArea dataOnly="0" labelOnly="1" fieldPosition="0">
        <references count="1">
          <reference field="1" count="50">
            <x v="0"/>
            <x v="1"/>
            <x v="2"/>
            <x v="3"/>
            <x v="4"/>
            <x v="7"/>
            <x v="11"/>
            <x v="12"/>
            <x v="13"/>
            <x v="14"/>
            <x v="15"/>
            <x v="16"/>
            <x v="17"/>
            <x v="18"/>
            <x v="19"/>
            <x v="20"/>
            <x v="21"/>
            <x v="22"/>
            <x v="25"/>
            <x v="26"/>
            <x v="28"/>
            <x v="29"/>
            <x v="31"/>
            <x v="34"/>
            <x v="35"/>
            <x v="36"/>
            <x v="38"/>
            <x v="40"/>
            <x v="41"/>
            <x v="43"/>
            <x v="45"/>
            <x v="46"/>
            <x v="47"/>
            <x v="49"/>
            <x v="53"/>
            <x v="54"/>
            <x v="55"/>
            <x v="56"/>
            <x v="57"/>
            <x v="58"/>
            <x v="59"/>
            <x v="60"/>
            <x v="61"/>
            <x v="62"/>
            <x v="63"/>
            <x v="65"/>
            <x v="66"/>
            <x v="67"/>
            <x v="68"/>
            <x v="69"/>
          </reference>
        </references>
      </pivotArea>
    </format>
    <format dxfId="101">
      <pivotArea dataOnly="0" labelOnly="1" fieldPosition="0">
        <references count="1">
          <reference field="1" count="1">
            <x v="5"/>
          </reference>
        </references>
      </pivotArea>
    </format>
    <format dxfId="100">
      <pivotArea dataOnly="0" labelOnly="1" fieldPosition="0">
        <references count="1">
          <reference field="1" count="3">
            <x v="25"/>
            <x v="53"/>
            <x v="55"/>
          </reference>
        </references>
      </pivotArea>
    </format>
    <format dxfId="99">
      <pivotArea dataOnly="0" labelOnly="1" fieldPosition="0">
        <references count="1">
          <reference field="1" count="1">
            <x v="57"/>
          </reference>
        </references>
      </pivotArea>
    </format>
    <format dxfId="98">
      <pivotArea dataOnly="0" labelOnly="1" fieldPosition="0">
        <references count="1">
          <reference field="1" count="2">
            <x v="1"/>
            <x v="54"/>
          </reference>
        </references>
      </pivotArea>
    </format>
    <format dxfId="97">
      <pivotArea outline="0" collapsedLevelsAreSubtotals="1" fieldPosition="0"/>
    </format>
    <format dxfId="96">
      <pivotArea dataOnly="0" labelOnly="1" fieldPosition="0">
        <references count="1">
          <reference field="1" count="50">
            <x v="0"/>
            <x v="1"/>
            <x v="2"/>
            <x v="3"/>
            <x v="4"/>
            <x v="7"/>
            <x v="11"/>
            <x v="12"/>
            <x v="13"/>
            <x v="14"/>
            <x v="15"/>
            <x v="16"/>
            <x v="17"/>
            <x v="18"/>
            <x v="19"/>
            <x v="20"/>
            <x v="21"/>
            <x v="22"/>
            <x v="25"/>
            <x v="26"/>
            <x v="28"/>
            <x v="29"/>
            <x v="31"/>
            <x v="34"/>
            <x v="35"/>
            <x v="36"/>
            <x v="38"/>
            <x v="40"/>
            <x v="41"/>
            <x v="43"/>
            <x v="45"/>
            <x v="46"/>
            <x v="47"/>
            <x v="49"/>
            <x v="53"/>
            <x v="54"/>
            <x v="55"/>
            <x v="56"/>
            <x v="57"/>
            <x v="58"/>
            <x v="59"/>
            <x v="60"/>
            <x v="61"/>
            <x v="62"/>
            <x v="63"/>
            <x v="65"/>
            <x v="66"/>
            <x v="67"/>
            <x v="68"/>
            <x v="69"/>
          </reference>
        </references>
      </pivotArea>
    </format>
    <format dxfId="95">
      <pivotArea dataOnly="0" labelOnly="1" fieldPosition="0">
        <references count="1">
          <reference field="1" count="18">
            <x v="5"/>
            <x v="6"/>
            <x v="8"/>
            <x v="9"/>
            <x v="10"/>
            <x v="24"/>
            <x v="30"/>
            <x v="32"/>
            <x v="33"/>
            <x v="37"/>
            <x v="39"/>
            <x v="42"/>
            <x v="44"/>
            <x v="48"/>
            <x v="50"/>
            <x v="51"/>
            <x v="52"/>
            <x v="64"/>
          </reference>
        </references>
      </pivotArea>
    </format>
    <format dxfId="94">
      <pivotArea type="all" dataOnly="0" outline="0" fieldPosition="0"/>
    </format>
    <format dxfId="93">
      <pivotArea outline="0" collapsedLevelsAreSubtotals="1" fieldPosition="0"/>
    </format>
    <format dxfId="92">
      <pivotArea field="1" type="button" dataOnly="0" labelOnly="1" outline="0" axis="axisRow" fieldPosition="0"/>
    </format>
    <format dxfId="91">
      <pivotArea dataOnly="0" labelOnly="1" outline="0" axis="axisValues" fieldPosition="0"/>
    </format>
    <format dxfId="90">
      <pivotArea dataOnly="0" labelOnly="1" fieldPosition="0">
        <references count="1">
          <reference field="1" count="50">
            <x v="0"/>
            <x v="1"/>
            <x v="2"/>
            <x v="3"/>
            <x v="4"/>
            <x v="7"/>
            <x v="11"/>
            <x v="12"/>
            <x v="13"/>
            <x v="14"/>
            <x v="15"/>
            <x v="16"/>
            <x v="17"/>
            <x v="18"/>
            <x v="19"/>
            <x v="20"/>
            <x v="21"/>
            <x v="22"/>
            <x v="25"/>
            <x v="26"/>
            <x v="28"/>
            <x v="29"/>
            <x v="31"/>
            <x v="34"/>
            <x v="35"/>
            <x v="36"/>
            <x v="38"/>
            <x v="40"/>
            <x v="41"/>
            <x v="43"/>
            <x v="45"/>
            <x v="46"/>
            <x v="47"/>
            <x v="49"/>
            <x v="53"/>
            <x v="54"/>
            <x v="55"/>
            <x v="56"/>
            <x v="57"/>
            <x v="58"/>
            <x v="59"/>
            <x v="60"/>
            <x v="61"/>
            <x v="62"/>
            <x v="63"/>
            <x v="65"/>
            <x v="66"/>
            <x v="67"/>
            <x v="68"/>
            <x v="69"/>
          </reference>
        </references>
      </pivotArea>
    </format>
    <format dxfId="89">
      <pivotArea dataOnly="0" labelOnly="1" fieldPosition="0">
        <references count="1">
          <reference field="1" count="18">
            <x v="5"/>
            <x v="6"/>
            <x v="8"/>
            <x v="9"/>
            <x v="10"/>
            <x v="24"/>
            <x v="30"/>
            <x v="32"/>
            <x v="33"/>
            <x v="37"/>
            <x v="39"/>
            <x v="42"/>
            <x v="44"/>
            <x v="48"/>
            <x v="50"/>
            <x v="51"/>
            <x v="52"/>
            <x v="64"/>
          </reference>
        </references>
      </pivotArea>
    </format>
    <format dxfId="88">
      <pivotArea dataOnly="0" labelOnly="1" outline="0" axis="axisValues" fieldPosition="0"/>
    </format>
    <format dxfId="87">
      <pivotArea type="all" dataOnly="0" outline="0" fieldPosition="0"/>
    </format>
    <format dxfId="86">
      <pivotArea outline="0" collapsedLevelsAreSubtotals="1" fieldPosition="0"/>
    </format>
    <format dxfId="85">
      <pivotArea field="1" type="button" dataOnly="0" labelOnly="1" outline="0" axis="axisRow" fieldPosition="0"/>
    </format>
    <format dxfId="84">
      <pivotArea dataOnly="0" labelOnly="1" outline="0" axis="axisValues" fieldPosition="0"/>
    </format>
    <format dxfId="83">
      <pivotArea dataOnly="0" labelOnly="1" fieldPosition="0">
        <references count="1">
          <reference field="1" count="50">
            <x v="0"/>
            <x v="1"/>
            <x v="2"/>
            <x v="3"/>
            <x v="4"/>
            <x v="5"/>
            <x v="6"/>
            <x v="7"/>
            <x v="8"/>
            <x v="9"/>
            <x v="10"/>
            <x v="11"/>
            <x v="12"/>
            <x v="13"/>
            <x v="14"/>
            <x v="15"/>
            <x v="16"/>
            <x v="17"/>
            <x v="18"/>
            <x v="19"/>
            <x v="20"/>
            <x v="21"/>
            <x v="22"/>
            <x v="24"/>
            <x v="25"/>
            <x v="26"/>
            <x v="28"/>
            <x v="29"/>
            <x v="30"/>
            <x v="31"/>
            <x v="32"/>
            <x v="33"/>
            <x v="34"/>
            <x v="35"/>
            <x v="36"/>
            <x v="37"/>
            <x v="38"/>
            <x v="39"/>
            <x v="40"/>
            <x v="41"/>
            <x v="42"/>
            <x v="43"/>
            <x v="44"/>
            <x v="45"/>
            <x v="46"/>
            <x v="47"/>
            <x v="48"/>
            <x v="49"/>
            <x v="50"/>
            <x v="51"/>
          </reference>
        </references>
      </pivotArea>
    </format>
    <format dxfId="82">
      <pivotArea dataOnly="0" labelOnly="1" fieldPosition="0">
        <references count="1">
          <reference field="1" count="18">
            <x v="52"/>
            <x v="53"/>
            <x v="54"/>
            <x v="55"/>
            <x v="56"/>
            <x v="57"/>
            <x v="58"/>
            <x v="59"/>
            <x v="60"/>
            <x v="61"/>
            <x v="62"/>
            <x v="63"/>
            <x v="64"/>
            <x v="65"/>
            <x v="66"/>
            <x v="67"/>
            <x v="68"/>
            <x v="69"/>
          </reference>
        </references>
      </pivotArea>
    </format>
    <format dxfId="81">
      <pivotArea type="all" dataOnly="0" outline="0" fieldPosition="0"/>
    </format>
    <format dxfId="80">
      <pivotArea outline="0" collapsedLevelsAreSubtotals="1" fieldPosition="0"/>
    </format>
    <format dxfId="79">
      <pivotArea field="1" type="button" dataOnly="0" labelOnly="1" outline="0" axis="axisRow" fieldPosition="0"/>
    </format>
    <format dxfId="78">
      <pivotArea dataOnly="0" labelOnly="1" outline="0" axis="axisValues" fieldPosition="0"/>
    </format>
    <format dxfId="77">
      <pivotArea dataOnly="0" labelOnly="1" fieldPosition="0">
        <references count="1">
          <reference field="1" count="50">
            <x v="0"/>
            <x v="1"/>
            <x v="2"/>
            <x v="3"/>
            <x v="4"/>
            <x v="5"/>
            <x v="6"/>
            <x v="7"/>
            <x v="8"/>
            <x v="9"/>
            <x v="10"/>
            <x v="11"/>
            <x v="12"/>
            <x v="13"/>
            <x v="14"/>
            <x v="15"/>
            <x v="16"/>
            <x v="17"/>
            <x v="18"/>
            <x v="19"/>
            <x v="20"/>
            <x v="21"/>
            <x v="22"/>
            <x v="24"/>
            <x v="25"/>
            <x v="26"/>
            <x v="28"/>
            <x v="29"/>
            <x v="30"/>
            <x v="31"/>
            <x v="32"/>
            <x v="33"/>
            <x v="34"/>
            <x v="35"/>
            <x v="36"/>
            <x v="37"/>
            <x v="38"/>
            <x v="39"/>
            <x v="40"/>
            <x v="41"/>
            <x v="42"/>
            <x v="43"/>
            <x v="44"/>
            <x v="45"/>
            <x v="46"/>
            <x v="47"/>
            <x v="48"/>
            <x v="49"/>
            <x v="50"/>
            <x v="51"/>
          </reference>
        </references>
      </pivotArea>
    </format>
    <format dxfId="76">
      <pivotArea dataOnly="0" labelOnly="1" fieldPosition="0">
        <references count="1">
          <reference field="1" count="18">
            <x v="52"/>
            <x v="53"/>
            <x v="54"/>
            <x v="55"/>
            <x v="56"/>
            <x v="57"/>
            <x v="58"/>
            <x v="59"/>
            <x v="60"/>
            <x v="61"/>
            <x v="62"/>
            <x v="63"/>
            <x v="64"/>
            <x v="65"/>
            <x v="66"/>
            <x v="67"/>
            <x v="68"/>
            <x v="69"/>
          </reference>
        </references>
      </pivotArea>
    </format>
    <format dxfId="75">
      <pivotArea type="all" dataOnly="0" outline="0" fieldPosition="0"/>
    </format>
    <format dxfId="74">
      <pivotArea outline="0" collapsedLevelsAreSubtotals="1" fieldPosition="0"/>
    </format>
    <format dxfId="73">
      <pivotArea field="1" type="button" dataOnly="0" labelOnly="1" outline="0" axis="axisRow" fieldPosition="0"/>
    </format>
    <format dxfId="72">
      <pivotArea dataOnly="0" labelOnly="1" outline="0" axis="axisValues" fieldPosition="0"/>
    </format>
    <format dxfId="71">
      <pivotArea dataOnly="0" labelOnly="1" fieldPosition="0">
        <references count="1">
          <reference field="1" count="50">
            <x v="0"/>
            <x v="1"/>
            <x v="2"/>
            <x v="3"/>
            <x v="4"/>
            <x v="5"/>
            <x v="6"/>
            <x v="7"/>
            <x v="8"/>
            <x v="9"/>
            <x v="10"/>
            <x v="11"/>
            <x v="12"/>
            <x v="13"/>
            <x v="14"/>
            <x v="15"/>
            <x v="16"/>
            <x v="17"/>
            <x v="18"/>
            <x v="19"/>
            <x v="20"/>
            <x v="21"/>
            <x v="22"/>
            <x v="24"/>
            <x v="25"/>
            <x v="26"/>
            <x v="28"/>
            <x v="29"/>
            <x v="30"/>
            <x v="31"/>
            <x v="32"/>
            <x v="33"/>
            <x v="34"/>
            <x v="35"/>
            <x v="36"/>
            <x v="37"/>
            <x v="38"/>
            <x v="39"/>
            <x v="40"/>
            <x v="41"/>
            <x v="42"/>
            <x v="43"/>
            <x v="44"/>
            <x v="45"/>
            <x v="46"/>
            <x v="47"/>
            <x v="48"/>
            <x v="49"/>
            <x v="50"/>
            <x v="51"/>
          </reference>
        </references>
      </pivotArea>
    </format>
    <format dxfId="70">
      <pivotArea dataOnly="0" labelOnly="1" fieldPosition="0">
        <references count="1">
          <reference field="1" count="18">
            <x v="52"/>
            <x v="53"/>
            <x v="54"/>
            <x v="55"/>
            <x v="56"/>
            <x v="57"/>
            <x v="58"/>
            <x v="59"/>
            <x v="60"/>
            <x v="61"/>
            <x v="62"/>
            <x v="63"/>
            <x v="64"/>
            <x v="65"/>
            <x v="66"/>
            <x v="67"/>
            <x v="68"/>
            <x v="69"/>
          </reference>
        </references>
      </pivotArea>
    </format>
    <format dxfId="69">
      <pivotArea field="1" type="button" dataOnly="0" labelOnly="1" outline="0" axis="axisRow" fieldPosition="0"/>
    </format>
    <format dxfId="68">
      <pivotArea dataOnly="0" labelOnly="1" outline="0" axis="axisValues" fieldPosition="0"/>
    </format>
    <format dxfId="67">
      <pivotArea field="1" type="button" dataOnly="0" labelOnly="1" outline="0" axis="axisRow" fieldPosition="0"/>
    </format>
    <format dxfId="66">
      <pivotArea dataOnly="0" labelOnly="1" outline="0" axis="axisValues" fieldPosition="0"/>
    </format>
  </formats>
  <chartFormats count="1">
    <chartFormat chart="0" format="0" series="1">
      <pivotArea type="data" outline="0" fieldPosition="0">
        <references count="1">
          <reference field="4294967294" count="1" selected="0">
            <x v="0"/>
          </reference>
        </references>
      </pivotArea>
    </chartFormat>
  </chartFormats>
  <pivotTableStyleInfo name="PivotStyleMedium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14.xml><?xml version="1.0" encoding="utf-8"?>
<pivotTableDefinition xmlns="http://schemas.openxmlformats.org/spreadsheetml/2006/main" name="PivotTable29" cacheId="1"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location ref="A74:G81" firstHeaderRow="1" firstDataRow="2" firstDataCol="1"/>
  <pivotFields count="7">
    <pivotField showAll="0"/>
    <pivotField showAll="0"/>
    <pivotField numFmtId="2" showAll="0"/>
    <pivotField showAll="0"/>
    <pivotField axis="axisRow" showAll="0">
      <items count="6">
        <item x="1"/>
        <item x="0"/>
        <item x="2"/>
        <item x="4"/>
        <item x="3"/>
        <item t="default"/>
      </items>
    </pivotField>
    <pivotField numFmtId="1" showAll="0"/>
    <pivotField axis="axisCol" dataField="1" showAll="0">
      <items count="6">
        <item x="4"/>
        <item x="0"/>
        <item x="1"/>
        <item x="3"/>
        <item x="2"/>
        <item t="default"/>
      </items>
    </pivotField>
  </pivotFields>
  <rowFields count="1">
    <field x="4"/>
  </rowFields>
  <rowItems count="6">
    <i>
      <x/>
    </i>
    <i>
      <x v="1"/>
    </i>
    <i>
      <x v="2"/>
    </i>
    <i>
      <x v="3"/>
    </i>
    <i>
      <x v="4"/>
    </i>
    <i t="grand">
      <x/>
    </i>
  </rowItems>
  <colFields count="1">
    <field x="6"/>
  </colFields>
  <colItems count="6">
    <i>
      <x/>
    </i>
    <i>
      <x v="1"/>
    </i>
    <i>
      <x v="2"/>
    </i>
    <i>
      <x v="3"/>
    </i>
    <i>
      <x v="4"/>
    </i>
    <i t="grand">
      <x/>
    </i>
  </colItems>
  <dataFields count="1">
    <dataField name="Count of Size group" fld="6"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total_points" sourceName="total_points">
  <pivotTables>
    <pivotTable tabId="16" name="Format of publication for 22 indicators"/>
  </pivotTables>
  <data>
    <tabular pivotCacheId="1">
      <items count="720">
        <i x="0"/>
        <i x="10" s="1"/>
        <i x="3" s="1"/>
        <i x="4" s="1"/>
        <i x="9" s="1"/>
        <i x="164" s="1"/>
        <i x="1" s="1"/>
        <i x="2" s="1"/>
        <i x="54" s="1"/>
        <i x="59" s="1"/>
        <i x="153" s="1"/>
        <i x="67" s="1"/>
        <i x="88" s="1"/>
        <i x="308" s="1"/>
        <i x="78" s="1"/>
        <i x="126" s="1"/>
        <i x="49" s="1"/>
        <i x="146" s="1"/>
        <i x="171" s="1"/>
        <i x="305" s="1"/>
        <i x="259" s="1"/>
        <i x="299" s="1"/>
        <i x="268" s="1"/>
        <i x="80" s="1"/>
        <i x="161" s="1"/>
        <i x="133" s="1"/>
        <i x="242" s="1"/>
        <i x="244" s="1"/>
        <i x="162" s="1"/>
        <i x="107" s="1"/>
        <i x="62" s="1"/>
        <i x="147" s="1"/>
        <i x="221" s="1"/>
        <i x="167" s="1"/>
        <i x="64" s="1"/>
        <i x="108" s="1"/>
        <i x="218" s="1"/>
        <i x="160" s="1"/>
        <i x="41" s="1"/>
        <i x="131" s="1"/>
        <i x="135" s="1"/>
        <i x="136" s="1"/>
        <i x="198" s="1"/>
        <i x="134" s="1"/>
        <i x="275" s="1"/>
        <i x="48" s="1"/>
        <i x="208" s="1"/>
        <i x="189" s="1"/>
        <i x="19" s="1"/>
        <i x="47" s="1"/>
        <i x="255" s="1"/>
        <i x="145" s="1"/>
        <i x="89" s="1"/>
        <i x="14" s="1"/>
        <i x="28" s="1"/>
        <i x="243" s="1"/>
        <i x="240" s="1"/>
        <i x="239" s="1"/>
        <i x="122" s="1"/>
        <i x="241" s="1"/>
        <i x="132" s="1"/>
        <i x="30" s="1"/>
        <i x="159" s="1"/>
        <i x="96" s="1"/>
        <i x="152" s="1"/>
        <i x="181" s="1"/>
        <i x="307" s="1"/>
        <i x="151" s="1"/>
        <i x="103" s="1"/>
        <i x="85" s="1"/>
        <i x="201" s="1"/>
        <i x="144" s="1"/>
        <i x="150" s="1"/>
        <i x="112" s="1"/>
        <i x="251" s="1"/>
        <i x="63" s="1"/>
        <i x="91" s="1"/>
        <i x="83" s="1"/>
        <i x="117" s="1"/>
        <i x="230" s="1"/>
        <i x="46" s="1"/>
        <i x="300" s="1"/>
        <i x="114" s="1"/>
        <i x="192" s="1"/>
        <i x="123" s="1"/>
        <i x="270" s="1"/>
        <i x="211" s="1"/>
        <i x="34" s="1"/>
        <i x="237" s="1"/>
        <i x="205" s="1"/>
        <i x="116" s="1"/>
        <i x="97" s="1"/>
        <i x="293" s="1"/>
        <i x="142" s="1"/>
        <i x="35" s="1"/>
        <i x="111" s="1"/>
        <i x="252" s="1"/>
        <i x="16" s="1"/>
        <i x="94" s="1"/>
        <i x="98" s="1"/>
        <i x="202" s="1"/>
        <i x="44" s="1"/>
        <i x="79" s="1"/>
        <i x="303" s="1"/>
        <i x="168" s="1"/>
        <i x="269" s="1"/>
        <i x="247" s="1"/>
        <i x="283" s="1"/>
        <i x="207" s="1"/>
        <i x="11" s="1"/>
        <i x="109" s="1"/>
        <i x="206" s="1"/>
        <i x="262" s="1"/>
        <i x="149" s="1"/>
        <i x="186" s="1"/>
        <i x="27" s="1"/>
        <i x="176" s="1"/>
        <i x="52" s="1"/>
        <i x="182" s="1"/>
        <i x="196" s="1"/>
        <i x="195" s="1"/>
        <i x="140" s="1"/>
        <i x="197" s="1"/>
        <i x="190" s="1"/>
        <i x="118" s="1"/>
        <i x="148" s="1"/>
        <i x="232" s="1"/>
        <i x="178" s="1"/>
        <i x="266" s="1"/>
        <i x="53" s="1"/>
        <i x="15" s="1"/>
        <i x="306" s="1"/>
        <i x="188" s="1"/>
        <i x="42" s="1"/>
        <i x="183" s="1"/>
        <i x="121" s="1"/>
        <i x="249" s="1"/>
        <i x="304" s="1"/>
        <i x="187" s="1"/>
        <i x="141" s="1"/>
        <i x="119" s="1"/>
        <i x="193" s="1"/>
        <i x="203" s="1"/>
        <i x="43" s="1"/>
        <i x="301" s="1"/>
        <i x="139" s="1"/>
        <i x="194" s="1"/>
        <i x="110" s="1"/>
        <i x="120" s="1"/>
        <i x="200" s="1"/>
        <i x="13" s="1"/>
        <i x="138" s="1"/>
        <i x="295" s="1"/>
        <i x="297" s="1"/>
        <i x="191" s="1"/>
        <i x="248" s="1"/>
        <i x="45" s="1"/>
        <i x="204" s="1"/>
        <i x="177" s="1"/>
        <i x="17" s="1"/>
        <i x="302" s="1"/>
        <i x="294" s="1"/>
        <i x="33" s="1"/>
        <i x="296" s="1"/>
        <i x="250" s="1"/>
        <i x="113" s="1"/>
        <i x="84" s="1"/>
        <i x="12" s="1"/>
        <i x="231" s="1"/>
        <i x="61" s="1"/>
        <i x="156" s="1"/>
        <i x="246" s="1"/>
        <i x="213" s="1"/>
        <i x="77" s="1"/>
        <i x="272" s="1"/>
        <i x="216" s="1"/>
        <i x="236" s="1"/>
        <i x="73" s="1"/>
        <i x="233" s="1"/>
        <i x="288" s="1"/>
        <i x="106" s="1"/>
        <i x="157" s="1"/>
        <i x="235" s="1"/>
        <i x="284" s="1"/>
        <i x="60" s="1"/>
        <i x="271" s="1"/>
        <i x="75" s="1"/>
        <i x="105" s="1"/>
        <i x="169" s="1"/>
        <i x="173" s="1"/>
        <i x="212" s="1"/>
        <i x="29" s="1"/>
        <i x="172" s="1"/>
        <i x="234" s="1"/>
        <i x="261" s="1"/>
        <i x="215" s="1"/>
        <i x="214" s="1"/>
        <i x="104" s="1"/>
        <i x="86" s="1"/>
        <i x="174" s="1"/>
        <i x="285" s="1"/>
        <i x="267" s="1"/>
        <i x="158" s="1"/>
        <i x="265" s="1"/>
        <i x="286" s="1"/>
        <i x="102" s="1"/>
        <i x="264" s="1"/>
        <i x="76" s="1"/>
        <i x="51" s="1"/>
        <i x="58" s="1"/>
        <i x="87" s="1"/>
        <i x="170" s="1"/>
        <i x="55" s="1"/>
        <i x="217" s="1"/>
        <i x="263" s="1"/>
        <i x="57" s="1"/>
        <i x="56" s="1"/>
        <i x="5" s="1"/>
        <i x="8" s="1" nd="1"/>
        <i x="310" s="1" nd="1"/>
        <i x="179" s="1" nd="1"/>
        <i x="101" s="1" nd="1"/>
        <i x="95" s="1" nd="1"/>
        <i x="165" s="1" nd="1"/>
        <i x="601" nd="1"/>
        <i x="166" s="1" nd="1"/>
        <i x="245" s="1" nd="1"/>
        <i x="298" s="1" nd="1"/>
        <i x="7" s="1" nd="1"/>
        <i x="334" nd="1"/>
        <i x="459" nd="1"/>
        <i x="444" nd="1"/>
        <i x="676" nd="1"/>
        <i x="369" nd="1"/>
        <i x="641" nd="1"/>
        <i x="713" nd="1"/>
        <i x="705" nd="1"/>
        <i x="99" s="1" nd="1"/>
        <i x="591" nd="1"/>
        <i x="184" s="1" nd="1"/>
        <i x="389" nd="1"/>
        <i x="508" nd="1"/>
        <i x="309" s="1" nd="1"/>
        <i x="361" nd="1"/>
        <i x="704" nd="1"/>
        <i x="72" s="1" nd="1"/>
        <i x="347" nd="1"/>
        <i x="533" nd="1"/>
        <i x="390" nd="1"/>
        <i x="690" nd="1"/>
        <i x="706" nd="1"/>
        <i x="338" nd="1"/>
        <i x="358" nd="1"/>
        <i x="66" s="1" nd="1"/>
        <i x="476" nd="1"/>
        <i x="154" s="1" nd="1"/>
        <i x="694" nd="1"/>
        <i x="703" nd="1"/>
        <i x="517" nd="1"/>
        <i x="600" nd="1"/>
        <i x="374" nd="1"/>
        <i x="129" s="1" nd="1"/>
        <i x="697" nd="1"/>
        <i x="350" nd="1"/>
        <i x="514" nd="1"/>
        <i x="375" nd="1"/>
        <i x="477" nd="1"/>
        <i x="185" s="1" nd="1"/>
        <i x="364" nd="1"/>
        <i x="522" nd="1"/>
        <i x="100" s="1" nd="1"/>
        <i x="569" nd="1"/>
        <i x="519" nd="1"/>
        <i x="69" s="1" nd="1"/>
        <i x="534" nd="1"/>
        <i x="695" nd="1"/>
        <i x="447" nd="1"/>
        <i x="311" nd="1"/>
        <i x="124" s="1" nd="1"/>
        <i x="352" nd="1"/>
        <i x="279" s="1" nd="1"/>
        <i x="589" nd="1"/>
        <i x="68" s="1" nd="1"/>
        <i x="366" nd="1"/>
        <i x="518" nd="1"/>
        <i x="70" s="1" nd="1"/>
        <i x="610" nd="1"/>
        <i x="660" nd="1"/>
        <i x="349" nd="1"/>
        <i x="684" nd="1"/>
        <i x="227" s="1" nd="1"/>
        <i x="525" nd="1"/>
        <i x="666" nd="1"/>
        <i x="692" nd="1"/>
        <i x="592" nd="1"/>
        <i x="436" nd="1"/>
        <i x="143" s="1" nd="1"/>
        <i x="466" nd="1"/>
        <i x="359" nd="1"/>
        <i x="401" nd="1"/>
        <i x="128" s="1" nd="1"/>
        <i x="127" s="1" nd="1"/>
        <i x="661" nd="1"/>
        <i x="583" nd="1"/>
        <i x="333" nd="1"/>
        <i x="469" nd="1"/>
        <i x="406" nd="1"/>
        <i x="125" s="1" nd="1"/>
        <i x="644" nd="1"/>
        <i x="71" s="1" nd="1"/>
        <i x="544" nd="1"/>
        <i x="357" nd="1"/>
        <i x="351" nd="1"/>
        <i x="281" s="1" nd="1"/>
        <i x="509" nd="1"/>
        <i x="659" nd="1"/>
        <i x="353" nd="1"/>
        <i x="561" nd="1"/>
        <i x="502" nd="1"/>
        <i x="597" nd="1"/>
        <i x="617" nd="1"/>
        <i x="224" s="1" nd="1"/>
        <i x="277" s="1" nd="1"/>
        <i x="717" nd="1"/>
        <i x="474" nd="1"/>
        <i x="344" nd="1"/>
        <i x="470" nd="1"/>
        <i x="92" s="1" nd="1"/>
        <i x="410" nd="1"/>
        <i x="50" s="1" nd="1"/>
        <i x="556" nd="1"/>
        <i x="82" s="1" nd="1"/>
        <i x="456" nd="1"/>
        <i x="23" s="1" nd="1"/>
        <i x="323" nd="1"/>
        <i x="495" nd="1"/>
        <i x="81" s="1" nd="1"/>
        <i x="590" nd="1"/>
        <i x="25" s="1" nd="1"/>
        <i x="329" nd="1"/>
        <i x="115" s="1" nd="1"/>
        <i x="383" nd="1"/>
        <i x="540" nd="1"/>
        <i x="542" nd="1"/>
        <i x="337" nd="1"/>
        <i x="546" nd="1"/>
        <i x="587" nd="1"/>
        <i x="554" nd="1"/>
        <i x="652" nd="1"/>
        <i x="438" nd="1"/>
        <i x="679" nd="1"/>
        <i x="529" nd="1"/>
        <i x="6" s="1" nd="1"/>
        <i x="409" nd="1"/>
        <i x="155" s="1" nd="1"/>
        <i x="588" nd="1"/>
        <i x="209" s="1" nd="1"/>
        <i x="253" s="1" nd="1"/>
        <i x="422" nd="1"/>
        <i x="511" nd="1"/>
        <i x="37" s="1" nd="1"/>
        <i x="687" nd="1"/>
        <i x="487" nd="1"/>
        <i x="472" nd="1"/>
        <i x="392" nd="1"/>
        <i x="377" nd="1"/>
        <i x="336" nd="1"/>
        <i x="137" s="1" nd="1"/>
        <i x="621" nd="1"/>
        <i x="716" nd="1"/>
        <i x="483" nd="1"/>
        <i x="481" nd="1"/>
        <i x="292" s="1" nd="1"/>
        <i x="683" nd="1"/>
        <i x="599" nd="1"/>
        <i x="387" nd="1"/>
        <i x="606" nd="1"/>
        <i x="566" nd="1"/>
        <i x="605" nd="1"/>
        <i x="492" nd="1"/>
        <i x="36" s="1" nd="1"/>
        <i x="452" nd="1"/>
        <i x="343" nd="1"/>
        <i x="609" nd="1"/>
        <i x="423" nd="1"/>
        <i x="321" nd="1"/>
        <i x="342" nd="1"/>
        <i x="427" nd="1"/>
        <i x="332" nd="1"/>
        <i x="26" s="1" nd="1"/>
        <i x="507" nd="1"/>
        <i x="318" nd="1"/>
        <i x="613" nd="1"/>
        <i x="718" nd="1"/>
        <i x="680" nd="1"/>
        <i x="653" nd="1"/>
        <i x="701" nd="1"/>
        <i x="631" nd="1"/>
        <i x="545" nd="1"/>
        <i x="408" nd="1"/>
        <i x="439" nd="1"/>
        <i x="175" s="1" nd="1"/>
        <i x="665" nd="1"/>
        <i x="278" s="1" nd="1"/>
        <i x="506" nd="1"/>
        <i x="516" nd="1"/>
        <i x="496" nd="1"/>
        <i x="238" s="1" nd="1"/>
        <i x="657" nd="1"/>
        <i x="65" s="1" nd="1"/>
        <i x="719" nd="1"/>
        <i x="629" nd="1"/>
        <i x="572" nd="1"/>
        <i x="638" nd="1"/>
        <i x="365" nd="1"/>
        <i x="464" nd="1"/>
        <i x="355" nd="1"/>
        <i x="226" s="1" nd="1"/>
        <i x="220" s="1" nd="1"/>
        <i x="567" nd="1"/>
        <i x="658" nd="1"/>
        <i x="276" s="1" nd="1"/>
        <i x="650" nd="1"/>
        <i x="497" nd="1"/>
        <i x="391" nd="1"/>
        <i x="396" nd="1"/>
        <i x="442" nd="1"/>
        <i x="530" nd="1"/>
        <i x="340" nd="1"/>
        <i x="345" nd="1"/>
        <i x="222" s="1" nd="1"/>
        <i x="643" nd="1"/>
        <i x="535" nd="1"/>
        <i x="558" nd="1"/>
        <i x="455" nd="1"/>
        <i x="515" nd="1"/>
        <i x="709" nd="1"/>
        <i x="223" s="1" nd="1"/>
        <i x="651" nd="1"/>
        <i x="316" nd="1"/>
        <i x="314" nd="1"/>
        <i x="445" nd="1"/>
        <i x="274" s="1" nd="1"/>
        <i x="467" nd="1"/>
        <i x="553" nd="1"/>
        <i x="491" nd="1"/>
        <i x="642" nd="1"/>
        <i x="440" nd="1"/>
        <i x="393" nd="1"/>
        <i x="615" nd="1"/>
        <i x="699" nd="1"/>
        <i x="431" nd="1"/>
        <i x="354" nd="1"/>
        <i x="618" nd="1"/>
        <i x="584" nd="1"/>
        <i x="498" nd="1"/>
        <i x="22" s="1" nd="1"/>
        <i x="199" s="1" nd="1"/>
        <i x="210" s="1" nd="1"/>
        <i x="402" nd="1"/>
        <i x="689" nd="1"/>
        <i x="633" nd="1"/>
        <i x="557" nd="1"/>
        <i x="313" nd="1"/>
        <i x="258" s="1" nd="1"/>
        <i x="563" nd="1"/>
        <i x="446" nd="1"/>
        <i x="536" nd="1"/>
        <i x="282" s="1" nd="1"/>
        <i x="326" nd="1"/>
        <i x="465" nd="1"/>
        <i x="531" nd="1"/>
        <i x="595" nd="1"/>
        <i x="381" nd="1"/>
        <i x="280" s="1" nd="1"/>
        <i x="254" s="1" nd="1"/>
        <i x="404" nd="1"/>
        <i x="400" nd="1"/>
        <i x="260" s="1" nd="1"/>
        <i x="673" nd="1"/>
        <i x="623" nd="1"/>
        <i x="575" nd="1"/>
        <i x="688" nd="1"/>
        <i x="424" nd="1"/>
        <i x="693" nd="1"/>
        <i x="682" nd="1"/>
        <i x="417" nd="1"/>
        <i x="696" nd="1"/>
        <i x="219" s="1" nd="1"/>
        <i x="504" nd="1"/>
        <i x="547" nd="1"/>
        <i x="394" nd="1"/>
        <i x="363" nd="1"/>
        <i x="669" nd="1"/>
        <i x="339" nd="1"/>
        <i x="273" s="1" nd="1"/>
        <i x="421" nd="1"/>
        <i x="454" nd="1"/>
        <i x="628" nd="1"/>
        <i x="672" nd="1"/>
        <i x="40" s="1" nd="1"/>
        <i x="710" nd="1"/>
        <i x="482" nd="1"/>
        <i x="319" nd="1"/>
        <i x="451" nd="1"/>
        <i x="664" nd="1"/>
        <i x="551" nd="1"/>
        <i x="663" nd="1"/>
        <i x="712" nd="1"/>
        <i x="90" s="1" nd="1"/>
        <i x="407" nd="1"/>
        <i x="291" s="1" nd="1"/>
        <i x="180" s="1" nd="1"/>
        <i x="585" nd="1"/>
        <i x="490" nd="1"/>
        <i x="630" nd="1"/>
        <i x="640" nd="1"/>
        <i x="225" s="1" nd="1"/>
        <i x="388" nd="1"/>
        <i x="670" nd="1"/>
        <i x="356" nd="1"/>
        <i x="691" nd="1"/>
        <i x="681" nd="1"/>
        <i x="577" nd="1"/>
        <i x="441" nd="1"/>
        <i x="708" nd="1"/>
        <i x="448" nd="1"/>
        <i x="458" nd="1"/>
        <i x="624" nd="1"/>
        <i x="324" nd="1"/>
        <i x="415" nd="1"/>
        <i x="437" nd="1"/>
        <i x="607" nd="1"/>
        <i x="700" nd="1"/>
        <i x="360" nd="1"/>
        <i x="386" nd="1"/>
        <i x="257" s="1" nd="1"/>
        <i x="317" nd="1"/>
        <i x="21" s="1" nd="1"/>
        <i x="647" nd="1"/>
        <i x="39" s="1" nd="1"/>
        <i x="499" nd="1"/>
        <i x="656" nd="1"/>
        <i x="24" s="1" nd="1"/>
        <i x="473" nd="1"/>
        <i x="256" s="1" nd="1"/>
        <i x="130" s="1" nd="1"/>
        <i x="560" nd="1"/>
        <i x="500" nd="1"/>
        <i x="371" nd="1"/>
        <i x="632" nd="1"/>
        <i x="341" nd="1"/>
        <i x="418" nd="1"/>
        <i x="552" nd="1"/>
        <i x="397" nd="1"/>
        <i x="548" nd="1"/>
        <i x="18" s="1" nd="1"/>
        <i x="368" nd="1"/>
        <i x="327" nd="1"/>
        <i x="510" nd="1"/>
        <i x="594" nd="1"/>
        <i x="413" nd="1"/>
        <i x="626" nd="1"/>
        <i x="488" nd="1"/>
        <i x="379" nd="1"/>
        <i x="620" nd="1"/>
        <i x="678" nd="1"/>
        <i x="619" nd="1"/>
        <i x="714" nd="1"/>
        <i x="715" nd="1"/>
        <i x="485" nd="1"/>
        <i x="505" nd="1"/>
        <i x="428" nd="1"/>
        <i x="645" nd="1"/>
        <i x="443" nd="1"/>
        <i x="373" nd="1"/>
        <i x="538" nd="1"/>
        <i x="513" nd="1"/>
        <i x="163" s="1" nd="1"/>
        <i x="38" s="1" nd="1"/>
        <i x="478" nd="1"/>
        <i x="435" nd="1"/>
        <i x="330" nd="1"/>
        <i x="523" nd="1"/>
        <i x="579" nd="1"/>
        <i x="475" nd="1"/>
        <i x="405" nd="1"/>
        <i x="549" nd="1"/>
        <i x="20" s="1" nd="1"/>
        <i x="616" nd="1"/>
        <i x="463" nd="1"/>
        <i x="503" nd="1"/>
        <i x="550" nd="1"/>
        <i x="602" nd="1"/>
        <i x="662" nd="1"/>
        <i x="528" nd="1"/>
        <i x="426" nd="1"/>
        <i x="598" nd="1"/>
        <i x="674" nd="1"/>
        <i x="419" nd="1"/>
        <i x="346" nd="1"/>
        <i x="668" nd="1"/>
        <i x="376" nd="1"/>
        <i x="648" nd="1"/>
        <i x="586" nd="1"/>
        <i x="655" nd="1"/>
        <i x="460" nd="1"/>
        <i x="320" nd="1"/>
        <i x="312" nd="1"/>
        <i x="93" s="1" nd="1"/>
        <i x="331" nd="1"/>
        <i x="646" nd="1"/>
        <i x="562" nd="1"/>
        <i x="521" nd="1"/>
        <i x="348" nd="1"/>
        <i x="526" nd="1"/>
        <i x="385" nd="1"/>
        <i x="322" nd="1"/>
        <i x="702" nd="1"/>
        <i x="416" nd="1"/>
        <i x="608" nd="1"/>
        <i x="229" s="1" nd="1"/>
        <i x="457" nd="1"/>
        <i x="31" s="1" nd="1"/>
        <i x="74" s="1" nd="1"/>
        <i x="698" nd="1"/>
        <i x="570" nd="1"/>
        <i x="380" nd="1"/>
        <i x="468" nd="1"/>
        <i x="471" nd="1"/>
        <i x="430" nd="1"/>
        <i x="555" nd="1"/>
        <i x="571" nd="1"/>
        <i x="582" nd="1"/>
        <i x="593" nd="1"/>
        <i x="289" s="1" nd="1"/>
        <i x="649" nd="1"/>
        <i x="433" nd="1"/>
        <i x="411" nd="1"/>
        <i x="32" s="1" nd="1"/>
        <i x="290" s="1" nd="1"/>
        <i x="493" nd="1"/>
        <i x="654" nd="1"/>
        <i x="494" nd="1"/>
        <i x="429" nd="1"/>
        <i x="524" nd="1"/>
        <i x="539" nd="1"/>
        <i x="335" nd="1"/>
        <i x="449" nd="1"/>
        <i x="412" nd="1"/>
        <i x="384" nd="1"/>
        <i x="398" nd="1"/>
        <i x="541" nd="1"/>
        <i x="573" nd="1"/>
        <i x="625" nd="1"/>
        <i x="596" nd="1"/>
        <i x="543" nd="1"/>
        <i x="527" nd="1"/>
        <i x="576" nd="1"/>
        <i x="287" s="1" nd="1"/>
        <i x="627" nd="1"/>
        <i x="461" nd="1"/>
        <i x="399" nd="1"/>
        <i x="489" nd="1"/>
        <i x="501" nd="1"/>
        <i x="480" nd="1"/>
        <i x="328" nd="1"/>
        <i x="671" nd="1"/>
        <i x="520" nd="1"/>
        <i x="434" nd="1"/>
        <i x="382" nd="1"/>
        <i x="462" nd="1"/>
        <i x="614" nd="1"/>
        <i x="578" nd="1"/>
        <i x="367" nd="1"/>
        <i x="228" s="1" nd="1"/>
        <i x="564" nd="1"/>
        <i x="604" nd="1"/>
        <i x="675" nd="1"/>
        <i x="370" nd="1"/>
        <i x="568" nd="1"/>
        <i x="420" nd="1"/>
        <i x="425" nd="1"/>
        <i x="622" nd="1"/>
        <i x="362" nd="1"/>
        <i x="612" nd="1"/>
        <i x="403" nd="1"/>
        <i x="686" nd="1"/>
        <i x="611" nd="1"/>
        <i x="603" nd="1"/>
        <i x="565" nd="1"/>
        <i x="325" nd="1"/>
        <i x="580" nd="1"/>
        <i x="479" nd="1"/>
        <i x="532" nd="1"/>
        <i x="432" nd="1"/>
        <i x="537" nd="1"/>
        <i x="512" nd="1"/>
        <i x="581" nd="1"/>
        <i x="484" nd="1"/>
        <i x="453" nd="1"/>
        <i x="677" nd="1"/>
        <i x="395" nd="1"/>
        <i x="414" nd="1"/>
        <i x="711" nd="1"/>
        <i x="378" nd="1"/>
        <i x="635" nd="1"/>
        <i x="634" nd="1"/>
        <i x="685" nd="1"/>
        <i x="636" nd="1"/>
        <i x="639" nd="1"/>
        <i x="450" nd="1"/>
        <i x="707" nd="1"/>
        <i x="559" nd="1"/>
        <i x="372" nd="1"/>
        <i x="315" nd="1"/>
        <i x="574" nd="1"/>
        <i x="667" nd="1"/>
        <i x="486" nd="1"/>
        <i x="637"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total_points1" sourceName="total_points">
  <pivotTables>
    <pivotTable tabId="19" name="PivotTable5"/>
  </pivotTables>
  <data>
    <tabular pivotCacheId="1">
      <items count="720">
        <i x="0"/>
        <i x="10" s="1"/>
        <i x="3" s="1"/>
        <i x="4" s="1"/>
        <i x="9" s="1"/>
        <i x="164" s="1"/>
        <i x="1" s="1"/>
        <i x="2" s="1"/>
        <i x="54" s="1"/>
        <i x="59" s="1"/>
        <i x="153" s="1"/>
        <i x="67" s="1"/>
        <i x="88" s="1"/>
        <i x="308" s="1"/>
        <i x="78" s="1"/>
        <i x="126" s="1"/>
        <i x="49" s="1"/>
        <i x="146" s="1"/>
        <i x="171" s="1"/>
        <i x="305" s="1"/>
        <i x="259" s="1"/>
        <i x="299" s="1"/>
        <i x="268" s="1"/>
        <i x="80" s="1"/>
        <i x="161" s="1"/>
        <i x="133" s="1"/>
        <i x="242" s="1"/>
        <i x="244" s="1"/>
        <i x="162" s="1"/>
        <i x="107" s="1"/>
        <i x="62" s="1"/>
        <i x="147" s="1"/>
        <i x="221" s="1"/>
        <i x="167" s="1"/>
        <i x="64" s="1"/>
        <i x="108" s="1"/>
        <i x="218" s="1"/>
        <i x="160" s="1"/>
        <i x="41" s="1"/>
        <i x="131" s="1"/>
        <i x="135" s="1"/>
        <i x="136" s="1"/>
        <i x="198" s="1"/>
        <i x="134" s="1"/>
        <i x="275" s="1"/>
        <i x="48" s="1"/>
        <i x="208" s="1"/>
        <i x="189" s="1"/>
        <i x="19" s="1"/>
        <i x="47" s="1"/>
        <i x="255" s="1"/>
        <i x="145" s="1"/>
        <i x="89" s="1"/>
        <i x="14" s="1"/>
        <i x="28" s="1"/>
        <i x="243" s="1"/>
        <i x="240" s="1"/>
        <i x="239" s="1"/>
        <i x="122" s="1"/>
        <i x="241" s="1"/>
        <i x="132" s="1"/>
        <i x="30" s="1"/>
        <i x="159" s="1"/>
        <i x="96" s="1"/>
        <i x="152" s="1"/>
        <i x="181" s="1"/>
        <i x="307" s="1"/>
        <i x="151" s="1"/>
        <i x="103" s="1"/>
        <i x="85" s="1"/>
        <i x="201" s="1"/>
        <i x="144" s="1"/>
        <i x="150" s="1"/>
        <i x="112" s="1"/>
        <i x="251" s="1"/>
        <i x="63" s="1"/>
        <i x="91" s="1"/>
        <i x="83" s="1"/>
        <i x="117" s="1"/>
        <i x="230" s="1"/>
        <i x="46" s="1"/>
        <i x="300" s="1"/>
        <i x="114" s="1"/>
        <i x="192" s="1"/>
        <i x="123" s="1"/>
        <i x="270" s="1"/>
        <i x="211" s="1"/>
        <i x="34" s="1"/>
        <i x="237" s="1"/>
        <i x="205" s="1"/>
        <i x="116" s="1"/>
        <i x="97" s="1"/>
        <i x="293" s="1"/>
        <i x="142" s="1"/>
        <i x="35" s="1"/>
        <i x="111" s="1"/>
        <i x="252" s="1"/>
        <i x="16" s="1"/>
        <i x="94" s="1"/>
        <i x="98" s="1"/>
        <i x="202" s="1"/>
        <i x="44" s="1"/>
        <i x="79" s="1"/>
        <i x="303" s="1"/>
        <i x="168" s="1"/>
        <i x="269" s="1"/>
        <i x="247" s="1"/>
        <i x="283" s="1"/>
        <i x="207" s="1"/>
        <i x="11" s="1"/>
        <i x="109" s="1"/>
        <i x="206" s="1"/>
        <i x="262" s="1"/>
        <i x="149" s="1"/>
        <i x="186" s="1"/>
        <i x="27" s="1"/>
        <i x="176" s="1"/>
        <i x="52" s="1"/>
        <i x="182" s="1"/>
        <i x="196" s="1"/>
        <i x="195" s="1"/>
        <i x="140" s="1"/>
        <i x="197" s="1"/>
        <i x="190" s="1"/>
        <i x="118" s="1"/>
        <i x="148" s="1"/>
        <i x="232" s="1"/>
        <i x="178" s="1"/>
        <i x="266" s="1"/>
        <i x="53" s="1"/>
        <i x="15" s="1"/>
        <i x="306" s="1"/>
        <i x="188" s="1"/>
        <i x="42" s="1"/>
        <i x="183" s="1"/>
        <i x="121" s="1"/>
        <i x="249" s="1"/>
        <i x="304" s="1"/>
        <i x="187" s="1"/>
        <i x="141" s="1"/>
        <i x="119" s="1"/>
        <i x="193" s="1"/>
        <i x="203" s="1"/>
        <i x="43" s="1"/>
        <i x="301" s="1"/>
        <i x="139" s="1"/>
        <i x="194" s="1"/>
        <i x="110" s="1"/>
        <i x="120" s="1"/>
        <i x="200" s="1"/>
        <i x="13" s="1"/>
        <i x="138" s="1"/>
        <i x="295" s="1"/>
        <i x="297" s="1"/>
        <i x="191" s="1"/>
        <i x="248" s="1"/>
        <i x="45" s="1"/>
        <i x="204" s="1"/>
        <i x="177" s="1"/>
        <i x="17" s="1"/>
        <i x="302" s="1"/>
        <i x="294" s="1"/>
        <i x="33" s="1"/>
        <i x="296" s="1"/>
        <i x="250" s="1"/>
        <i x="113" s="1"/>
        <i x="84" s="1"/>
        <i x="12" s="1"/>
        <i x="231" s="1"/>
        <i x="61" s="1"/>
        <i x="156" s="1"/>
        <i x="246" s="1"/>
        <i x="213" s="1"/>
        <i x="77" s="1"/>
        <i x="272" s="1"/>
        <i x="216" s="1"/>
        <i x="236" s="1"/>
        <i x="73" s="1"/>
        <i x="233" s="1"/>
        <i x="288" s="1"/>
        <i x="106" s="1"/>
        <i x="157" s="1"/>
        <i x="235" s="1"/>
        <i x="284" s="1"/>
        <i x="60" s="1"/>
        <i x="271" s="1"/>
        <i x="75" s="1"/>
        <i x="105" s="1"/>
        <i x="169" s="1"/>
        <i x="173" s="1"/>
        <i x="212" s="1"/>
        <i x="29" s="1"/>
        <i x="172" s="1"/>
        <i x="234" s="1"/>
        <i x="261" s="1"/>
        <i x="215" s="1"/>
        <i x="214" s="1"/>
        <i x="104" s="1"/>
        <i x="86" s="1"/>
        <i x="174" s="1"/>
        <i x="285" s="1"/>
        <i x="267" s="1"/>
        <i x="158" s="1"/>
        <i x="265" s="1"/>
        <i x="286" s="1"/>
        <i x="102" s="1"/>
        <i x="264" s="1"/>
        <i x="76" s="1"/>
        <i x="51" s="1"/>
        <i x="58" s="1"/>
        <i x="87" s="1"/>
        <i x="170" s="1"/>
        <i x="55" s="1"/>
        <i x="217" s="1"/>
        <i x="263" s="1"/>
        <i x="57" s="1"/>
        <i x="56" s="1"/>
        <i x="5" s="1"/>
        <i x="8" s="1" nd="1"/>
        <i x="310" s="1" nd="1"/>
        <i x="179" s="1" nd="1"/>
        <i x="101" s="1" nd="1"/>
        <i x="95" s="1" nd="1"/>
        <i x="165" s="1" nd="1"/>
        <i x="601" nd="1"/>
        <i x="166" s="1" nd="1"/>
        <i x="245" s="1" nd="1"/>
        <i x="298" s="1" nd="1"/>
        <i x="7" s="1" nd="1"/>
        <i x="334" nd="1"/>
        <i x="459" nd="1"/>
        <i x="444" nd="1"/>
        <i x="676" nd="1"/>
        <i x="369" nd="1"/>
        <i x="641" nd="1"/>
        <i x="713" nd="1"/>
        <i x="705" nd="1"/>
        <i x="99" s="1" nd="1"/>
        <i x="591" nd="1"/>
        <i x="184" s="1" nd="1"/>
        <i x="389" nd="1"/>
        <i x="508" nd="1"/>
        <i x="309" s="1" nd="1"/>
        <i x="361" nd="1"/>
        <i x="704" nd="1"/>
        <i x="72" s="1" nd="1"/>
        <i x="347" nd="1"/>
        <i x="533" nd="1"/>
        <i x="390" nd="1"/>
        <i x="690" nd="1"/>
        <i x="706" nd="1"/>
        <i x="338" nd="1"/>
        <i x="358" nd="1"/>
        <i x="66" s="1" nd="1"/>
        <i x="476" nd="1"/>
        <i x="154" s="1" nd="1"/>
        <i x="694" nd="1"/>
        <i x="703" nd="1"/>
        <i x="517" nd="1"/>
        <i x="600" nd="1"/>
        <i x="374" nd="1"/>
        <i x="129" s="1" nd="1"/>
        <i x="697" nd="1"/>
        <i x="350" nd="1"/>
        <i x="514" nd="1"/>
        <i x="375" nd="1"/>
        <i x="477" nd="1"/>
        <i x="185" s="1" nd="1"/>
        <i x="364" nd="1"/>
        <i x="522" nd="1"/>
        <i x="100" s="1" nd="1"/>
        <i x="569" nd="1"/>
        <i x="519" nd="1"/>
        <i x="69" s="1" nd="1"/>
        <i x="534" nd="1"/>
        <i x="695" nd="1"/>
        <i x="447" nd="1"/>
        <i x="311" nd="1"/>
        <i x="124" s="1" nd="1"/>
        <i x="352" nd="1"/>
        <i x="279" s="1" nd="1"/>
        <i x="589" nd="1"/>
        <i x="68" s="1" nd="1"/>
        <i x="366" nd="1"/>
        <i x="518" nd="1"/>
        <i x="70" s="1" nd="1"/>
        <i x="610" nd="1"/>
        <i x="660" nd="1"/>
        <i x="349" nd="1"/>
        <i x="684" nd="1"/>
        <i x="227" s="1" nd="1"/>
        <i x="525" nd="1"/>
        <i x="666" nd="1"/>
        <i x="692" nd="1"/>
        <i x="592" nd="1"/>
        <i x="436" nd="1"/>
        <i x="143" s="1" nd="1"/>
        <i x="466" nd="1"/>
        <i x="359" nd="1"/>
        <i x="401" nd="1"/>
        <i x="128" s="1" nd="1"/>
        <i x="127" s="1" nd="1"/>
        <i x="661" nd="1"/>
        <i x="583" nd="1"/>
        <i x="333" nd="1"/>
        <i x="469" nd="1"/>
        <i x="406" nd="1"/>
        <i x="125" s="1" nd="1"/>
        <i x="644" nd="1"/>
        <i x="71" s="1" nd="1"/>
        <i x="544" nd="1"/>
        <i x="357" nd="1"/>
        <i x="351" nd="1"/>
        <i x="281" s="1" nd="1"/>
        <i x="509" nd="1"/>
        <i x="659" nd="1"/>
        <i x="353" nd="1"/>
        <i x="561" nd="1"/>
        <i x="502" nd="1"/>
        <i x="597" nd="1"/>
        <i x="617" nd="1"/>
        <i x="224" s="1" nd="1"/>
        <i x="277" s="1" nd="1"/>
        <i x="717" nd="1"/>
        <i x="474" nd="1"/>
        <i x="344" nd="1"/>
        <i x="470" nd="1"/>
        <i x="92" s="1" nd="1"/>
        <i x="410" nd="1"/>
        <i x="50" s="1" nd="1"/>
        <i x="556" nd="1"/>
        <i x="82" s="1" nd="1"/>
        <i x="456" nd="1"/>
        <i x="23" s="1" nd="1"/>
        <i x="323" nd="1"/>
        <i x="495" nd="1"/>
        <i x="81" s="1" nd="1"/>
        <i x="590" nd="1"/>
        <i x="25" s="1" nd="1"/>
        <i x="329" nd="1"/>
        <i x="115" s="1" nd="1"/>
        <i x="383" nd="1"/>
        <i x="540" nd="1"/>
        <i x="542" nd="1"/>
        <i x="337" nd="1"/>
        <i x="546" nd="1"/>
        <i x="587" nd="1"/>
        <i x="554" nd="1"/>
        <i x="652" nd="1"/>
        <i x="438" nd="1"/>
        <i x="679" nd="1"/>
        <i x="529" nd="1"/>
        <i x="6" s="1" nd="1"/>
        <i x="409" nd="1"/>
        <i x="155" s="1" nd="1"/>
        <i x="588" nd="1"/>
        <i x="209" s="1" nd="1"/>
        <i x="253" s="1" nd="1"/>
        <i x="422" nd="1"/>
        <i x="511" nd="1"/>
        <i x="37" s="1" nd="1"/>
        <i x="687" nd="1"/>
        <i x="487" nd="1"/>
        <i x="472" nd="1"/>
        <i x="392" nd="1"/>
        <i x="377" nd="1"/>
        <i x="336" nd="1"/>
        <i x="137" s="1" nd="1"/>
        <i x="621" nd="1"/>
        <i x="716" nd="1"/>
        <i x="483" nd="1"/>
        <i x="481" nd="1"/>
        <i x="292" s="1" nd="1"/>
        <i x="683" nd="1"/>
        <i x="599" nd="1"/>
        <i x="387" nd="1"/>
        <i x="606" nd="1"/>
        <i x="566" nd="1"/>
        <i x="605" nd="1"/>
        <i x="492" nd="1"/>
        <i x="36" s="1" nd="1"/>
        <i x="452" nd="1"/>
        <i x="343" nd="1"/>
        <i x="609" nd="1"/>
        <i x="423" nd="1"/>
        <i x="321" nd="1"/>
        <i x="342" nd="1"/>
        <i x="427" nd="1"/>
        <i x="332" nd="1"/>
        <i x="26" s="1" nd="1"/>
        <i x="507" nd="1"/>
        <i x="318" nd="1"/>
        <i x="613" nd="1"/>
        <i x="718" nd="1"/>
        <i x="680" nd="1"/>
        <i x="653" nd="1"/>
        <i x="701" nd="1"/>
        <i x="631" nd="1"/>
        <i x="545" nd="1"/>
        <i x="408" nd="1"/>
        <i x="439" nd="1"/>
        <i x="175" s="1" nd="1"/>
        <i x="665" nd="1"/>
        <i x="278" s="1" nd="1"/>
        <i x="506" nd="1"/>
        <i x="516" nd="1"/>
        <i x="496" nd="1"/>
        <i x="238" s="1" nd="1"/>
        <i x="657" nd="1"/>
        <i x="65" s="1" nd="1"/>
        <i x="719" nd="1"/>
        <i x="629" nd="1"/>
        <i x="572" nd="1"/>
        <i x="638" nd="1"/>
        <i x="365" nd="1"/>
        <i x="464" nd="1"/>
        <i x="355" nd="1"/>
        <i x="226" s="1" nd="1"/>
        <i x="220" s="1" nd="1"/>
        <i x="567" nd="1"/>
        <i x="658" nd="1"/>
        <i x="276" s="1" nd="1"/>
        <i x="650" nd="1"/>
        <i x="497" nd="1"/>
        <i x="391" nd="1"/>
        <i x="396" nd="1"/>
        <i x="442" nd="1"/>
        <i x="530" nd="1"/>
        <i x="340" nd="1"/>
        <i x="345" nd="1"/>
        <i x="222" s="1" nd="1"/>
        <i x="643" nd="1"/>
        <i x="535" nd="1"/>
        <i x="558" nd="1"/>
        <i x="455" nd="1"/>
        <i x="515" nd="1"/>
        <i x="709" nd="1"/>
        <i x="223" s="1" nd="1"/>
        <i x="651" nd="1"/>
        <i x="316" nd="1"/>
        <i x="314" nd="1"/>
        <i x="445" nd="1"/>
        <i x="274" s="1" nd="1"/>
        <i x="467" nd="1"/>
        <i x="553" nd="1"/>
        <i x="491" nd="1"/>
        <i x="642" nd="1"/>
        <i x="440" nd="1"/>
        <i x="393" nd="1"/>
        <i x="615" nd="1"/>
        <i x="699" nd="1"/>
        <i x="431" nd="1"/>
        <i x="354" nd="1"/>
        <i x="618" nd="1"/>
        <i x="584" nd="1"/>
        <i x="498" nd="1"/>
        <i x="22" s="1" nd="1"/>
        <i x="199" s="1" nd="1"/>
        <i x="210" s="1" nd="1"/>
        <i x="402" nd="1"/>
        <i x="689" nd="1"/>
        <i x="633" nd="1"/>
        <i x="557" nd="1"/>
        <i x="313" nd="1"/>
        <i x="258" s="1" nd="1"/>
        <i x="563" nd="1"/>
        <i x="446" nd="1"/>
        <i x="536" nd="1"/>
        <i x="282" s="1" nd="1"/>
        <i x="326" nd="1"/>
        <i x="465" nd="1"/>
        <i x="531" nd="1"/>
        <i x="595" nd="1"/>
        <i x="381" nd="1"/>
        <i x="280" s="1" nd="1"/>
        <i x="254" s="1" nd="1"/>
        <i x="404" nd="1"/>
        <i x="400" nd="1"/>
        <i x="260" s="1" nd="1"/>
        <i x="673" nd="1"/>
        <i x="623" nd="1"/>
        <i x="575" nd="1"/>
        <i x="688" nd="1"/>
        <i x="424" nd="1"/>
        <i x="693" nd="1"/>
        <i x="682" nd="1"/>
        <i x="417" nd="1"/>
        <i x="696" nd="1"/>
        <i x="219" s="1" nd="1"/>
        <i x="504" nd="1"/>
        <i x="547" nd="1"/>
        <i x="394" nd="1"/>
        <i x="363" nd="1"/>
        <i x="669" nd="1"/>
        <i x="339" nd="1"/>
        <i x="273" s="1" nd="1"/>
        <i x="421" nd="1"/>
        <i x="454" nd="1"/>
        <i x="628" nd="1"/>
        <i x="672" nd="1"/>
        <i x="40" s="1" nd="1"/>
        <i x="710" nd="1"/>
        <i x="482" nd="1"/>
        <i x="319" nd="1"/>
        <i x="451" nd="1"/>
        <i x="664" nd="1"/>
        <i x="551" nd="1"/>
        <i x="663" nd="1"/>
        <i x="712" nd="1"/>
        <i x="90" s="1" nd="1"/>
        <i x="407" nd="1"/>
        <i x="291" s="1" nd="1"/>
        <i x="180" s="1" nd="1"/>
        <i x="585" nd="1"/>
        <i x="490" nd="1"/>
        <i x="630" nd="1"/>
        <i x="640" nd="1"/>
        <i x="225" s="1" nd="1"/>
        <i x="388" nd="1"/>
        <i x="670" nd="1"/>
        <i x="356" nd="1"/>
        <i x="691" nd="1"/>
        <i x="681" nd="1"/>
        <i x="577" nd="1"/>
        <i x="441" nd="1"/>
        <i x="708" nd="1"/>
        <i x="448" nd="1"/>
        <i x="458" nd="1"/>
        <i x="624" nd="1"/>
        <i x="324" nd="1"/>
        <i x="415" nd="1"/>
        <i x="437" nd="1"/>
        <i x="607" nd="1"/>
        <i x="700" nd="1"/>
        <i x="360" nd="1"/>
        <i x="386" nd="1"/>
        <i x="257" s="1" nd="1"/>
        <i x="317" nd="1"/>
        <i x="21" s="1" nd="1"/>
        <i x="647" nd="1"/>
        <i x="39" s="1" nd="1"/>
        <i x="499" nd="1"/>
        <i x="656" nd="1"/>
        <i x="24" s="1" nd="1"/>
        <i x="473" nd="1"/>
        <i x="256" s="1" nd="1"/>
        <i x="130" s="1" nd="1"/>
        <i x="560" nd="1"/>
        <i x="500" nd="1"/>
        <i x="371" nd="1"/>
        <i x="632" nd="1"/>
        <i x="341" nd="1"/>
        <i x="418" nd="1"/>
        <i x="552" nd="1"/>
        <i x="397" nd="1"/>
        <i x="548" nd="1"/>
        <i x="18" s="1" nd="1"/>
        <i x="368" nd="1"/>
        <i x="327" nd="1"/>
        <i x="510" nd="1"/>
        <i x="594" nd="1"/>
        <i x="413" nd="1"/>
        <i x="626" nd="1"/>
        <i x="488" nd="1"/>
        <i x="379" nd="1"/>
        <i x="620" nd="1"/>
        <i x="678" nd="1"/>
        <i x="619" nd="1"/>
        <i x="714" nd="1"/>
        <i x="715" nd="1"/>
        <i x="485" nd="1"/>
        <i x="505" nd="1"/>
        <i x="428" nd="1"/>
        <i x="645" nd="1"/>
        <i x="443" nd="1"/>
        <i x="373" nd="1"/>
        <i x="538" nd="1"/>
        <i x="513" nd="1"/>
        <i x="163" s="1" nd="1"/>
        <i x="38" s="1" nd="1"/>
        <i x="478" nd="1"/>
        <i x="435" nd="1"/>
        <i x="330" nd="1"/>
        <i x="523" nd="1"/>
        <i x="579" nd="1"/>
        <i x="475" nd="1"/>
        <i x="405" nd="1"/>
        <i x="549" nd="1"/>
        <i x="20" s="1" nd="1"/>
        <i x="616" nd="1"/>
        <i x="463" nd="1"/>
        <i x="503" nd="1"/>
        <i x="550" nd="1"/>
        <i x="602" nd="1"/>
        <i x="662" nd="1"/>
        <i x="528" nd="1"/>
        <i x="426" nd="1"/>
        <i x="598" nd="1"/>
        <i x="674" nd="1"/>
        <i x="419" nd="1"/>
        <i x="346" nd="1"/>
        <i x="668" nd="1"/>
        <i x="376" nd="1"/>
        <i x="648" nd="1"/>
        <i x="586" nd="1"/>
        <i x="655" nd="1"/>
        <i x="460" nd="1"/>
        <i x="320" nd="1"/>
        <i x="312" nd="1"/>
        <i x="93" s="1" nd="1"/>
        <i x="331" nd="1"/>
        <i x="646" nd="1"/>
        <i x="562" nd="1"/>
        <i x="521" nd="1"/>
        <i x="348" nd="1"/>
        <i x="526" nd="1"/>
        <i x="385" nd="1"/>
        <i x="322" nd="1"/>
        <i x="702" nd="1"/>
        <i x="416" nd="1"/>
        <i x="608" nd="1"/>
        <i x="229" s="1" nd="1"/>
        <i x="457" nd="1"/>
        <i x="31" s="1" nd="1"/>
        <i x="74" s="1" nd="1"/>
        <i x="698" nd="1"/>
        <i x="570" nd="1"/>
        <i x="380" nd="1"/>
        <i x="468" nd="1"/>
        <i x="471" nd="1"/>
        <i x="430" nd="1"/>
        <i x="555" nd="1"/>
        <i x="571" nd="1"/>
        <i x="582" nd="1"/>
        <i x="593" nd="1"/>
        <i x="289" s="1" nd="1"/>
        <i x="649" nd="1"/>
        <i x="433" nd="1"/>
        <i x="411" nd="1"/>
        <i x="32" s="1" nd="1"/>
        <i x="290" s="1" nd="1"/>
        <i x="493" nd="1"/>
        <i x="654" nd="1"/>
        <i x="494" nd="1"/>
        <i x="429" nd="1"/>
        <i x="524" nd="1"/>
        <i x="539" nd="1"/>
        <i x="335" nd="1"/>
        <i x="449" nd="1"/>
        <i x="412" nd="1"/>
        <i x="384" nd="1"/>
        <i x="398" nd="1"/>
        <i x="541" nd="1"/>
        <i x="573" nd="1"/>
        <i x="625" nd="1"/>
        <i x="596" nd="1"/>
        <i x="543" nd="1"/>
        <i x="527" nd="1"/>
        <i x="576" nd="1"/>
        <i x="287" s="1" nd="1"/>
        <i x="627" nd="1"/>
        <i x="461" nd="1"/>
        <i x="399" nd="1"/>
        <i x="489" nd="1"/>
        <i x="501" nd="1"/>
        <i x="480" nd="1"/>
        <i x="328" nd="1"/>
        <i x="671" nd="1"/>
        <i x="520" nd="1"/>
        <i x="434" nd="1"/>
        <i x="382" nd="1"/>
        <i x="462" nd="1"/>
        <i x="614" nd="1"/>
        <i x="578" nd="1"/>
        <i x="367" nd="1"/>
        <i x="228" s="1" nd="1"/>
        <i x="564" nd="1"/>
        <i x="604" nd="1"/>
        <i x="675" nd="1"/>
        <i x="370" nd="1"/>
        <i x="568" nd="1"/>
        <i x="420" nd="1"/>
        <i x="425" nd="1"/>
        <i x="622" nd="1"/>
        <i x="362" nd="1"/>
        <i x="612" nd="1"/>
        <i x="403" nd="1"/>
        <i x="686" nd="1"/>
        <i x="611" nd="1"/>
        <i x="603" nd="1"/>
        <i x="565" nd="1"/>
        <i x="325" nd="1"/>
        <i x="580" nd="1"/>
        <i x="479" nd="1"/>
        <i x="532" nd="1"/>
        <i x="432" nd="1"/>
        <i x="537" nd="1"/>
        <i x="512" nd="1"/>
        <i x="581" nd="1"/>
        <i x="484" nd="1"/>
        <i x="453" nd="1"/>
        <i x="677" nd="1"/>
        <i x="395" nd="1"/>
        <i x="414" nd="1"/>
        <i x="711" nd="1"/>
        <i x="378" nd="1"/>
        <i x="635" nd="1"/>
        <i x="634" nd="1"/>
        <i x="685" nd="1"/>
        <i x="636" nd="1"/>
        <i x="639" nd="1"/>
        <i x="450" nd="1"/>
        <i x="707" nd="1"/>
        <i x="559" nd="1"/>
        <i x="372" nd="1"/>
        <i x="315" nd="1"/>
        <i x="574" nd="1"/>
        <i x="667" nd="1"/>
        <i x="486" nd="1"/>
        <i x="637" nd="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mc:Ignorable="x" name="Slicer_indicator_name" sourceName="indicator_name">
  <pivotTables>
    <pivotTable tabId="19" name="PivotTable5"/>
  </pivotTables>
  <data>
    <tabular pivotCacheId="1">
      <items count="39">
        <i x="0" s="1"/>
        <i x="8" s="1"/>
        <i x="33"/>
        <i x="32"/>
        <i x="28"/>
        <i x="16" s="1"/>
        <i x="22"/>
        <i x="18" s="1"/>
        <i x="9" s="1"/>
        <i x="17" s="1"/>
        <i x="19"/>
        <i x="1" s="1"/>
        <i x="23"/>
        <i x="35"/>
        <i x="2" s="1"/>
        <i x="3" s="1"/>
        <i x="30" s="1"/>
        <i x="15" s="1"/>
        <i x="24"/>
        <i x="10" s="1"/>
        <i x="11" s="1"/>
        <i x="20"/>
        <i x="4" s="1"/>
        <i x="25"/>
        <i x="26"/>
        <i x="31"/>
        <i x="5" s="1"/>
        <i x="34"/>
        <i x="21" s="1"/>
        <i x="12" s="1"/>
        <i x="13" s="1"/>
        <i x="27"/>
        <i x="14" s="1"/>
        <i x="6" s="1"/>
        <i x="29" s="1"/>
        <i x="7" s="1"/>
        <i x="37" nd="1"/>
        <i x="36" nd="1"/>
        <i x="38" nd="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mc:Ignorable="x" name="Slicer_indicator_name1" sourceName="indicator_name">
  <pivotTables>
    <pivotTable tabId="27" name="PivotTable11"/>
  </pivotTables>
  <data>
    <tabular pivotCacheId="1">
      <items count="39">
        <i x="37"/>
        <i x="0"/>
        <i x="8"/>
        <i x="33" s="1"/>
        <i x="32" s="1"/>
        <i x="28" s="1"/>
        <i x="16"/>
        <i x="22" s="1"/>
        <i x="18"/>
        <i x="9"/>
        <i x="17"/>
        <i x="19" s="1"/>
        <i x="1"/>
        <i x="23" s="1"/>
        <i x="35" s="1"/>
        <i x="2"/>
        <i x="3"/>
        <i x="30"/>
        <i x="15"/>
        <i x="24" s="1"/>
        <i x="10"/>
        <i x="11"/>
        <i x="36"/>
        <i x="20" s="1"/>
        <i x="38"/>
        <i x="4"/>
        <i x="25" s="1"/>
        <i x="26" s="1"/>
        <i x="31" s="1"/>
        <i x="5"/>
        <i x="34" s="1"/>
        <i x="21"/>
        <i x="12"/>
        <i x="13"/>
        <i x="27" s="1"/>
        <i x="14"/>
        <i x="6"/>
        <i x="29"/>
        <i x="7"/>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total_points" cache="Slicer_total_points" caption="total_points" rowHeight="241300"/>
</slicers>
</file>

<file path=xl/slicers/slicer2.xml><?xml version="1.0" encoding="utf-8"?>
<slicers xmlns="http://schemas.microsoft.com/office/spreadsheetml/2009/9/main" xmlns:mc="http://schemas.openxmlformats.org/markup-compatibility/2006" xmlns:x="http://schemas.openxmlformats.org/spreadsheetml/2006/main" mc:Ignorable="x">
  <slicer name="total_points 1" cache="Slicer_total_points1" caption="total_points" rowHeight="241300"/>
  <slicer name="indicator_name" cache="Slicer_indicator_name" caption="indicator_name" startItem="31" rowHeight="241300"/>
</slicers>
</file>

<file path=xl/slicers/slicer3.xml><?xml version="1.0" encoding="utf-8"?>
<slicers xmlns="http://schemas.microsoft.com/office/spreadsheetml/2009/9/main" xmlns:mc="http://schemas.openxmlformats.org/markup-compatibility/2006" xmlns:x="http://schemas.openxmlformats.org/spreadsheetml/2006/main" mc:Ignorable="x">
  <slicer name="indicator_name 1" cache="Slicer_indicator_name1" caption="indicator_name" rowHeight="241300"/>
</slicers>
</file>

<file path=xl/tables/table1.xml><?xml version="1.0" encoding="utf-8"?>
<table xmlns="http://schemas.openxmlformats.org/spreadsheetml/2006/main" id="1" name="Table2" displayName="Table2" ref="A1:AA2653" totalsRowShown="0" headerRowDxfId="32" dataDxfId="31">
  <autoFilter ref="A1:AA2653"/>
  <tableColumns count="27">
    <tableColumn id="1" name="id" dataDxfId="59"/>
    <tableColumn id="2" name="organisation_name" dataDxfId="58"/>
    <tableColumn id="3" name="organisation_code" dataDxfId="57"/>
    <tableColumn id="4" name="indicator_total_weighted_points" dataDxfId="56"/>
    <tableColumn id="5" name="indicator_id" dataDxfId="55"/>
    <tableColumn id="6" name="indicator_name" dataDxfId="54"/>
    <tableColumn id="7" name="indicator_category_name" dataDxfId="53"/>
    <tableColumn id="8" name="indicator_subcategory_name" dataDxfId="52"/>
    <tableColumn id="9" name="indicator_category_subcategory" dataDxfId="51"/>
    <tableColumn id="10" name="indicator_order" dataDxfId="50"/>
    <tableColumn id="11" name="indicator_weight" dataDxfId="49"/>
    <tableColumn id="12" name="iati_manual" dataDxfId="48"/>
    <tableColumn id="13" name="publication_format" dataDxfId="47"/>
    <tableColumn id="14" name="publication_format_points" dataDxfId="46"/>
    <tableColumn id="15" name="total_points" dataDxfId="45"/>
    <tableColumn id="16" name="iati_data_quality_passed" dataDxfId="44"/>
    <tableColumn id="17" name="iati_data_quality_points" dataDxfId="43"/>
    <tableColumn id="18" name="iati_data_quality_frequency" dataDxfId="42"/>
    <tableColumn id="19" name="iati_data_quality_frequency_value" dataDxfId="41"/>
    <tableColumn id="20" name="iati_data_quality_frequency_multiplier" dataDxfId="40"/>
    <tableColumn id="21" name="iati_data_quality_total_points" dataDxfId="39"/>
    <tableColumn id="22" name="survey_publication_status" dataDxfId="38"/>
    <tableColumn id="23" name="survey_publication_status_value" dataDxfId="37"/>
    <tableColumn id="24" name="survey_ordinal_value" dataDxfId="36"/>
    <tableColumn id="25" name="survey_publication_format" dataDxfId="35"/>
    <tableColumn id="26" name="survey_publication_format_value" dataDxfId="34"/>
    <tableColumn id="27" name="survey_total_points" dataDxfId="33"/>
  </tableColumns>
  <tableStyleInfo name="TableStyleMedium2 2" showFirstColumn="0" showLastColumn="0" showRowStripes="1" showColumnStripes="0"/>
</table>
</file>

<file path=xl/tables/table2.xml><?xml version="1.0" encoding="utf-8"?>
<table xmlns="http://schemas.openxmlformats.org/spreadsheetml/2006/main" id="2" name="Table1" displayName="Table1" ref="A1:AC69" totalsRowShown="0" headerRowDxfId="28" dataDxfId="27" headerRowBorderDxfId="331" tableBorderDxfId="330" totalsRowBorderDxfId="329">
  <autoFilter ref="A1:AC69"/>
  <sortState ref="A2:AF69">
    <sortCondition ref="C1:C69"/>
  </sortState>
  <tableColumns count="29">
    <tableColumn id="1" name="Org ID" dataDxfId="30"/>
    <tableColumn id="10" name="Donor Long Name" dataDxfId="29"/>
    <tableColumn id="2" name="Donor short name" dataDxfId="26"/>
    <tableColumn id="16" name="Bilateral/Multilateral/Foundation" dataDxfId="25"/>
    <tableColumn id="15" name="IFI" dataDxfId="24"/>
    <tableColumn id="22" name="Health Funds" dataDxfId="23"/>
    <tableColumn id="21" name="Humanitarian" dataDxfId="22"/>
    <tableColumn id="20" name="EU Member State/EC Institution" dataDxfId="21"/>
    <tableColumn id="19" name="US Agency" dataDxfId="20"/>
    <tableColumn id="18" name="UN Agency" dataDxfId="19"/>
    <tableColumn id="17" name="DAC Membership Status" dataDxfId="18"/>
    <tableColumn id="14" name="IATI Publisher" dataDxfId="17"/>
    <tableColumn id="13" name="IATI Steering Committee Membership" dataDxfId="16"/>
    <tableColumn id="29" name="Frequency of IATI Publication as on data collection deadline " dataDxfId="15"/>
    <tableColumn id="12" name="Frequency of IATI publication as per IATI Annual Report 2014" dataDxfId="14"/>
    <tableColumn id="30" name="Implementation Schedule incl. IATI " dataDxfId="13"/>
    <tableColumn id="23" name="% of fields to be published in IS schedules analysis" dataDxfId="12"/>
    <tableColumn id="26" name="Date of 1st publication" dataDxfId="11"/>
    <tableColumn id="25" name="Signatory/Member Since" dataDxfId="10"/>
    <tableColumn id="24" name="G7" dataDxfId="9"/>
    <tableColumn id="28" name="OGP and National Action Plan (NAP) status" dataDxfId="8"/>
    <tableColumn id="27" name="OAP" dataDxfId="7"/>
    <tableColumn id="11" name="EU-13" dataDxfId="6"/>
    <tableColumn id="3" name="Total ODA Spend in 2012 (in USD mn)" dataDxfId="5"/>
    <tableColumn id="9" name="Total OOF Spend in 2012 (USD n)" dataDxfId="4"/>
    <tableColumn id="6" name="Total Spend in 2012" dataDxfId="3">
      <calculatedColumnFormula>SUM(Table1[[#This Row],[Total ODA Spend in 2012 (in USD mn)]:[Total OOF Spend in 2012 (USD n)]])</calculatedColumnFormula>
    </tableColumn>
    <tableColumn id="4" name="Source for Total Spend " dataDxfId="2"/>
    <tableColumn id="5" name="Largest ODA Recipient in 2012" dataDxfId="1"/>
    <tableColumn id="7" name="Source for largest recipient data" dataDxfId="0"/>
  </tableColumns>
  <tableStyleInfo name="TableStyleMedium2 2" showFirstColumn="0" showLastColumn="0" showRowStripes="1" showColumnStripes="0"/>
</table>
</file>

<file path=xl/tables/table3.xml><?xml version="1.0" encoding="utf-8"?>
<table xmlns="http://schemas.openxmlformats.org/spreadsheetml/2006/main" id="3" name="Table3" displayName="Table3" ref="A3:J72" totalsRowShown="0" tableBorderDxfId="290">
  <autoFilter ref="A3:J72"/>
  <sortState ref="A4:J67">
    <sortCondition descending="1" ref="D3:D72"/>
  </sortState>
  <tableColumns count="10">
    <tableColumn id="1" name="Org ID" dataDxfId="289"/>
    <tableColumn id="2" name="Donor Short Name" dataDxfId="288"/>
    <tableColumn id="3" name="Overall Score in 2013" dataDxfId="287">
      <calculatedColumnFormula>VLOOKUP('Comparison 2013 &amp; 2014'!A4,'2013 ATI summary data'!$A$1:$C$69,3,FALSE)</calculatedColumnFormula>
    </tableColumn>
    <tableColumn id="4" name="Overall Score in 2014" dataDxfId="286">
      <calculatedColumnFormula>VLOOKUP(B4,'Overall scores and ranking'!$A$4:$B$71,2,FALSE)</calculatedColumnFormula>
    </tableColumn>
    <tableColumn id="5" name="Difference in scores" dataDxfId="285">
      <calculatedColumnFormula>D4-C4</calculatedColumnFormula>
    </tableColumn>
    <tableColumn id="6" name="Sparkline" dataDxfId="284"/>
    <tableColumn id="7" name="Rank in 2014" dataDxfId="283">
      <calculatedColumnFormula>VLOOKUP(B4,'Overall scores and ranking'!$A$3:$C$71,3,FALSE)</calculatedColumnFormula>
    </tableColumn>
    <tableColumn id="8" name="Rank in 2013" dataDxfId="282">
      <calculatedColumnFormula>VLOOKUP(Table3[[#This Row],[Org ID]],'2013 ATI summary data'!$A$1:$D$69,4,FALSE)</calculatedColumnFormula>
    </tableColumn>
    <tableColumn id="10" name="Movement in ranking" dataDxfId="281">
      <calculatedColumnFormula>Table3[[#This Row],[Rank in 2013]]-Table3[[#This Row],[Rank in 2014]]</calculatedColumnFormula>
    </tableColumn>
    <tableColumn id="9" name="Sparkline2" dataDxfId="280"/>
  </tableColumns>
  <tableStyleInfo name="TableStyleMedium2 2" showFirstColumn="0" showLastColumn="0" showRowStripes="1" showColumnStripes="0"/>
</table>
</file>

<file path=xl/tables/table4.xml><?xml version="1.0" encoding="utf-8"?>
<table xmlns="http://schemas.openxmlformats.org/spreadsheetml/2006/main" id="5" name="Table5" displayName="Table5" ref="A3:B42" totalsRowShown="0">
  <autoFilter ref="A3:B42"/>
  <tableColumns count="2">
    <tableColumn id="1" name="Indicator Name"/>
    <tableColumn id="2" name="No of donors that score in 2014" dataDxfId="276"/>
  </tableColumns>
  <tableStyleInfo name="TableStyleMedium2 2" showFirstColumn="0" showLastColumn="0" showRowStripes="1" showColumnStripes="0"/>
</table>
</file>

<file path=xl/tables/table5.xml><?xml version="1.0" encoding="utf-8"?>
<table xmlns="http://schemas.openxmlformats.org/spreadsheetml/2006/main" id="9" name="Table9" displayName="Table9" ref="I6:O76" totalsRowCount="1" headerRowDxfId="269">
  <autoFilter ref="I6:O75"/>
  <sortState ref="I7:O75">
    <sortCondition descending="1" ref="O6:O75"/>
  </sortState>
  <tableColumns count="7">
    <tableColumn id="1" name="Donor Name" dataDxfId="268" totalsRowDxfId="267"/>
    <tableColumn id="2" name="IATI" totalsRowFunction="custom" dataDxfId="266" totalsRowDxfId="265">
      <calculatedColumnFormula>VLOOKUP(Table9[[#This Row],[Donor Name]],$A$6:$E$72,2,FALSE)</calculatedColumnFormula>
      <totalsRowFormula>J75/SUM($J$75:$N$75)%</totalsRowFormula>
    </tableColumn>
    <tableColumn id="3" name="Machine-readable" totalsRowFunction="custom" dataDxfId="264" totalsRowDxfId="263">
      <calculatedColumnFormula>VLOOKUP(Table9[[#This Row],[Donor Name]],$A$6:$E$72,3,FALSE)</calculatedColumnFormula>
      <totalsRowFormula>K75/SUM($J$75:$N$75)%</totalsRowFormula>
    </tableColumn>
    <tableColumn id="4" name="Website" totalsRowFunction="custom" dataDxfId="262" totalsRowDxfId="261">
      <calculatedColumnFormula>VLOOKUP(Table9[[#This Row],[Donor Name]],$A$6:$E$72,4,FALSE)</calculatedColumnFormula>
      <totalsRowFormula>L75/SUM($J$75:$N$75)%</totalsRowFormula>
    </tableColumn>
    <tableColumn id="5" name="PDF" totalsRowFunction="custom" dataDxfId="260" totalsRowDxfId="259">
      <calculatedColumnFormula>VLOOKUP(Table9[[#This Row],[Donor Name]],$A$6:$E$72,5,FALSE)</calculatedColumnFormula>
      <totalsRowFormula>M75/SUM($J$75:$N$75)%</totalsRowFormula>
    </tableColumn>
    <tableColumn id="6" name="Not published" totalsRowFunction="custom" dataDxfId="258" totalsRowDxfId="257">
      <calculatedColumnFormula>22-SUM(J7:M7)</calculatedColumnFormula>
      <totalsRowFormula>N75/SUM($J$75:$N$75)%</totalsRowFormula>
    </tableColumn>
    <tableColumn id="7" name="Overall Score (for chart)" dataDxfId="256" totalsRowDxfId="255">
      <calculatedColumnFormula>VLOOKUP(Table9[[#This Row],[Donor Name]],'Overall scores and ranking'!$A$3:$C$71, 2,FALSE)</calculatedColumnFormula>
    </tableColumn>
  </tableColumns>
  <tableStyleInfo name="TableStyleMedium2 2" showFirstColumn="0" showLastColumn="0" showRowStripes="1" showColumnStripes="0"/>
</table>
</file>

<file path=xl/tables/table6.xml><?xml version="1.0" encoding="utf-8"?>
<table xmlns="http://schemas.openxmlformats.org/spreadsheetml/2006/main" id="11" name="Table11" displayName="Table11" ref="J6:N74" totalsRowShown="0">
  <autoFilter ref="J6:N74"/>
  <tableColumns count="5">
    <tableColumn id="1" name="Donor Name" dataDxfId="254"/>
    <tableColumn id="2" name="IATI"/>
    <tableColumn id="3" name="Other Sources"/>
    <tableColumn id="4" name="Not Published">
      <calculatedColumnFormula>14-SUM(K7:L7)</calculatedColumnFormula>
    </tableColumn>
    <tableColumn id="5" name="TRUE/FALSE (if more docs in other sources compared to IATI)">
      <calculatedColumnFormula>IF(Table11[[#This Row],[Other Sources]]&gt;Table11[[#This Row],[IATI]], TRUE)</calculatedColumnFormula>
    </tableColumn>
  </tableColumns>
  <tableStyleInfo name="TableStyleMedium2 2" showFirstColumn="0" showLastColumn="0" showRowStripes="1" showColumnStripes="0"/>
</table>
</file>

<file path=xl/tables/table7.xml><?xml version="1.0" encoding="utf-8"?>
<table xmlns="http://schemas.openxmlformats.org/spreadsheetml/2006/main" id="12" name="Table12" displayName="Table12" ref="J4:M74" totalsRowShown="0" headerRowDxfId="252">
  <autoFilter ref="J4:M74"/>
  <tableColumns count="4">
    <tableColumn id="1" name="Commitment" dataDxfId="251">
      <calculatedColumnFormula>B5/10%</calculatedColumnFormula>
    </tableColumn>
    <tableColumn id="2" name="Organisation" dataDxfId="250">
      <calculatedColumnFormula>C5/25%</calculatedColumnFormula>
    </tableColumn>
    <tableColumn id="3" name="Activity" dataDxfId="249">
      <calculatedColumnFormula>D5/65%</calculatedColumnFormula>
    </tableColumn>
    <tableColumn id="4" name="Column1" dataDxfId="248">
      <calculatedColumnFormula>VLOOKUP(I5,'Overall scores and ranking'!$A$3:$D$71,4, FALSE)</calculatedColumnFormula>
    </tableColumn>
  </tableColumns>
  <tableStyleInfo name="TableStyleMedium2 2" showFirstColumn="0" showLastColumn="0" showRowStripes="1" showColumnStripes="0"/>
</table>
</file>

<file path=xl/tables/table8.xml><?xml version="1.0" encoding="utf-8"?>
<table xmlns="http://schemas.openxmlformats.org/spreadsheetml/2006/main" id="13" name="Table13" displayName="Table13" ref="A3:BE53" totalsRowShown="0" headerRowDxfId="237" headerRowBorderDxfId="236" tableBorderDxfId="235" totalsRowBorderDxfId="234">
  <autoFilter ref="A3:BE53"/>
  <sortState ref="A4:BE53">
    <sortCondition descending="1" ref="C3:C53"/>
  </sortState>
  <tableColumns count="57">
    <tableColumn id="1" name="Org ID" dataDxfId="233"/>
    <tableColumn id="2" name="Donor Name" dataDxfId="232"/>
    <tableColumn id="3" name="Overall Score" dataDxfId="231">
      <calculatedColumnFormula>VLOOKUP(Table13[[#This Row],[Donor Name]],'Overall scores and ranking'!$A$3:$D$72,2,FALSE)</calculatedColumnFormula>
    </tableColumn>
    <tableColumn id="4" name="Overall rank" dataDxfId="230">
      <calculatedColumnFormula>VLOOKUP(Table13[[#This Row],[Donor Name]],'Overall scores and ranking'!$A$3:$D$72,3,FALSE)</calculatedColumnFormula>
    </tableColumn>
    <tableColumn id="55" name="Rank within bilaterals group" dataDxfId="229">
      <calculatedColumnFormula>RANK(Table13[[#This Row],[Overall Score]],Table13[Overall Score],0)</calculatedColumnFormula>
    </tableColumn>
    <tableColumn id="5" name="Performance Group" dataDxfId="228">
      <calculatedColumnFormula>VLOOKUP(Table13[[#This Row],[Donor Name]],'Overall scores and ranking'!$A$3:$D$72,4,FALSE)</calculatedColumnFormula>
    </tableColumn>
    <tableColumn id="6" name="IATI" dataDxfId="227">
      <calculatedColumnFormula>VLOOKUP(Table13[[#This Row],[Donor Name]],'Wtd - IATI vs Others'!$A$5:$D$72,2,FALSE)</calculatedColumnFormula>
    </tableColumn>
    <tableColumn id="7" name="Other formats" dataDxfId="226">
      <calculatedColumnFormula>VLOOKUP(Table13[[#This Row],[Donor Name]],'Wtd - IATI vs Others'!$A$5:$D$72,3,FALSE)</calculatedColumnFormula>
    </tableColumn>
    <tableColumn id="8" name="Commitment" dataDxfId="225">
      <calculatedColumnFormula>VLOOKUP(Table13[[#This Row],[Donor Name]],'Wtd scores by sub-groups'!$A$5:$K$72,2,FALSE)</calculatedColumnFormula>
    </tableColumn>
    <tableColumn id="9" name="Organisation Planning" dataDxfId="224">
      <calculatedColumnFormula>VLOOKUP(Table13[[#This Row],[Donor Name]],'Wtd scores by sub-groups'!$A$5:$K$72,3,FALSE)</calculatedColumnFormula>
    </tableColumn>
    <tableColumn id="10" name="Organisation Financial" dataDxfId="223">
      <calculatedColumnFormula>VLOOKUP(Table13[[#This Row],[Donor Name]],'Wtd scores by sub-groups'!$A$5:$K$72,4,FALSE)</calculatedColumnFormula>
    </tableColumn>
    <tableColumn id="11" name="Activity Basic" dataDxfId="222">
      <calculatedColumnFormula>VLOOKUP(Table13[[#This Row],[Donor Name]],'Wtd scores by sub-groups'!$A$5:$K$72,5,FALSE)</calculatedColumnFormula>
    </tableColumn>
    <tableColumn id="12" name="Activity Classifications" dataDxfId="221">
      <calculatedColumnFormula>VLOOKUP(Table13[[#This Row],[Donor Name]],'Wtd scores by sub-groups'!$A$5:$K$72,6,FALSE)</calculatedColumnFormula>
    </tableColumn>
    <tableColumn id="13" name="Activity related documents" dataDxfId="220">
      <calculatedColumnFormula>VLOOKUP(Table13[[#This Row],[Donor Name]],'Wtd scores by sub-groups'!$A$5:$K$72,7,FALSE)</calculatedColumnFormula>
    </tableColumn>
    <tableColumn id="14" name="Activity financial" dataDxfId="219">
      <calculatedColumnFormula>VLOOKUP(Table13[[#This Row],[Donor Name]],'Wtd scores by sub-groups'!$A$5:$K$72,8,FALSE)</calculatedColumnFormula>
    </tableColumn>
    <tableColumn id="15" name="Activity performance" dataDxfId="218">
      <calculatedColumnFormula>VLOOKUP(Table13[[#This Row],[Donor Name]],'Wtd scores by sub-groups'!$A$5:$K$72,9,FALSE)</calculatedColumnFormula>
    </tableColumn>
    <tableColumn id="16" name="FOIA" dataDxfId="217">
      <calculatedColumnFormula>VLOOKUP(Table13[[#This Row],[Donor Name]],'Weighted scores by indicator'!$A$7:$AO$74,2,FALSE)</calculatedColumnFormula>
    </tableColumn>
    <tableColumn id="17" name="Implementation schedules" dataDxfId="216">
      <calculatedColumnFormula>VLOOKUP(Table13[[#This Row],[Donor Name]],'Weighted scores by indicator'!$A$7:$AO$74,3,FALSE)</calculatedColumnFormula>
    </tableColumn>
    <tableColumn id="18" name="Accessibility" dataDxfId="215">
      <calculatedColumnFormula>VLOOKUP(Table13[[#This Row],[Donor Name]],'Weighted scores by indicator'!$A$7:$AO$74,4,FALSE)</calculatedColumnFormula>
    </tableColumn>
    <tableColumn id="19" name="Organisation strategy" dataDxfId="214">
      <calculatedColumnFormula>VLOOKUP(Table13[[#This Row],[Donor Name]],'Weighted scores by indicator'!$A$7:$AO$74,5,FALSE)</calculatedColumnFormula>
    </tableColumn>
    <tableColumn id="20" name="Annual report" dataDxfId="213">
      <calculatedColumnFormula>VLOOKUP(Table13[[#This Row],[Donor Name]],'Weighted scores by indicator'!$A$7:$AO$74,6,FALSE)</calculatedColumnFormula>
    </tableColumn>
    <tableColumn id="21" name="Allocation policy" dataDxfId="212">
      <calculatedColumnFormula>VLOOKUP(Table13[[#This Row],[Donor Name]],'Weighted scores by indicator'!$A$7:$AO$74,7,FALSE)</calculatedColumnFormula>
    </tableColumn>
    <tableColumn id="22" name="Procurement policy" dataDxfId="211">
      <calculatedColumnFormula>VLOOKUP(Table13[[#This Row],[Donor Name]],'Weighted scores by indicator'!$A$7:$AO$74,8,FALSE)</calculatedColumnFormula>
    </tableColumn>
    <tableColumn id="23" name="Country strategy" dataDxfId="210">
      <calculatedColumnFormula>VLOOKUP(Table13[[#This Row],[Donor Name]],'Weighted scores by indicator'!$A$7:$AO$74,9,FALSE)</calculatedColumnFormula>
    </tableColumn>
    <tableColumn id="24" name="Total budget" dataDxfId="209">
      <calculatedColumnFormula>VLOOKUP(Table13[[#This Row],[Donor Name]],'Weighted scores by indicator'!$A$7:$AO$74,10,FALSE)</calculatedColumnFormula>
    </tableColumn>
    <tableColumn id="25" name="Disaggregated budgets" dataDxfId="208">
      <calculatedColumnFormula>VLOOKUP(Table13[[#This Row],[Donor Name]],'Weighted scores by indicator'!$A$7:$AO$74,11,FALSE)</calculatedColumnFormula>
    </tableColumn>
    <tableColumn id="26" name="Audit" dataDxfId="207">
      <calculatedColumnFormula>VLOOKUP(Table13[[#This Row],[Donor Name]],'Weighted scores by indicator'!$A$7:$AO$74,12,FALSE)</calculatedColumnFormula>
    </tableColumn>
    <tableColumn id="27" name="Implementer" dataDxfId="206">
      <calculatedColumnFormula>VLOOKUP(Table13[[#This Row],[Donor Name]],'Weighted scores by indicator'!$A$7:$AO$74,13,FALSE)</calculatedColumnFormula>
    </tableColumn>
    <tableColumn id="28" name="Unique ID" dataDxfId="205">
      <calculatedColumnFormula>VLOOKUP(Table13[[#This Row],[Donor Name]],'Weighted scores by indicator'!$A$7:$AO$74,14,FALSE)</calculatedColumnFormula>
    </tableColumn>
    <tableColumn id="29" name="Title" dataDxfId="204">
      <calculatedColumnFormula>VLOOKUP(Table13[[#This Row],[Donor Name]],'Weighted scores by indicator'!$A$7:$AO$74,15,FALSE)</calculatedColumnFormula>
    </tableColumn>
    <tableColumn id="30" name="Description" dataDxfId="203">
      <calculatedColumnFormula>VLOOKUP(Table13[[#This Row],[Donor Name]],'Weighted scores by indicator'!$A$7:$AO$74,16,FALSE)</calculatedColumnFormula>
    </tableColumn>
    <tableColumn id="31" name="Planned dates" dataDxfId="202">
      <calculatedColumnFormula>VLOOKUP(Table13[[#This Row],[Donor Name]],'Weighted scores by indicator'!$A$7:$AO$74,17,FALSE)</calculatedColumnFormula>
    </tableColumn>
    <tableColumn id="32" name="Actual dates" dataDxfId="201">
      <calculatedColumnFormula>VLOOKUP(Table13[[#This Row],[Donor Name]],'Weighted scores by indicator'!$A$7:$AO$74,18,FALSE)</calculatedColumnFormula>
    </tableColumn>
    <tableColumn id="33" name="Current Status" dataDxfId="200">
      <calculatedColumnFormula>VLOOKUP(Table13[[#This Row],[Donor Name]],'Weighted scores by indicator'!$A$7:$AO$74,19,FALSE)</calculatedColumnFormula>
    </tableColumn>
    <tableColumn id="34" name="Contact details" dataDxfId="199">
      <calculatedColumnFormula>VLOOKUP(Table13[[#This Row],[Donor Name]],'Weighted scores by indicator'!$A$7:$AO$74,20,FALSE)</calculatedColumnFormula>
    </tableColumn>
    <tableColumn id="35" name="Collaboration Type" dataDxfId="198">
      <calculatedColumnFormula>VLOOKUP(Table13[[#This Row],[Donor Name]],'Weighted scores by indicator'!$A$7:$AO$74,21,FALSE)</calculatedColumnFormula>
    </tableColumn>
    <tableColumn id="36" name="Flow Type" dataDxfId="197">
      <calculatedColumnFormula>VLOOKUP(Table13[[#This Row],[Donor Name]],'Weighted scores by indicator'!$A$7:$AO$74,22,FALSE)</calculatedColumnFormula>
    </tableColumn>
    <tableColumn id="37" name="Aid Type" dataDxfId="196">
      <calculatedColumnFormula>VLOOKUP(Table13[[#This Row],[Donor Name]],'Weighted scores by indicator'!$A$7:$AO$74,23,FALSE)</calculatedColumnFormula>
    </tableColumn>
    <tableColumn id="38" name="Finance Type" dataDxfId="195">
      <calculatedColumnFormula>VLOOKUP(Table13[[#This Row],[Donor Name]],'Weighted scores by indicator'!$A$7:$AO$74,24,FALSE)</calculatedColumnFormula>
    </tableColumn>
    <tableColumn id="39" name="Sector" dataDxfId="194">
      <calculatedColumnFormula>VLOOKUP(Table13[[#This Row],[Donor Name]],'Weighted scores by indicator'!$A$7:$AO$74,25,FALSE)</calculatedColumnFormula>
    </tableColumn>
    <tableColumn id="40" name="Sub-national location" dataDxfId="193">
      <calculatedColumnFormula>VLOOKUP(Table13[[#This Row],[Donor Name]],'Weighted scores by indicator'!$A$7:$AO$74,26,FALSE)</calculatedColumnFormula>
    </tableColumn>
    <tableColumn id="41" name="Tied Aid Status" dataDxfId="192">
      <calculatedColumnFormula>VLOOKUP(Table13[[#This Row],[Donor Name]],'Weighted scores by indicator'!$A$7:$AO$74,27,FALSE)</calculatedColumnFormula>
    </tableColumn>
    <tableColumn id="42" name="MoU" dataDxfId="191">
      <calculatedColumnFormula>VLOOKUP(Table13[[#This Row],[Donor Name]],'Weighted scores by indicator'!$A$7:$AO$74,28,FALSE)</calculatedColumnFormula>
    </tableColumn>
    <tableColumn id="43" name="Evaluations" dataDxfId="190">
      <calculatedColumnFormula>VLOOKUP(Table13[[#This Row],[Donor Name]],'Weighted scores by indicator'!$A$7:$AO$74,29,FALSE)</calculatedColumnFormula>
    </tableColumn>
    <tableColumn id="44" name="Objectives" dataDxfId="189">
      <calculatedColumnFormula>VLOOKUP(Table13[[#This Row],[Donor Name]],'Weighted scores by indicator'!$A$7:$AO$74,30,FALSE)</calculatedColumnFormula>
    </tableColumn>
    <tableColumn id="45" name="Budget Docs" dataDxfId="188">
      <calculatedColumnFormula>VLOOKUP(Table13[[#This Row],[Donor Name]],'Weighted scores by indicator'!$A$7:$AO$74,31,FALSE)</calculatedColumnFormula>
    </tableColumn>
    <tableColumn id="46" name="Contracts" dataDxfId="187">
      <calculatedColumnFormula>VLOOKUP(Table13[[#This Row],[Donor Name]],'Weighted scores by indicator'!$A$7:$AO$74,32,FALSE)</calculatedColumnFormula>
    </tableColumn>
    <tableColumn id="47" name="Tenders" dataDxfId="186">
      <calculatedColumnFormula>VLOOKUP(Table13[[#This Row],[Donor Name]],'Weighted scores by indicator'!$A$7:$AO$74,33,FALSE)</calculatedColumnFormula>
    </tableColumn>
    <tableColumn id="48" name="Budget" dataDxfId="185">
      <calculatedColumnFormula>VLOOKUP(Table13[[#This Row],[Donor Name]],'Weighted scores by indicator'!$A$7:$AO$74,34,FALSE)</calculatedColumnFormula>
    </tableColumn>
    <tableColumn id="49" name="Commitments" dataDxfId="184">
      <calculatedColumnFormula>VLOOKUP(Table13[[#This Row],[Donor Name]],'Weighted scores by indicator'!$A$7:$AO$74,35,FALSE)</calculatedColumnFormula>
    </tableColumn>
    <tableColumn id="50" name="Disbursements and expenditure" dataDxfId="183">
      <calculatedColumnFormula>VLOOKUP(Table13[[#This Row],[Donor Name]],'Weighted scores by indicator'!$A$7:$AO$74,36,FALSE)</calculatedColumnFormula>
    </tableColumn>
    <tableColumn id="51" name="Budget Identifier" dataDxfId="182">
      <calculatedColumnFormula>VLOOKUP(Table13[[#This Row],[Donor Name]],'Weighted scores by indicator'!$A$7:$AO$74,37,FALSE)</calculatedColumnFormula>
    </tableColumn>
    <tableColumn id="52" name="Results" dataDxfId="181">
      <calculatedColumnFormula>VLOOKUP(Table13[[#This Row],[Donor Name]],'Weighted scores by indicator'!$A$7:$AO$74,38,FALSE)</calculatedColumnFormula>
    </tableColumn>
    <tableColumn id="53" name="Impact Appraisals" dataDxfId="180">
      <calculatedColumnFormula>VLOOKUP(Table13[[#This Row],[Donor Name]],'Weighted scores by indicator'!$A$7:$AO$74,39,FALSE)</calculatedColumnFormula>
    </tableColumn>
    <tableColumn id="54" name="Conditions" dataDxfId="179">
      <calculatedColumnFormula>VLOOKUP(Table13[[#This Row],[Donor Name]],'Weighted scores by indicator'!$A$7:$AO$74,40,FALSE)</calculatedColumnFormula>
    </tableColumn>
    <tableColumn id="56" name="No of indicators not scoring on" dataDxfId="178">
      <calculatedColumnFormula>COUNTIF(Table13[[#This Row],[FOIA]:[Conditions]],"0")</calculatedColumnFormula>
    </tableColumn>
    <tableColumn id="57" name="No of indicators scoring on" dataDxfId="177">
      <calculatedColumnFormula>COUNTIF(Table13[[#This Row],[FOIA]:[Conditions]],"&gt;0")</calculatedColumnFormula>
    </tableColumn>
  </tableColumns>
  <tableStyleInfo name="TableStyleMedium2 2" showFirstColumn="0" showLastColumn="0" showRowStripes="1" showColumnStripes="0"/>
</table>
</file>

<file path=xl/tables/table9.xml><?xml version="1.0" encoding="utf-8"?>
<table xmlns="http://schemas.openxmlformats.org/spreadsheetml/2006/main" id="14" name="Table14" displayName="Table14" ref="B58:D63" totalsRowShown="0">
  <autoFilter ref="B58:D63"/>
  <tableColumns count="3">
    <tableColumn id="1" name="Performance Categories"/>
    <tableColumn id="2" name="No. of bilaterals" dataDxfId="176"/>
    <tableColumn id="3" name="% of bilaterals">
      <calculatedColumnFormula>C59/50%</calculatedColumnFormula>
    </tableColumn>
  </tableColumns>
  <tableStyleInfo name="TableStyleMedium2 2" showFirstColumn="0" showLastColumn="0" showRowStripes="1" showColumnStripes="0"/>
</table>
</file>

<file path=xl/tables/table10.xml><?xml version="1.0" encoding="utf-8"?>
<table xmlns="http://schemas.openxmlformats.org/spreadsheetml/2006/main" id="15" name="Table1316" displayName="Table1316" ref="A3:BG20" totalsRowShown="0" headerRowDxfId="175" headerRowBorderDxfId="174" tableBorderDxfId="173" totalsRowBorderDxfId="172">
  <autoFilter ref="A3:BG20"/>
  <sortState ref="A4:BB22">
    <sortCondition descending="1" ref="C3:C22"/>
  </sortState>
  <tableColumns count="59">
    <tableColumn id="1" name="Org ID" dataDxfId="171"/>
    <tableColumn id="2" name="Donor Name" dataDxfId="170"/>
    <tableColumn id="3" name="Overall Score" dataDxfId="169">
      <calculatedColumnFormula>VLOOKUP(Table1316[[#This Row],[Donor Name]],'Overall scores and ranking'!$A$3:$D$72,2,FALSE)</calculatedColumnFormula>
    </tableColumn>
    <tableColumn id="4" name="Overall rank" dataDxfId="168">
      <calculatedColumnFormula>VLOOKUP(Table1316[[#This Row],[Donor Name]],'Overall scores and ranking'!$A$3:$D$72,3,FALSE)</calculatedColumnFormula>
    </tableColumn>
    <tableColumn id="59" name="Rank amongst multilaterals" dataDxfId="167">
      <calculatedColumnFormula>RANK(Table1316[[#This Row],[Overall Score]],Table1316[Overall Score])</calculatedColumnFormula>
    </tableColumn>
    <tableColumn id="5" name="Performance Group" dataDxfId="166">
      <calculatedColumnFormula>VLOOKUP(Table1316[[#This Row],[Donor Name]],'Overall scores and ranking'!$A$3:$D$72,4,FALSE)</calculatedColumnFormula>
    </tableColumn>
    <tableColumn id="6" name="IATI" dataDxfId="165">
      <calculatedColumnFormula>VLOOKUP(Table1316[[#This Row],[Donor Name]],'Wtd - IATI vs Others'!$A$5:$D$72,2,FALSE)</calculatedColumnFormula>
    </tableColumn>
    <tableColumn id="7" name="Other formats" dataDxfId="164">
      <calculatedColumnFormula>VLOOKUP(Table1316[[#This Row],[Donor Name]],'Wtd - IATI vs Others'!$A$5:$D$72,3,FALSE)</calculatedColumnFormula>
    </tableColumn>
    <tableColumn id="8" name="Commitment" dataDxfId="163">
      <calculatedColumnFormula>VLOOKUP(Table1316[[#This Row],[Donor Name]],'Wtd scores by sub-groups'!$A$5:$K$72,2,FALSE)</calculatedColumnFormula>
    </tableColumn>
    <tableColumn id="9" name="Organisation Planning" dataDxfId="162">
      <calculatedColumnFormula>VLOOKUP(Table1316[[#This Row],[Donor Name]],'Wtd scores by sub-groups'!$A$5:$K$72,3,FALSE)</calculatedColumnFormula>
    </tableColumn>
    <tableColumn id="10" name="Organisation Financial" dataDxfId="161">
      <calculatedColumnFormula>VLOOKUP(Table1316[[#This Row],[Donor Name]],'Wtd scores by sub-groups'!$A$5:$K$72,4,FALSE)</calculatedColumnFormula>
    </tableColumn>
    <tableColumn id="11" name="Activity Basic" dataDxfId="160">
      <calculatedColumnFormula>VLOOKUP(Table1316[[#This Row],[Donor Name]],'Wtd scores by sub-groups'!$A$5:$K$72,5,FALSE)</calculatedColumnFormula>
    </tableColumn>
    <tableColumn id="12" name="Activity Classifications" dataDxfId="159">
      <calculatedColumnFormula>VLOOKUP(Table1316[[#This Row],[Donor Name]],'Wtd scores by sub-groups'!$A$5:$K$72,6,FALSE)</calculatedColumnFormula>
    </tableColumn>
    <tableColumn id="13" name="Activity related documents" dataDxfId="158">
      <calculatedColumnFormula>VLOOKUP(Table1316[[#This Row],[Donor Name]],'Wtd scores by sub-groups'!$A$5:$K$72,7,FALSE)</calculatedColumnFormula>
    </tableColumn>
    <tableColumn id="14" name="Activity financial" dataDxfId="157">
      <calculatedColumnFormula>VLOOKUP(Table1316[[#This Row],[Donor Name]],'Wtd scores by sub-groups'!$A$5:$K$72,8,FALSE)</calculatedColumnFormula>
    </tableColumn>
    <tableColumn id="15" name="Activity performance" dataDxfId="156">
      <calculatedColumnFormula>VLOOKUP(Table1316[[#This Row],[Donor Name]],'Wtd scores by sub-groups'!$A$5:$K$72,9,FALSE)</calculatedColumnFormula>
    </tableColumn>
    <tableColumn id="16" name="FOIA" dataDxfId="155">
      <calculatedColumnFormula>VLOOKUP(Table1316[[#This Row],[Donor Name]],'Weighted scores by indicator'!$A$7:$AO$74,2,FALSE)</calculatedColumnFormula>
    </tableColumn>
    <tableColumn id="17" name="Implementation schedules" dataDxfId="154">
      <calculatedColumnFormula>VLOOKUP(Table1316[[#This Row],[Donor Name]],'Weighted scores by indicator'!$A$7:$AO$74,3,FALSE)</calculatedColumnFormula>
    </tableColumn>
    <tableColumn id="18" name="Accessibility" dataDxfId="153">
      <calculatedColumnFormula>VLOOKUP(Table1316[[#This Row],[Donor Name]],'Weighted scores by indicator'!$A$7:$AO$74,4,FALSE)</calculatedColumnFormula>
    </tableColumn>
    <tableColumn id="19" name="Organisation strategy" dataDxfId="152">
      <calculatedColumnFormula>VLOOKUP(Table1316[[#This Row],[Donor Name]],'Weighted scores by indicator'!$A$7:$AO$74,5,FALSE)</calculatedColumnFormula>
    </tableColumn>
    <tableColumn id="20" name="Annual report" dataDxfId="151">
      <calculatedColumnFormula>VLOOKUP(Table1316[[#This Row],[Donor Name]],'Weighted scores by indicator'!$A$7:$AO$74,6,FALSE)</calculatedColumnFormula>
    </tableColumn>
    <tableColumn id="21" name="Allocation policy" dataDxfId="150">
      <calculatedColumnFormula>VLOOKUP(Table1316[[#This Row],[Donor Name]],'Weighted scores by indicator'!$A$7:$AO$74,7,FALSE)</calculatedColumnFormula>
    </tableColumn>
    <tableColumn id="22" name="Procurement policy" dataDxfId="149">
      <calculatedColumnFormula>VLOOKUP(Table1316[[#This Row],[Donor Name]],'Weighted scores by indicator'!$A$7:$AO$74,8,FALSE)</calculatedColumnFormula>
    </tableColumn>
    <tableColumn id="23" name="Country strategy" dataDxfId="148">
      <calculatedColumnFormula>VLOOKUP(Table1316[[#This Row],[Donor Name]],'Weighted scores by indicator'!$A$7:$AO$74,9,FALSE)</calculatedColumnFormula>
    </tableColumn>
    <tableColumn id="24" name="Total budget" dataDxfId="147">
      <calculatedColumnFormula>VLOOKUP(Table1316[[#This Row],[Donor Name]],'Weighted scores by indicator'!$A$7:$AO$74,10,FALSE)</calculatedColumnFormula>
    </tableColumn>
    <tableColumn id="25" name="Disaggregated budgets" dataDxfId="146">
      <calculatedColumnFormula>VLOOKUP(Table1316[[#This Row],[Donor Name]],'Weighted scores by indicator'!$A$7:$AO$74,11,FALSE)</calculatedColumnFormula>
    </tableColumn>
    <tableColumn id="26" name="Audit" dataDxfId="145">
      <calculatedColumnFormula>VLOOKUP(Table1316[[#This Row],[Donor Name]],'Weighted scores by indicator'!$A$7:$AO$74,12,FALSE)</calculatedColumnFormula>
    </tableColumn>
    <tableColumn id="27" name="Implementer" dataDxfId="144">
      <calculatedColumnFormula>VLOOKUP(Table1316[[#This Row],[Donor Name]],'Weighted scores by indicator'!$A$7:$AO$74,13,FALSE)</calculatedColumnFormula>
    </tableColumn>
    <tableColumn id="28" name="Unique ID" dataDxfId="143">
      <calculatedColumnFormula>VLOOKUP(Table1316[[#This Row],[Donor Name]],'Weighted scores by indicator'!$A$7:$AO$74,14,FALSE)</calculatedColumnFormula>
    </tableColumn>
    <tableColumn id="29" name="Title" dataDxfId="142">
      <calculatedColumnFormula>VLOOKUP(Table1316[[#This Row],[Donor Name]],'Weighted scores by indicator'!$A$7:$AO$74,15,FALSE)</calculatedColumnFormula>
    </tableColumn>
    <tableColumn id="30" name="Description" dataDxfId="141">
      <calculatedColumnFormula>VLOOKUP(Table1316[[#This Row],[Donor Name]],'Weighted scores by indicator'!$A$7:$AO$74,16,FALSE)</calculatedColumnFormula>
    </tableColumn>
    <tableColumn id="31" name="Planned dates" dataDxfId="140">
      <calculatedColumnFormula>VLOOKUP(Table1316[[#This Row],[Donor Name]],'Weighted scores by indicator'!$A$7:$AO$74,17,FALSE)</calculatedColumnFormula>
    </tableColumn>
    <tableColumn id="32" name="Actual dates" dataDxfId="139">
      <calculatedColumnFormula>VLOOKUP(Table1316[[#This Row],[Donor Name]],'Weighted scores by indicator'!$A$7:$AO$74,18,FALSE)</calculatedColumnFormula>
    </tableColumn>
    <tableColumn id="33" name="Current Status" dataDxfId="138">
      <calculatedColumnFormula>VLOOKUP(Table1316[[#This Row],[Donor Name]],'Weighted scores by indicator'!$A$7:$AO$74,19,FALSE)</calculatedColumnFormula>
    </tableColumn>
    <tableColumn id="34" name="Contact details" dataDxfId="137">
      <calculatedColumnFormula>VLOOKUP(Table1316[[#This Row],[Donor Name]],'Weighted scores by indicator'!$A$7:$AO$74,20,FALSE)</calculatedColumnFormula>
    </tableColumn>
    <tableColumn id="35" name="Collaboration Type" dataDxfId="136">
      <calculatedColumnFormula>VLOOKUP(Table1316[[#This Row],[Donor Name]],'Weighted scores by indicator'!$A$7:$AO$74,21,FALSE)</calculatedColumnFormula>
    </tableColumn>
    <tableColumn id="36" name="Flow Type" dataDxfId="135">
      <calculatedColumnFormula>VLOOKUP(Table1316[[#This Row],[Donor Name]],'Weighted scores by indicator'!$A$7:$AO$74,22,FALSE)</calculatedColumnFormula>
    </tableColumn>
    <tableColumn id="37" name="Aid Type" dataDxfId="134">
      <calculatedColumnFormula>VLOOKUP(Table1316[[#This Row],[Donor Name]],'Weighted scores by indicator'!$A$7:$AO$74,23,FALSE)</calculatedColumnFormula>
    </tableColumn>
    <tableColumn id="38" name="Finance Type" dataDxfId="133">
      <calculatedColumnFormula>VLOOKUP(Table1316[[#This Row],[Donor Name]],'Weighted scores by indicator'!$A$7:$AO$74,24,FALSE)</calculatedColumnFormula>
    </tableColumn>
    <tableColumn id="39" name="Sector" dataDxfId="132">
      <calculatedColumnFormula>VLOOKUP(Table1316[[#This Row],[Donor Name]],'Weighted scores by indicator'!$A$7:$AO$74,25,FALSE)</calculatedColumnFormula>
    </tableColumn>
    <tableColumn id="40" name="Sub-national location" dataDxfId="131">
      <calculatedColumnFormula>VLOOKUP(Table1316[[#This Row],[Donor Name]],'Weighted scores by indicator'!$A$7:$AO$74,26,FALSE)</calculatedColumnFormula>
    </tableColumn>
    <tableColumn id="41" name="Tied Aid Status" dataDxfId="130">
      <calculatedColumnFormula>VLOOKUP(Table1316[[#This Row],[Donor Name]],'Weighted scores by indicator'!$A$7:$AO$74,27,FALSE)</calculatedColumnFormula>
    </tableColumn>
    <tableColumn id="42" name="MoU" dataDxfId="129">
      <calculatedColumnFormula>VLOOKUP(Table1316[[#This Row],[Donor Name]],'Weighted scores by indicator'!$A$7:$AO$74,28,FALSE)</calculatedColumnFormula>
    </tableColumn>
    <tableColumn id="43" name="Evaluations" dataDxfId="128">
      <calculatedColumnFormula>VLOOKUP(Table1316[[#This Row],[Donor Name]],'Weighted scores by indicator'!$A$7:$AO$74,29,FALSE)</calculatedColumnFormula>
    </tableColumn>
    <tableColumn id="44" name="Objectives" dataDxfId="127">
      <calculatedColumnFormula>VLOOKUP(Table1316[[#This Row],[Donor Name]],'Weighted scores by indicator'!$A$7:$AO$74,30,FALSE)</calculatedColumnFormula>
    </tableColumn>
    <tableColumn id="45" name="Budget Docs" dataDxfId="126">
      <calculatedColumnFormula>VLOOKUP(Table1316[[#This Row],[Donor Name]],'Weighted scores by indicator'!$A$7:$AO$74,31,FALSE)</calculatedColumnFormula>
    </tableColumn>
    <tableColumn id="46" name="Contracts" dataDxfId="125">
      <calculatedColumnFormula>VLOOKUP(Table1316[[#This Row],[Donor Name]],'Weighted scores by indicator'!$A$7:$AO$74,32,FALSE)</calculatedColumnFormula>
    </tableColumn>
    <tableColumn id="47" name="Tenders" dataDxfId="124">
      <calculatedColumnFormula>VLOOKUP(Table1316[[#This Row],[Donor Name]],'Weighted scores by indicator'!$A$7:$AO$74,33,FALSE)</calculatedColumnFormula>
    </tableColumn>
    <tableColumn id="48" name="Budget" dataDxfId="123">
      <calculatedColumnFormula>VLOOKUP(Table1316[[#This Row],[Donor Name]],'Weighted scores by indicator'!$A$7:$AO$74,34,FALSE)</calculatedColumnFormula>
    </tableColumn>
    <tableColumn id="49" name="Commitments" dataDxfId="122">
      <calculatedColumnFormula>VLOOKUP(Table1316[[#This Row],[Donor Name]],'Weighted scores by indicator'!$A$7:$AO$74,35,FALSE)</calculatedColumnFormula>
    </tableColumn>
    <tableColumn id="50" name="Disbursements and expenditure" dataDxfId="121">
      <calculatedColumnFormula>VLOOKUP(Table1316[[#This Row],[Donor Name]],'Weighted scores by indicator'!$A$7:$AO$74,36,FALSE)</calculatedColumnFormula>
    </tableColumn>
    <tableColumn id="51" name="Budget Identifier" dataDxfId="120">
      <calculatedColumnFormula>VLOOKUP(Table1316[[#This Row],[Donor Name]],'Weighted scores by indicator'!$A$7:$AO$74,37,FALSE)</calculatedColumnFormula>
    </tableColumn>
    <tableColumn id="52" name="Results" dataDxfId="119">
      <calculatedColumnFormula>VLOOKUP(Table1316[[#This Row],[Donor Name]],'Weighted scores by indicator'!$A$7:$AO$74,38,FALSE)</calculatedColumnFormula>
    </tableColumn>
    <tableColumn id="53" name="Impact Appraisals" dataDxfId="118">
      <calculatedColumnFormula>VLOOKUP(Table1316[[#This Row],[Donor Name]],'Weighted scores by indicator'!$A$7:$AO$74,39,FALSE)</calculatedColumnFormula>
    </tableColumn>
    <tableColumn id="54" name="Conditions" dataDxfId="117">
      <calculatedColumnFormula>VLOOKUP(Table1316[[#This Row],[Donor Name]],'Weighted scores by indicator'!$A$7:$AO$74,40,FALSE)</calculatedColumnFormula>
    </tableColumn>
    <tableColumn id="55" name="No of indicators not scoring on" dataDxfId="116">
      <calculatedColumnFormula>COUNTIF(Table1316[[#This Row],[FOIA]:[Conditions]],"0")</calculatedColumnFormula>
    </tableColumn>
    <tableColumn id="56" name="No of indicators scoring on" dataDxfId="115">
      <calculatedColumnFormula>COUNTIF(Table1316[[#This Row],[FOIA]:[Conditions]],"&gt;0")</calculatedColumnFormula>
    </tableColumn>
    <tableColumn id="57" name="Column1" dataDxfId="114"/>
    <tableColumn id="58" name="Checkbox" dataDxfId="113">
      <calculatedColumnFormula>39-SUM(Table13[[#This Row],[No of indicators not scoring on]:[No of indicators scoring on]])</calculatedColumnFormula>
    </tableColumn>
  </tableColumns>
  <tableStyleInfo name="TableStyleMedium2 2" showFirstColumn="0" showLastColumn="0" showRowStripes="1" showColumnStripes="0"/>
</table>
</file>

<file path=xl/tables/table11.xml><?xml version="1.0" encoding="utf-8"?>
<table xmlns="http://schemas.openxmlformats.org/spreadsheetml/2006/main" id="16" name="Table1417" displayName="Table1417" ref="B24:D29" totalsRowShown="0">
  <autoFilter ref="B24:D29"/>
  <tableColumns count="3">
    <tableColumn id="1" name="Performance Categories"/>
    <tableColumn id="2" name="No. of multilaterals" dataDxfId="112"/>
    <tableColumn id="3" name="% of multilaterals" dataDxfId="111">
      <calculatedColumnFormula>C25/17%</calculatedColumnFormula>
    </tableColumn>
  </tableColumns>
  <tableStyleInfo name="TableStyleMedium2 2" showFirstColumn="0" showLastColumn="0" showRowStripes="1" showColumnStripes="0"/>
</table>
</file>

<file path=xl/tables/table12.xml><?xml version="1.0" encoding="utf-8"?>
<table xmlns="http://schemas.openxmlformats.org/spreadsheetml/2006/main" id="36" name="Table36" displayName="Table36" ref="H9:J15" totalsRowShown="0">
  <autoFilter ref="H9:J15"/>
  <tableColumns count="3">
    <tableColumn id="1" name="Performance category"/>
    <tableColumn id="2" name="Value of aid" dataDxfId="65"/>
    <tableColumn id="3" name="Column1" dataDxfId="64">
      <calculatedColumnFormula>Table36[[#This Row],[Value of aid]]/SUM($I$10:$I$14)%</calculatedColumnFormula>
    </tableColumn>
  </tableColumns>
  <tableStyleInfo name="TableStyleMedium2 2" showFirstColumn="0" showLastColumn="0" showRowStripes="1" showColumnStripes="0"/>
</table>
</file>

<file path=xl/tables/table13.xml><?xml version="1.0" encoding="utf-8"?>
<table xmlns="http://schemas.openxmlformats.org/spreadsheetml/2006/main" id="4" name="Table4" displayName="Table4" ref="A1:D69" totalsRowShown="0" headerRowDxfId="63">
  <autoFilter ref="A1:D69"/>
  <tableColumns count="4">
    <tableColumn id="1" name="Org_code" dataDxfId="62"/>
    <tableColumn id="2" name="Donor">
      <calculatedColumnFormula>VLOOKUP(A2,[1]!Table1[[Org_codes]:[Donor name]],2,FALSE)</calculatedColumnFormula>
    </tableColumn>
    <tableColumn id="3" name="Overall result" dataDxfId="61">
      <calculatedColumnFormula>VLOOKUP(A2,[1]!Table1[[#All],[Org_codes]:[Weighted overall result]],3,FALSE)</calculatedColumnFormula>
    </tableColumn>
    <tableColumn id="4" name="Overall rank" dataDxfId="60">
      <calculatedColumnFormula>RANK(C2,C$3:C$70)</calculatedColumnFormula>
    </tableColumn>
  </tableColumns>
  <tableStyleInfo name="TableStyleMedium2 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8" Type="http://schemas.openxmlformats.org/officeDocument/2006/relationships/hyperlink" Target="http://www.pepfar.gov/documents/organization/183974.pdf" TargetMode="External"/><Relationship Id="rId13" Type="http://schemas.openxmlformats.org/officeDocument/2006/relationships/hyperlink" Target="http://www.mfa.gov.lv/data/Belarus/file/copy%20of%20lvl%20oda%20total%202012.xls" TargetMode="External"/><Relationship Id="rId18" Type="http://schemas.openxmlformats.org/officeDocument/2006/relationships/hyperlink" Target="http://www.cgdev.org/sites/default/files/chinese-development-finance-africa_0.pdf" TargetMode="External"/><Relationship Id="rId3" Type="http://schemas.openxmlformats.org/officeDocument/2006/relationships/hyperlink" Target="http://www.oecd.org/dac/peer-reviews/slovenia-dacs-29th-member.htm" TargetMode="External"/><Relationship Id="rId21" Type="http://schemas.openxmlformats.org/officeDocument/2006/relationships/hyperlink" Target="https://www.devex.com/news/setting-its-own-course-brazil-foreign-aid-expands-and-evolves-78631" TargetMode="External"/><Relationship Id="rId7" Type="http://schemas.openxmlformats.org/officeDocument/2006/relationships/hyperlink" Target="http://www.pepfar.gov/documents/organization/189671.pdf" TargetMode="External"/><Relationship Id="rId12" Type="http://schemas.openxmlformats.org/officeDocument/2006/relationships/hyperlink" Target="http://www.cyprusaid.gov.cy/planning/cyprusaid.nsf/all/DAB6D9BBCC7DEF8DC2257C36003CD833/$file/2012%20-%20ENGLISH.pdf?openelement" TargetMode="External"/><Relationship Id="rId17" Type="http://schemas.openxmlformats.org/officeDocument/2006/relationships/hyperlink" Target="http://ec.europa.eu/europeaid/what/development-policies/financing_for_development/documents/accountability-report-2013/2013_croatia_donor_profile_en.pdf" TargetMode="External"/><Relationship Id="rId2" Type="http://schemas.openxmlformats.org/officeDocument/2006/relationships/hyperlink" Target="http://ec.europa.eu/enlargement/instruments/overview/index_en.htm" TargetMode="External"/><Relationship Id="rId16" Type="http://schemas.openxmlformats.org/officeDocument/2006/relationships/hyperlink" Target="http://icai.independent.gov.uk/wp-content/uploads/2011/11/Conflict-pool-ToRs-FINAL5.pdf" TargetMode="External"/><Relationship Id="rId20" Type="http://schemas.openxmlformats.org/officeDocument/2006/relationships/hyperlink" Target="http://www.euroresources.org/guide/donor_profiles/bg_bulgaria.html" TargetMode="External"/><Relationship Id="rId1" Type="http://schemas.openxmlformats.org/officeDocument/2006/relationships/hyperlink" Target="http://ec.europa.eu/enlargement/instruments/overview/index_en.htm" TargetMode="External"/><Relationship Id="rId6" Type="http://schemas.openxmlformats.org/officeDocument/2006/relationships/hyperlink" Target="https://docs.unocha.org/sites/dms/Documents/Global%20Overview%20of%202012%20Pooled%20Funding%20-%20CERF,%20CHFs%20and%20ERFs.pdf" TargetMode="External"/><Relationship Id="rId11" Type="http://schemas.openxmlformats.org/officeDocument/2006/relationships/hyperlink" Target="http://www.vm.ee/?q=en/node/14944" TargetMode="External"/><Relationship Id="rId5" Type="http://schemas.openxmlformats.org/officeDocument/2006/relationships/hyperlink" Target="https://docs.unocha.org/sites/dms/Documents/Global%20Overview%20of%202012%20Pooled%20Funding%20-%20CERF,%20CHFs%20and%20ERFs.pdf" TargetMode="External"/><Relationship Id="rId15" Type="http://schemas.openxmlformats.org/officeDocument/2006/relationships/hyperlink" Target="http://www.aod.ro/resurse/RAPORT%20ODA%202012_EN.pdf" TargetMode="External"/><Relationship Id="rId23" Type="http://schemas.openxmlformats.org/officeDocument/2006/relationships/table" Target="../tables/table2.xml"/><Relationship Id="rId10" Type="http://schemas.openxmlformats.org/officeDocument/2006/relationships/hyperlink" Target="http://ec.europa.eu/echo/files/funding/figures/budget_implementation/AnnexVIII.pdf" TargetMode="External"/><Relationship Id="rId19" Type="http://schemas.openxmlformats.org/officeDocument/2006/relationships/hyperlink" Target="http://www.kormany.hu/download/e/cf/f0000/Magyarorsz%C3%A1g%202012%20%C3%A9vi%20nemzetk%C3%B6zi%20fejleszt%C3%A9si%20%C3%A9s%20humanit%C3%A1rius%20seg%C3%ADts%C3%A9gny%C3%BAjt%C3%A1si%20tev%C3%A9kenys%C3%A9g%C3%A9r%C5%91l.pdf" TargetMode="External"/><Relationship Id="rId4" Type="http://schemas.openxmlformats.org/officeDocument/2006/relationships/hyperlink" Target="http://www.mzz.gov.si/fileadmin/pageuploads/Zunanja_politika/brosura_MRS_2011_outlines_a.pdf" TargetMode="External"/><Relationship Id="rId9" Type="http://schemas.openxmlformats.org/officeDocument/2006/relationships/hyperlink" Target="http://ec.europa.eu/echo/files/funding/figures/budget_implementation/AnnexVIII.pdf" TargetMode="External"/><Relationship Id="rId14" Type="http://schemas.openxmlformats.org/officeDocument/2006/relationships/hyperlink" Target="http://www.orangeprojects.lt/site/newfiles/files/LVB_2012_EN.pdf" TargetMode="External"/><Relationship Id="rId22" Type="http://schemas.openxmlformats.org/officeDocument/2006/relationships/hyperlink" Target="http://ec.europa.eu/dgs/fpi/documents/fpi_activity_report_2012_en.pdf"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2.xm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3.xml"/></Relationships>
</file>

<file path=xl/worksheets/_rels/sheet9.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4.xml"/><Relationship Id="rId1" Type="http://schemas.openxmlformats.org/officeDocument/2006/relationships/pivotTable" Target="../pivotTables/pivotTable4.xm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5.bin"/><Relationship Id="rId1" Type="http://schemas.openxmlformats.org/officeDocument/2006/relationships/pivotTable" Target="../pivotTables/pivotTable5.xml"/><Relationship Id="rId5" Type="http://schemas.microsoft.com/office/2007/relationships/slicer" Target="../slicers/slicer2.xml"/><Relationship Id="rId4" Type="http://schemas.openxmlformats.org/officeDocument/2006/relationships/table" Target="../tables/table5.xm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6.bin"/><Relationship Id="rId1" Type="http://schemas.openxmlformats.org/officeDocument/2006/relationships/pivotTable" Target="../pivotTables/pivotTable6.xml"/><Relationship Id="rId5" Type="http://schemas.microsoft.com/office/2007/relationships/slicer" Target="../slicers/slicer3.xml"/><Relationship Id="rId4" Type="http://schemas.openxmlformats.org/officeDocument/2006/relationships/table" Target="../tables/table6.xml"/></Relationships>
</file>

<file path=xl/worksheets/_rels/sheet13.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8.xml"/><Relationship Id="rId1" Type="http://schemas.openxmlformats.org/officeDocument/2006/relationships/pivotTable" Target="../pivotTables/pivotTable7.xml"/></Relationships>
</file>

<file path=xl/worksheets/_rels/sheet14.xml.rels><?xml version="1.0" encoding="UTF-8" standalone="yes"?>
<Relationships xmlns="http://schemas.openxmlformats.org/package/2006/relationships"><Relationship Id="rId1" Type="http://schemas.openxmlformats.org/officeDocument/2006/relationships/pivotTable" Target="../pivotTables/pivotTable8.xml"/></Relationships>
</file>

<file path=xl/worksheets/_rels/sheet15.xml.rels><?xml version="1.0" encoding="UTF-8" standalone="yes"?>
<Relationships xmlns="http://schemas.openxmlformats.org/package/2006/relationships"><Relationship Id="rId1" Type="http://schemas.openxmlformats.org/officeDocument/2006/relationships/pivotTable" Target="../pivotTables/pivotTable9.xml"/></Relationships>
</file>

<file path=xl/worksheets/_rels/sheet16.xml.rels><?xml version="1.0" encoding="UTF-8" standalone="yes"?>
<Relationships xmlns="http://schemas.openxmlformats.org/package/2006/relationships"><Relationship Id="rId1" Type="http://schemas.openxmlformats.org/officeDocument/2006/relationships/pivotTable" Target="../pivotTables/pivotTable10.xml"/></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ivotTable" Target="../pivotTables/pivotTable11.xml"/></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pivotTable" Target="../pivotTables/pivotTable12.xml"/></Relationships>
</file>

<file path=xl/worksheets/_rels/sheet20.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drawing" Target="../drawings/drawing10.xml"/></Relationships>
</file>

<file path=xl/worksheets/_rels/sheet21.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table" Target="../tables/table10.xml"/><Relationship Id="rId1" Type="http://schemas.openxmlformats.org/officeDocument/2006/relationships/drawing" Target="../drawings/drawing11.xml"/></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ivotTable" Target="../pivotTables/pivotTable14.xml"/><Relationship Id="rId1" Type="http://schemas.openxmlformats.org/officeDocument/2006/relationships/pivotTable" Target="../pivotTables/pivotTable13.xml"/><Relationship Id="rId4" Type="http://schemas.openxmlformats.org/officeDocument/2006/relationships/table" Target="../tables/table12.xml"/></Relationships>
</file>

<file path=xl/worksheets/_rels/sheet23.xml.rels><?xml version="1.0" encoding="UTF-8" standalone="yes"?>
<Relationships xmlns="http://schemas.openxmlformats.org/package/2006/relationships"><Relationship Id="rId1" Type="http://schemas.openxmlformats.org/officeDocument/2006/relationships/table" Target="../tables/table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A2653"/>
  <sheetViews>
    <sheetView tabSelected="1" topLeftCell="A52" workbookViewId="0">
      <selection activeCell="F19" sqref="F19"/>
    </sheetView>
  </sheetViews>
  <sheetFormatPr defaultColWidth="24.28515625" defaultRowHeight="15" x14ac:dyDescent="0.25"/>
  <cols>
    <col min="1" max="16384" width="24.28515625" style="19"/>
  </cols>
  <sheetData>
    <row r="1" spans="1:27" ht="33" customHeight="1" x14ac:dyDescent="0.25">
      <c r="A1" s="19" t="s">
        <v>0</v>
      </c>
      <c r="B1" s="19" t="s">
        <v>1</v>
      </c>
      <c r="C1" s="19" t="s">
        <v>2</v>
      </c>
      <c r="D1" s="19" t="s">
        <v>3</v>
      </c>
      <c r="E1" s="19" t="s">
        <v>4</v>
      </c>
      <c r="F1" s="19" t="s">
        <v>5</v>
      </c>
      <c r="G1" s="19" t="s">
        <v>6</v>
      </c>
      <c r="H1" s="19" t="s">
        <v>7</v>
      </c>
      <c r="I1" s="19" t="s">
        <v>8</v>
      </c>
      <c r="J1" s="19" t="s">
        <v>9</v>
      </c>
      <c r="K1" s="19" t="s">
        <v>10</v>
      </c>
      <c r="L1" s="19" t="s">
        <v>11</v>
      </c>
      <c r="M1" s="19" t="s">
        <v>12</v>
      </c>
      <c r="N1" s="19" t="s">
        <v>13</v>
      </c>
      <c r="O1" s="19" t="s">
        <v>14</v>
      </c>
      <c r="P1" s="19" t="s">
        <v>15</v>
      </c>
      <c r="Q1" s="19" t="s">
        <v>16</v>
      </c>
      <c r="R1" s="19" t="s">
        <v>17</v>
      </c>
      <c r="S1" s="19" t="s">
        <v>18</v>
      </c>
      <c r="T1" s="19" t="s">
        <v>19</v>
      </c>
      <c r="U1" s="19" t="s">
        <v>20</v>
      </c>
      <c r="V1" s="19" t="s">
        <v>21</v>
      </c>
      <c r="W1" s="19" t="s">
        <v>22</v>
      </c>
      <c r="X1" s="19" t="s">
        <v>23</v>
      </c>
      <c r="Y1" s="19" t="s">
        <v>24</v>
      </c>
      <c r="Z1" s="19" t="s">
        <v>25</v>
      </c>
      <c r="AA1" s="19" t="s">
        <v>26</v>
      </c>
    </row>
    <row r="2" spans="1:27" x14ac:dyDescent="0.25">
      <c r="A2" s="19" t="s">
        <v>27</v>
      </c>
      <c r="B2" s="19" t="s">
        <v>28</v>
      </c>
      <c r="C2" s="19" t="s">
        <v>29</v>
      </c>
      <c r="D2" s="19">
        <v>0</v>
      </c>
      <c r="E2" s="19" t="s">
        <v>30</v>
      </c>
      <c r="F2" s="19" t="s">
        <v>31</v>
      </c>
      <c r="G2" s="19" t="s">
        <v>32</v>
      </c>
      <c r="H2" s="19" t="s">
        <v>33</v>
      </c>
      <c r="I2" s="19" t="s">
        <v>34</v>
      </c>
      <c r="J2" s="19">
        <v>17</v>
      </c>
      <c r="K2" s="19">
        <v>1.6299999999999999E-2</v>
      </c>
      <c r="L2" s="19" t="s">
        <v>35</v>
      </c>
      <c r="N2" s="19">
        <v>0</v>
      </c>
      <c r="O2" s="19">
        <v>0</v>
      </c>
      <c r="P2" s="19">
        <v>0</v>
      </c>
      <c r="Q2" s="19">
        <v>0</v>
      </c>
      <c r="S2" s="19">
        <v>1</v>
      </c>
      <c r="T2" s="19">
        <v>1</v>
      </c>
      <c r="U2" s="19">
        <v>0</v>
      </c>
      <c r="V2" s="19" t="s">
        <v>36</v>
      </c>
      <c r="W2" s="19">
        <v>0</v>
      </c>
      <c r="Z2" s="19">
        <v>0</v>
      </c>
      <c r="AA2" s="19">
        <v>0</v>
      </c>
    </row>
    <row r="3" spans="1:27" x14ac:dyDescent="0.25">
      <c r="A3" s="19" t="s">
        <v>37</v>
      </c>
      <c r="B3" s="19" t="s">
        <v>28</v>
      </c>
      <c r="C3" s="19" t="s">
        <v>29</v>
      </c>
      <c r="D3" s="19">
        <v>0.54327899999999996</v>
      </c>
      <c r="E3" s="19" t="s">
        <v>38</v>
      </c>
      <c r="F3" s="19" t="s">
        <v>39</v>
      </c>
      <c r="G3" s="19" t="s">
        <v>32</v>
      </c>
      <c r="H3" s="19" t="s">
        <v>33</v>
      </c>
      <c r="I3" s="19" t="s">
        <v>34</v>
      </c>
      <c r="J3" s="19">
        <v>19</v>
      </c>
      <c r="K3" s="19">
        <v>1.6299999999999999E-2</v>
      </c>
      <c r="L3" s="19" t="s">
        <v>35</v>
      </c>
      <c r="M3" s="19" t="s">
        <v>40</v>
      </c>
      <c r="N3" s="19">
        <v>33.33</v>
      </c>
      <c r="O3" s="19">
        <v>33.33</v>
      </c>
      <c r="P3" s="19">
        <v>0</v>
      </c>
      <c r="Q3" s="19">
        <v>0</v>
      </c>
      <c r="S3" s="19">
        <v>1</v>
      </c>
      <c r="T3" s="19">
        <v>1</v>
      </c>
      <c r="U3" s="19">
        <v>0</v>
      </c>
      <c r="V3" s="19" t="s">
        <v>41</v>
      </c>
      <c r="W3" s="19">
        <v>1</v>
      </c>
      <c r="Y3" s="19" t="s">
        <v>40</v>
      </c>
      <c r="Z3" s="19">
        <v>33.33</v>
      </c>
      <c r="AA3" s="19">
        <v>33.33</v>
      </c>
    </row>
    <row r="4" spans="1:27" x14ac:dyDescent="0.25">
      <c r="A4" s="19" t="s">
        <v>42</v>
      </c>
      <c r="B4" s="19" t="s">
        <v>28</v>
      </c>
      <c r="C4" s="19" t="s">
        <v>29</v>
      </c>
      <c r="D4" s="19">
        <v>0</v>
      </c>
      <c r="E4" s="19" t="s">
        <v>43</v>
      </c>
      <c r="F4" s="19" t="s">
        <v>44</v>
      </c>
      <c r="G4" s="19" t="s">
        <v>32</v>
      </c>
      <c r="H4" s="19" t="s">
        <v>33</v>
      </c>
      <c r="I4" s="19" t="s">
        <v>34</v>
      </c>
      <c r="J4" s="19">
        <v>18</v>
      </c>
      <c r="K4" s="19">
        <v>1.6299999999999999E-2</v>
      </c>
      <c r="L4" s="19" t="s">
        <v>35</v>
      </c>
      <c r="N4" s="19">
        <v>0</v>
      </c>
      <c r="O4" s="19">
        <v>0</v>
      </c>
      <c r="P4" s="19">
        <v>0</v>
      </c>
      <c r="Q4" s="19">
        <v>0</v>
      </c>
      <c r="S4" s="19">
        <v>1</v>
      </c>
      <c r="T4" s="19">
        <v>1</v>
      </c>
      <c r="U4" s="19">
        <v>0</v>
      </c>
      <c r="V4" s="19" t="s">
        <v>36</v>
      </c>
      <c r="W4" s="19">
        <v>0</v>
      </c>
      <c r="Z4" s="19">
        <v>0</v>
      </c>
      <c r="AA4" s="19">
        <v>0</v>
      </c>
    </row>
    <row r="5" spans="1:27" x14ac:dyDescent="0.25">
      <c r="A5" s="19" t="s">
        <v>45</v>
      </c>
      <c r="B5" s="19" t="s">
        <v>28</v>
      </c>
      <c r="C5" s="19" t="s">
        <v>29</v>
      </c>
      <c r="D5" s="19">
        <v>0.54327899999999996</v>
      </c>
      <c r="E5" s="19" t="s">
        <v>46</v>
      </c>
      <c r="F5" s="19" t="s">
        <v>47</v>
      </c>
      <c r="G5" s="19" t="s">
        <v>32</v>
      </c>
      <c r="H5" s="19" t="s">
        <v>33</v>
      </c>
      <c r="I5" s="19" t="s">
        <v>34</v>
      </c>
      <c r="J5" s="19">
        <v>15</v>
      </c>
      <c r="K5" s="19">
        <v>1.6299999999999999E-2</v>
      </c>
      <c r="L5" s="19" t="s">
        <v>35</v>
      </c>
      <c r="M5" s="19" t="s">
        <v>40</v>
      </c>
      <c r="N5" s="19">
        <v>33.33</v>
      </c>
      <c r="O5" s="19">
        <v>33.33</v>
      </c>
      <c r="P5" s="19">
        <v>0</v>
      </c>
      <c r="Q5" s="19">
        <v>0</v>
      </c>
      <c r="S5" s="19">
        <v>1</v>
      </c>
      <c r="T5" s="19">
        <v>1</v>
      </c>
      <c r="U5" s="19">
        <v>0</v>
      </c>
      <c r="V5" s="19" t="s">
        <v>41</v>
      </c>
      <c r="W5" s="19">
        <v>1</v>
      </c>
      <c r="Y5" s="19" t="s">
        <v>40</v>
      </c>
      <c r="Z5" s="19">
        <v>33.33</v>
      </c>
      <c r="AA5" s="19">
        <v>33.33</v>
      </c>
    </row>
    <row r="6" spans="1:27" x14ac:dyDescent="0.25">
      <c r="A6" s="19" t="s">
        <v>48</v>
      </c>
      <c r="B6" s="19" t="s">
        <v>28</v>
      </c>
      <c r="C6" s="19" t="s">
        <v>29</v>
      </c>
      <c r="D6" s="19">
        <v>0.54327899999999996</v>
      </c>
      <c r="E6" s="19" t="s">
        <v>49</v>
      </c>
      <c r="F6" s="19" t="s">
        <v>50</v>
      </c>
      <c r="G6" s="19" t="s">
        <v>32</v>
      </c>
      <c r="H6" s="19" t="s">
        <v>33</v>
      </c>
      <c r="I6" s="19" t="s">
        <v>34</v>
      </c>
      <c r="J6" s="19">
        <v>12</v>
      </c>
      <c r="K6" s="19">
        <v>1.6299999999999999E-2</v>
      </c>
      <c r="L6" s="19" t="s">
        <v>35</v>
      </c>
      <c r="M6" s="19" t="s">
        <v>40</v>
      </c>
      <c r="N6" s="19">
        <v>33.33</v>
      </c>
      <c r="O6" s="19">
        <v>33.33</v>
      </c>
      <c r="P6" s="19">
        <v>0</v>
      </c>
      <c r="Q6" s="19">
        <v>0</v>
      </c>
      <c r="S6" s="19">
        <v>1</v>
      </c>
      <c r="T6" s="19">
        <v>1</v>
      </c>
      <c r="U6" s="19">
        <v>0</v>
      </c>
      <c r="V6" s="19" t="s">
        <v>41</v>
      </c>
      <c r="W6" s="19">
        <v>1</v>
      </c>
      <c r="Y6" s="19" t="s">
        <v>40</v>
      </c>
      <c r="Z6" s="19">
        <v>33.33</v>
      </c>
      <c r="AA6" s="19">
        <v>33.33</v>
      </c>
    </row>
    <row r="7" spans="1:27" x14ac:dyDescent="0.25">
      <c r="A7" s="19" t="s">
        <v>51</v>
      </c>
      <c r="B7" s="19" t="s">
        <v>28</v>
      </c>
      <c r="C7" s="19" t="s">
        <v>29</v>
      </c>
      <c r="D7" s="19">
        <v>0</v>
      </c>
      <c r="E7" s="19" t="s">
        <v>52</v>
      </c>
      <c r="F7" s="19" t="s">
        <v>53</v>
      </c>
      <c r="G7" s="19" t="s">
        <v>32</v>
      </c>
      <c r="H7" s="19" t="s">
        <v>33</v>
      </c>
      <c r="I7" s="19" t="s">
        <v>34</v>
      </c>
      <c r="J7" s="19">
        <v>16</v>
      </c>
      <c r="K7" s="19">
        <v>1.6299999999999999E-2</v>
      </c>
      <c r="L7" s="19" t="s">
        <v>35</v>
      </c>
      <c r="N7" s="19">
        <v>0</v>
      </c>
      <c r="O7" s="19">
        <v>0</v>
      </c>
      <c r="P7" s="19">
        <v>0</v>
      </c>
      <c r="Q7" s="19">
        <v>0</v>
      </c>
      <c r="S7" s="19">
        <v>1</v>
      </c>
      <c r="T7" s="19">
        <v>1</v>
      </c>
      <c r="U7" s="19">
        <v>0</v>
      </c>
      <c r="V7" s="19" t="s">
        <v>36</v>
      </c>
      <c r="W7" s="19">
        <v>0</v>
      </c>
      <c r="Z7" s="19">
        <v>0</v>
      </c>
      <c r="AA7" s="19">
        <v>0</v>
      </c>
    </row>
    <row r="8" spans="1:27" x14ac:dyDescent="0.25">
      <c r="A8" s="19" t="s">
        <v>54</v>
      </c>
      <c r="B8" s="19" t="s">
        <v>28</v>
      </c>
      <c r="C8" s="19" t="s">
        <v>29</v>
      </c>
      <c r="D8" s="19">
        <v>0.54327899999999996</v>
      </c>
      <c r="E8" s="19" t="s">
        <v>55</v>
      </c>
      <c r="F8" s="19" t="s">
        <v>56</v>
      </c>
      <c r="G8" s="19" t="s">
        <v>32</v>
      </c>
      <c r="H8" s="19" t="s">
        <v>33</v>
      </c>
      <c r="I8" s="19" t="s">
        <v>34</v>
      </c>
      <c r="J8" s="19">
        <v>14</v>
      </c>
      <c r="K8" s="19">
        <v>1.6299999999999999E-2</v>
      </c>
      <c r="L8" s="19" t="s">
        <v>35</v>
      </c>
      <c r="M8" s="19" t="s">
        <v>40</v>
      </c>
      <c r="N8" s="19">
        <v>33.33</v>
      </c>
      <c r="O8" s="19">
        <v>33.33</v>
      </c>
      <c r="P8" s="19">
        <v>0</v>
      </c>
      <c r="Q8" s="19">
        <v>0</v>
      </c>
      <c r="S8" s="19">
        <v>1</v>
      </c>
      <c r="T8" s="19">
        <v>1</v>
      </c>
      <c r="U8" s="19">
        <v>0</v>
      </c>
      <c r="V8" s="19" t="s">
        <v>41</v>
      </c>
      <c r="W8" s="19">
        <v>1</v>
      </c>
      <c r="Y8" s="19" t="s">
        <v>40</v>
      </c>
      <c r="Z8" s="19">
        <v>33.33</v>
      </c>
      <c r="AA8" s="19">
        <v>33.33</v>
      </c>
    </row>
    <row r="9" spans="1:27" x14ac:dyDescent="0.25">
      <c r="A9" s="19" t="s">
        <v>57</v>
      </c>
      <c r="B9" s="19" t="s">
        <v>28</v>
      </c>
      <c r="C9" s="19" t="s">
        <v>29</v>
      </c>
      <c r="D9" s="19">
        <v>0.54327899999999996</v>
      </c>
      <c r="E9" s="19" t="s">
        <v>58</v>
      </c>
      <c r="F9" s="19" t="s">
        <v>59</v>
      </c>
      <c r="G9" s="19" t="s">
        <v>32</v>
      </c>
      <c r="H9" s="19" t="s">
        <v>33</v>
      </c>
      <c r="I9" s="19" t="s">
        <v>34</v>
      </c>
      <c r="J9" s="19">
        <v>13</v>
      </c>
      <c r="K9" s="19">
        <v>1.6299999999999999E-2</v>
      </c>
      <c r="L9" s="19" t="s">
        <v>35</v>
      </c>
      <c r="M9" s="19" t="s">
        <v>40</v>
      </c>
      <c r="N9" s="19">
        <v>33.33</v>
      </c>
      <c r="O9" s="19">
        <v>33.33</v>
      </c>
      <c r="P9" s="19">
        <v>0</v>
      </c>
      <c r="Q9" s="19">
        <v>0</v>
      </c>
      <c r="S9" s="19">
        <v>1</v>
      </c>
      <c r="T9" s="19">
        <v>1</v>
      </c>
      <c r="U9" s="19">
        <v>0</v>
      </c>
      <c r="V9" s="19" t="s">
        <v>41</v>
      </c>
      <c r="W9" s="19">
        <v>1</v>
      </c>
      <c r="Y9" s="19" t="s">
        <v>40</v>
      </c>
      <c r="Z9" s="19">
        <v>33.33</v>
      </c>
      <c r="AA9" s="19">
        <v>33.33</v>
      </c>
    </row>
    <row r="10" spans="1:27" x14ac:dyDescent="0.25">
      <c r="A10" s="19" t="s">
        <v>60</v>
      </c>
      <c r="B10" s="19" t="s">
        <v>28</v>
      </c>
      <c r="C10" s="19" t="s">
        <v>29</v>
      </c>
      <c r="D10" s="19">
        <v>0</v>
      </c>
      <c r="E10" s="19" t="s">
        <v>61</v>
      </c>
      <c r="F10" s="19" t="s">
        <v>62</v>
      </c>
      <c r="G10" s="19" t="s">
        <v>32</v>
      </c>
      <c r="H10" s="19" t="s">
        <v>63</v>
      </c>
      <c r="I10" s="19" t="s">
        <v>64</v>
      </c>
      <c r="J10" s="19">
        <v>22</v>
      </c>
      <c r="K10" s="19">
        <v>1.8599999999999998E-2</v>
      </c>
      <c r="L10" s="19" t="s">
        <v>35</v>
      </c>
      <c r="N10" s="19">
        <v>0</v>
      </c>
      <c r="O10" s="19">
        <v>0</v>
      </c>
      <c r="P10" s="19">
        <v>0</v>
      </c>
      <c r="Q10" s="19">
        <v>0</v>
      </c>
      <c r="S10" s="19">
        <v>1</v>
      </c>
      <c r="T10" s="19">
        <v>1</v>
      </c>
      <c r="U10" s="19">
        <v>0</v>
      </c>
      <c r="V10" s="19" t="s">
        <v>36</v>
      </c>
      <c r="W10" s="19">
        <v>0</v>
      </c>
      <c r="Z10" s="19">
        <v>0</v>
      </c>
      <c r="AA10" s="19">
        <v>0</v>
      </c>
    </row>
    <row r="11" spans="1:27" x14ac:dyDescent="0.25">
      <c r="A11" s="19" t="s">
        <v>65</v>
      </c>
      <c r="B11" s="19" t="s">
        <v>28</v>
      </c>
      <c r="C11" s="19" t="s">
        <v>29</v>
      </c>
      <c r="D11" s="19">
        <v>0</v>
      </c>
      <c r="E11" s="19" t="s">
        <v>66</v>
      </c>
      <c r="F11" s="19" t="s">
        <v>67</v>
      </c>
      <c r="G11" s="19" t="s">
        <v>32</v>
      </c>
      <c r="H11" s="19" t="s">
        <v>63</v>
      </c>
      <c r="I11" s="19" t="s">
        <v>64</v>
      </c>
      <c r="J11" s="19">
        <v>20</v>
      </c>
      <c r="K11" s="19">
        <v>1.8599999999999998E-2</v>
      </c>
      <c r="L11" s="19" t="s">
        <v>35</v>
      </c>
      <c r="N11" s="19">
        <v>0</v>
      </c>
      <c r="O11" s="19">
        <v>0</v>
      </c>
      <c r="P11" s="19">
        <v>0</v>
      </c>
      <c r="Q11" s="19">
        <v>0</v>
      </c>
      <c r="S11" s="19">
        <v>1</v>
      </c>
      <c r="T11" s="19">
        <v>1</v>
      </c>
      <c r="U11" s="19">
        <v>0</v>
      </c>
      <c r="V11" s="19" t="s">
        <v>36</v>
      </c>
      <c r="W11" s="19">
        <v>0</v>
      </c>
      <c r="Z11" s="19">
        <v>0</v>
      </c>
      <c r="AA11" s="19">
        <v>0</v>
      </c>
    </row>
    <row r="12" spans="1:27" x14ac:dyDescent="0.25">
      <c r="A12" s="19" t="s">
        <v>68</v>
      </c>
      <c r="B12" s="19" t="s">
        <v>28</v>
      </c>
      <c r="C12" s="19" t="s">
        <v>29</v>
      </c>
      <c r="D12" s="19">
        <v>0</v>
      </c>
      <c r="E12" s="19" t="s">
        <v>69</v>
      </c>
      <c r="F12" s="19" t="s">
        <v>70</v>
      </c>
      <c r="G12" s="19" t="s">
        <v>32</v>
      </c>
      <c r="H12" s="19" t="s">
        <v>63</v>
      </c>
      <c r="I12" s="19" t="s">
        <v>64</v>
      </c>
      <c r="J12" s="19">
        <v>23</v>
      </c>
      <c r="K12" s="19">
        <v>1.8599999999999998E-2</v>
      </c>
      <c r="L12" s="19" t="s">
        <v>35</v>
      </c>
      <c r="N12" s="19">
        <v>0</v>
      </c>
      <c r="O12" s="19">
        <v>0</v>
      </c>
      <c r="P12" s="19">
        <v>0</v>
      </c>
      <c r="Q12" s="19">
        <v>0</v>
      </c>
      <c r="S12" s="19">
        <v>1</v>
      </c>
      <c r="T12" s="19">
        <v>1</v>
      </c>
      <c r="U12" s="19">
        <v>0</v>
      </c>
      <c r="V12" s="19" t="s">
        <v>36</v>
      </c>
      <c r="W12" s="19">
        <v>0</v>
      </c>
      <c r="Z12" s="19">
        <v>0</v>
      </c>
      <c r="AA12" s="19">
        <v>0</v>
      </c>
    </row>
    <row r="13" spans="1:27" x14ac:dyDescent="0.25">
      <c r="A13" s="19" t="s">
        <v>71</v>
      </c>
      <c r="B13" s="19" t="s">
        <v>28</v>
      </c>
      <c r="C13" s="19" t="s">
        <v>29</v>
      </c>
      <c r="D13" s="19">
        <v>0</v>
      </c>
      <c r="E13" s="19" t="s">
        <v>72</v>
      </c>
      <c r="F13" s="19" t="s">
        <v>73</v>
      </c>
      <c r="G13" s="19" t="s">
        <v>32</v>
      </c>
      <c r="H13" s="19" t="s">
        <v>63</v>
      </c>
      <c r="I13" s="19" t="s">
        <v>64</v>
      </c>
      <c r="J13" s="19">
        <v>21</v>
      </c>
      <c r="K13" s="19">
        <v>1.8599999999999998E-2</v>
      </c>
      <c r="L13" s="19" t="s">
        <v>35</v>
      </c>
      <c r="N13" s="19">
        <v>0</v>
      </c>
      <c r="O13" s="19">
        <v>0</v>
      </c>
      <c r="P13" s="19">
        <v>0</v>
      </c>
      <c r="Q13" s="19">
        <v>0</v>
      </c>
      <c r="S13" s="19">
        <v>1</v>
      </c>
      <c r="T13" s="19">
        <v>1</v>
      </c>
      <c r="U13" s="19">
        <v>0</v>
      </c>
      <c r="V13" s="19" t="s">
        <v>36</v>
      </c>
      <c r="W13" s="19">
        <v>0</v>
      </c>
      <c r="Z13" s="19">
        <v>0</v>
      </c>
      <c r="AA13" s="19">
        <v>0</v>
      </c>
    </row>
    <row r="14" spans="1:27" x14ac:dyDescent="0.25">
      <c r="A14" s="19" t="s">
        <v>74</v>
      </c>
      <c r="B14" s="19" t="s">
        <v>28</v>
      </c>
      <c r="C14" s="19" t="s">
        <v>29</v>
      </c>
      <c r="D14" s="19">
        <v>0</v>
      </c>
      <c r="E14" s="19" t="s">
        <v>75</v>
      </c>
      <c r="F14" s="19" t="s">
        <v>76</v>
      </c>
      <c r="G14" s="19" t="s">
        <v>32</v>
      </c>
      <c r="H14" s="19" t="s">
        <v>63</v>
      </c>
      <c r="I14" s="19" t="s">
        <v>64</v>
      </c>
      <c r="J14" s="19">
        <v>24</v>
      </c>
      <c r="K14" s="19">
        <v>1.8599999999999998E-2</v>
      </c>
      <c r="L14" s="19" t="s">
        <v>35</v>
      </c>
      <c r="N14" s="19">
        <v>0</v>
      </c>
      <c r="O14" s="19">
        <v>0</v>
      </c>
      <c r="P14" s="19">
        <v>0</v>
      </c>
      <c r="Q14" s="19">
        <v>0</v>
      </c>
      <c r="S14" s="19">
        <v>1</v>
      </c>
      <c r="T14" s="19">
        <v>1</v>
      </c>
      <c r="U14" s="19">
        <v>0</v>
      </c>
      <c r="V14" s="19" t="s">
        <v>36</v>
      </c>
      <c r="W14" s="19">
        <v>0</v>
      </c>
      <c r="Z14" s="19">
        <v>0</v>
      </c>
      <c r="AA14" s="19">
        <v>0</v>
      </c>
    </row>
    <row r="15" spans="1:27" x14ac:dyDescent="0.25">
      <c r="A15" s="19" t="s">
        <v>77</v>
      </c>
      <c r="B15" s="19" t="s">
        <v>28</v>
      </c>
      <c r="C15" s="19" t="s">
        <v>29</v>
      </c>
      <c r="D15" s="19">
        <v>0</v>
      </c>
      <c r="E15" s="19" t="s">
        <v>78</v>
      </c>
      <c r="F15" s="19" t="s">
        <v>79</v>
      </c>
      <c r="G15" s="19" t="s">
        <v>32</v>
      </c>
      <c r="H15" s="19" t="s">
        <v>63</v>
      </c>
      <c r="I15" s="19" t="s">
        <v>64</v>
      </c>
      <c r="J15" s="19">
        <v>25</v>
      </c>
      <c r="K15" s="19">
        <v>1.8599999999999998E-2</v>
      </c>
      <c r="L15" s="19" t="s">
        <v>35</v>
      </c>
      <c r="M15" s="19" t="s">
        <v>40</v>
      </c>
      <c r="N15" s="19">
        <v>0</v>
      </c>
      <c r="O15" s="19">
        <v>0</v>
      </c>
      <c r="P15" s="19">
        <v>0</v>
      </c>
      <c r="Q15" s="19">
        <v>0</v>
      </c>
      <c r="S15" s="19">
        <v>1</v>
      </c>
      <c r="T15" s="19">
        <v>1</v>
      </c>
      <c r="U15" s="19">
        <v>0</v>
      </c>
      <c r="V15" s="19" t="s">
        <v>80</v>
      </c>
      <c r="W15" s="19">
        <v>0</v>
      </c>
      <c r="Y15" s="19" t="s">
        <v>40</v>
      </c>
      <c r="Z15" s="19">
        <v>33.33</v>
      </c>
      <c r="AA15" s="19">
        <v>0</v>
      </c>
    </row>
    <row r="16" spans="1:27" x14ac:dyDescent="0.25">
      <c r="A16" s="19" t="s">
        <v>81</v>
      </c>
      <c r="B16" s="19" t="s">
        <v>28</v>
      </c>
      <c r="C16" s="19" t="s">
        <v>29</v>
      </c>
      <c r="D16" s="19">
        <v>0</v>
      </c>
      <c r="E16" s="19" t="s">
        <v>82</v>
      </c>
      <c r="F16" s="19" t="s">
        <v>83</v>
      </c>
      <c r="G16" s="19" t="s">
        <v>32</v>
      </c>
      <c r="H16" s="19" t="s">
        <v>63</v>
      </c>
      <c r="I16" s="19" t="s">
        <v>64</v>
      </c>
      <c r="J16" s="19">
        <v>26</v>
      </c>
      <c r="K16" s="19">
        <v>1.8599999999999998E-2</v>
      </c>
      <c r="L16" s="19" t="s">
        <v>35</v>
      </c>
      <c r="N16" s="19">
        <v>0</v>
      </c>
      <c r="O16" s="19">
        <v>0</v>
      </c>
      <c r="P16" s="19">
        <v>0</v>
      </c>
      <c r="Q16" s="19">
        <v>0</v>
      </c>
      <c r="S16" s="19">
        <v>1</v>
      </c>
      <c r="T16" s="19">
        <v>1</v>
      </c>
      <c r="U16" s="19">
        <v>0</v>
      </c>
      <c r="V16" s="19" t="s">
        <v>36</v>
      </c>
      <c r="W16" s="19">
        <v>0</v>
      </c>
      <c r="Z16" s="19">
        <v>0</v>
      </c>
      <c r="AA16" s="19">
        <v>0</v>
      </c>
    </row>
    <row r="17" spans="1:27" x14ac:dyDescent="0.25">
      <c r="A17" s="19" t="s">
        <v>84</v>
      </c>
      <c r="B17" s="19" t="s">
        <v>28</v>
      </c>
      <c r="C17" s="19" t="s">
        <v>29</v>
      </c>
      <c r="D17" s="19">
        <v>0</v>
      </c>
      <c r="E17" s="19" t="s">
        <v>85</v>
      </c>
      <c r="F17" s="19" t="s">
        <v>86</v>
      </c>
      <c r="G17" s="19" t="s">
        <v>32</v>
      </c>
      <c r="H17" s="19" t="s">
        <v>87</v>
      </c>
      <c r="I17" s="19" t="s">
        <v>88</v>
      </c>
      <c r="J17" s="19">
        <v>35</v>
      </c>
      <c r="K17" s="19">
        <v>3.2500000000000001E-2</v>
      </c>
      <c r="L17" s="19" t="s">
        <v>35</v>
      </c>
      <c r="N17" s="19">
        <v>0</v>
      </c>
      <c r="O17" s="19">
        <v>0</v>
      </c>
      <c r="P17" s="19">
        <v>0</v>
      </c>
      <c r="Q17" s="19">
        <v>0</v>
      </c>
      <c r="S17" s="19">
        <v>1</v>
      </c>
      <c r="T17" s="19">
        <v>1</v>
      </c>
      <c r="U17" s="19">
        <v>0</v>
      </c>
      <c r="V17" s="19" t="s">
        <v>36</v>
      </c>
      <c r="W17" s="19">
        <v>0</v>
      </c>
      <c r="Z17" s="19">
        <v>0</v>
      </c>
      <c r="AA17" s="19">
        <v>0</v>
      </c>
    </row>
    <row r="18" spans="1:27" x14ac:dyDescent="0.25">
      <c r="A18" s="19" t="s">
        <v>89</v>
      </c>
      <c r="B18" s="19" t="s">
        <v>28</v>
      </c>
      <c r="C18" s="19" t="s">
        <v>29</v>
      </c>
      <c r="D18" s="19">
        <v>0</v>
      </c>
      <c r="E18" s="19" t="s">
        <v>90</v>
      </c>
      <c r="F18" s="19" t="s">
        <v>91</v>
      </c>
      <c r="G18" s="19" t="s">
        <v>32</v>
      </c>
      <c r="H18" s="19" t="s">
        <v>87</v>
      </c>
      <c r="I18" s="19" t="s">
        <v>88</v>
      </c>
      <c r="J18" s="19">
        <v>33</v>
      </c>
      <c r="K18" s="19">
        <v>3.2500000000000001E-2</v>
      </c>
      <c r="L18" s="19" t="s">
        <v>35</v>
      </c>
      <c r="N18" s="19">
        <v>0</v>
      </c>
      <c r="O18" s="19">
        <v>0</v>
      </c>
      <c r="P18" s="19">
        <v>0</v>
      </c>
      <c r="Q18" s="19">
        <v>0</v>
      </c>
      <c r="S18" s="19">
        <v>1</v>
      </c>
      <c r="T18" s="19">
        <v>1</v>
      </c>
      <c r="U18" s="19">
        <v>0</v>
      </c>
      <c r="V18" s="19" t="s">
        <v>36</v>
      </c>
      <c r="W18" s="19">
        <v>0</v>
      </c>
      <c r="Z18" s="19">
        <v>0</v>
      </c>
      <c r="AA18" s="19">
        <v>0</v>
      </c>
    </row>
    <row r="19" spans="1:27" x14ac:dyDescent="0.25">
      <c r="A19" s="19" t="s">
        <v>92</v>
      </c>
      <c r="B19" s="19" t="s">
        <v>28</v>
      </c>
      <c r="C19" s="19" t="s">
        <v>29</v>
      </c>
      <c r="D19" s="19">
        <v>1.0832249999999899</v>
      </c>
      <c r="E19" s="19" t="s">
        <v>93</v>
      </c>
      <c r="F19" s="19" t="s">
        <v>94</v>
      </c>
      <c r="G19" s="19" t="s">
        <v>32</v>
      </c>
      <c r="H19" s="19" t="s">
        <v>87</v>
      </c>
      <c r="I19" s="19" t="s">
        <v>88</v>
      </c>
      <c r="J19" s="19">
        <v>34</v>
      </c>
      <c r="K19" s="19">
        <v>3.2500000000000001E-2</v>
      </c>
      <c r="L19" s="19" t="s">
        <v>35</v>
      </c>
      <c r="M19" s="19" t="s">
        <v>40</v>
      </c>
      <c r="N19" s="19">
        <v>33.33</v>
      </c>
      <c r="O19" s="19">
        <v>33.33</v>
      </c>
      <c r="P19" s="19">
        <v>0</v>
      </c>
      <c r="Q19" s="19">
        <v>0</v>
      </c>
      <c r="S19" s="19">
        <v>1</v>
      </c>
      <c r="T19" s="19">
        <v>1</v>
      </c>
      <c r="U19" s="19">
        <v>0</v>
      </c>
      <c r="V19" s="19" t="s">
        <v>41</v>
      </c>
      <c r="W19" s="19">
        <v>1</v>
      </c>
      <c r="Y19" s="19" t="s">
        <v>40</v>
      </c>
      <c r="Z19" s="19">
        <v>33.33</v>
      </c>
      <c r="AA19" s="19">
        <v>33.33</v>
      </c>
    </row>
    <row r="20" spans="1:27" x14ac:dyDescent="0.25">
      <c r="A20" s="19" t="s">
        <v>95</v>
      </c>
      <c r="B20" s="19" t="s">
        <v>28</v>
      </c>
      <c r="C20" s="19" t="s">
        <v>29</v>
      </c>
      <c r="D20" s="19">
        <v>0</v>
      </c>
      <c r="E20" s="19" t="s">
        <v>96</v>
      </c>
      <c r="F20" s="19" t="s">
        <v>97</v>
      </c>
      <c r="G20" s="19" t="s">
        <v>32</v>
      </c>
      <c r="H20" s="19" t="s">
        <v>87</v>
      </c>
      <c r="I20" s="19" t="s">
        <v>88</v>
      </c>
      <c r="J20" s="19">
        <v>36</v>
      </c>
      <c r="K20" s="19">
        <v>3.2500000000000001E-2</v>
      </c>
      <c r="L20" s="19" t="s">
        <v>35</v>
      </c>
      <c r="N20" s="19">
        <v>0</v>
      </c>
      <c r="O20" s="19">
        <v>0</v>
      </c>
      <c r="P20" s="19">
        <v>0</v>
      </c>
      <c r="Q20" s="19">
        <v>0</v>
      </c>
      <c r="S20" s="19">
        <v>1</v>
      </c>
      <c r="T20" s="19">
        <v>1</v>
      </c>
      <c r="U20" s="19">
        <v>0</v>
      </c>
      <c r="V20" s="19" t="s">
        <v>36</v>
      </c>
      <c r="W20" s="19">
        <v>0</v>
      </c>
      <c r="Z20" s="19">
        <v>0</v>
      </c>
      <c r="AA20" s="19">
        <v>0</v>
      </c>
    </row>
    <row r="21" spans="1:27" x14ac:dyDescent="0.25">
      <c r="A21" s="19" t="s">
        <v>98</v>
      </c>
      <c r="B21" s="19" t="s">
        <v>28</v>
      </c>
      <c r="C21" s="19" t="s">
        <v>29</v>
      </c>
      <c r="D21" s="19">
        <v>0</v>
      </c>
      <c r="E21" s="19" t="s">
        <v>99</v>
      </c>
      <c r="F21" s="19" t="s">
        <v>100</v>
      </c>
      <c r="G21" s="19" t="s">
        <v>32</v>
      </c>
      <c r="H21" s="19" t="s">
        <v>101</v>
      </c>
      <c r="I21" s="19" t="s">
        <v>102</v>
      </c>
      <c r="J21" s="19">
        <v>39</v>
      </c>
      <c r="K21" s="19">
        <v>4.3299999999999998E-2</v>
      </c>
      <c r="L21" s="19" t="s">
        <v>35</v>
      </c>
      <c r="M21" s="19" t="s">
        <v>103</v>
      </c>
      <c r="N21" s="19">
        <v>0</v>
      </c>
      <c r="O21" s="19">
        <v>0</v>
      </c>
      <c r="P21" s="19">
        <v>0</v>
      </c>
      <c r="Q21" s="19">
        <v>0</v>
      </c>
      <c r="S21" s="19">
        <v>1</v>
      </c>
      <c r="T21" s="19">
        <v>1</v>
      </c>
      <c r="U21" s="19">
        <v>0</v>
      </c>
      <c r="V21" s="19" t="s">
        <v>36</v>
      </c>
      <c r="W21" s="19">
        <v>0</v>
      </c>
      <c r="Y21" s="19" t="s">
        <v>103</v>
      </c>
      <c r="Z21" s="19">
        <v>50</v>
      </c>
      <c r="AA21" s="19">
        <v>0</v>
      </c>
    </row>
    <row r="22" spans="1:27" x14ac:dyDescent="0.25">
      <c r="A22" s="19" t="s">
        <v>104</v>
      </c>
      <c r="B22" s="19" t="s">
        <v>28</v>
      </c>
      <c r="C22" s="19" t="s">
        <v>29</v>
      </c>
      <c r="D22" s="19">
        <v>0</v>
      </c>
      <c r="E22" s="19" t="s">
        <v>105</v>
      </c>
      <c r="F22" s="19" t="s">
        <v>106</v>
      </c>
      <c r="G22" s="19" t="s">
        <v>32</v>
      </c>
      <c r="H22" s="19" t="s">
        <v>101</v>
      </c>
      <c r="I22" s="19" t="s">
        <v>102</v>
      </c>
      <c r="J22" s="19">
        <v>38</v>
      </c>
      <c r="K22" s="19">
        <v>4.3299999999999998E-2</v>
      </c>
      <c r="L22" s="19" t="s">
        <v>35</v>
      </c>
      <c r="M22" s="19" t="s">
        <v>103</v>
      </c>
      <c r="N22" s="19">
        <v>0</v>
      </c>
      <c r="O22" s="19">
        <v>0</v>
      </c>
      <c r="P22" s="19">
        <v>0</v>
      </c>
      <c r="Q22" s="19">
        <v>0</v>
      </c>
      <c r="S22" s="19">
        <v>1</v>
      </c>
      <c r="T22" s="19">
        <v>1</v>
      </c>
      <c r="U22" s="19">
        <v>0</v>
      </c>
      <c r="V22" s="19" t="s">
        <v>36</v>
      </c>
      <c r="W22" s="19">
        <v>0</v>
      </c>
      <c r="Y22" s="19" t="s">
        <v>103</v>
      </c>
      <c r="Z22" s="19">
        <v>50</v>
      </c>
      <c r="AA22" s="19">
        <v>0</v>
      </c>
    </row>
    <row r="23" spans="1:27" x14ac:dyDescent="0.25">
      <c r="A23" s="19" t="s">
        <v>107</v>
      </c>
      <c r="B23" s="19" t="s">
        <v>28</v>
      </c>
      <c r="C23" s="19" t="s">
        <v>29</v>
      </c>
      <c r="D23" s="19">
        <v>0</v>
      </c>
      <c r="E23" s="19" t="s">
        <v>108</v>
      </c>
      <c r="F23" s="19" t="s">
        <v>109</v>
      </c>
      <c r="G23" s="19" t="s">
        <v>32</v>
      </c>
      <c r="H23" s="19" t="s">
        <v>101</v>
      </c>
      <c r="I23" s="19" t="s">
        <v>102</v>
      </c>
      <c r="J23" s="19">
        <v>37</v>
      </c>
      <c r="K23" s="19">
        <v>4.3299999999999998E-2</v>
      </c>
      <c r="L23" s="19" t="s">
        <v>35</v>
      </c>
      <c r="M23" s="19" t="s">
        <v>110</v>
      </c>
      <c r="N23" s="19">
        <v>0</v>
      </c>
      <c r="O23" s="19">
        <v>0</v>
      </c>
      <c r="P23" s="19">
        <v>0</v>
      </c>
      <c r="Q23" s="19">
        <v>0</v>
      </c>
      <c r="S23" s="19">
        <v>1</v>
      </c>
      <c r="T23" s="19">
        <v>1</v>
      </c>
      <c r="U23" s="19">
        <v>0</v>
      </c>
      <c r="V23" s="19" t="s">
        <v>80</v>
      </c>
      <c r="W23" s="19">
        <v>0</v>
      </c>
      <c r="Y23" s="19" t="s">
        <v>110</v>
      </c>
      <c r="Z23" s="19">
        <v>16.664999999999999</v>
      </c>
      <c r="AA23" s="19">
        <v>0</v>
      </c>
    </row>
    <row r="24" spans="1:27" x14ac:dyDescent="0.25">
      <c r="A24" s="19" t="s">
        <v>111</v>
      </c>
      <c r="B24" s="19" t="s">
        <v>28</v>
      </c>
      <c r="C24" s="19" t="s">
        <v>29</v>
      </c>
      <c r="D24" s="19">
        <v>0</v>
      </c>
      <c r="E24" s="19" t="s">
        <v>112</v>
      </c>
      <c r="F24" s="19" t="s">
        <v>113</v>
      </c>
      <c r="G24" s="19" t="s">
        <v>32</v>
      </c>
      <c r="H24" s="19" t="s">
        <v>114</v>
      </c>
      <c r="I24" s="19" t="s">
        <v>115</v>
      </c>
      <c r="J24" s="19">
        <v>30</v>
      </c>
      <c r="K24" s="19">
        <v>2.1700000000000001E-2</v>
      </c>
      <c r="L24" s="19" t="s">
        <v>35</v>
      </c>
      <c r="M24" s="19" t="s">
        <v>103</v>
      </c>
      <c r="N24" s="19">
        <v>0</v>
      </c>
      <c r="O24" s="19">
        <v>0</v>
      </c>
      <c r="P24" s="19">
        <v>0</v>
      </c>
      <c r="Q24" s="19">
        <v>0</v>
      </c>
      <c r="S24" s="19">
        <v>1</v>
      </c>
      <c r="T24" s="19">
        <v>1</v>
      </c>
      <c r="U24" s="19">
        <v>0</v>
      </c>
      <c r="V24" s="19" t="s">
        <v>36</v>
      </c>
      <c r="W24" s="19">
        <v>0</v>
      </c>
      <c r="Y24" s="19" t="s">
        <v>103</v>
      </c>
      <c r="Z24" s="19">
        <v>50</v>
      </c>
      <c r="AA24" s="19">
        <v>0</v>
      </c>
    </row>
    <row r="25" spans="1:27" x14ac:dyDescent="0.25">
      <c r="A25" s="19" t="s">
        <v>116</v>
      </c>
      <c r="B25" s="19" t="s">
        <v>28</v>
      </c>
      <c r="C25" s="19" t="s">
        <v>29</v>
      </c>
      <c r="D25" s="19">
        <v>0</v>
      </c>
      <c r="E25" s="19" t="s">
        <v>117</v>
      </c>
      <c r="F25" s="19" t="s">
        <v>118</v>
      </c>
      <c r="G25" s="19" t="s">
        <v>32</v>
      </c>
      <c r="H25" s="19" t="s">
        <v>114</v>
      </c>
      <c r="I25" s="19" t="s">
        <v>115</v>
      </c>
      <c r="J25" s="19">
        <v>31</v>
      </c>
      <c r="K25" s="19">
        <v>2.1700000000000001E-2</v>
      </c>
      <c r="L25" s="19" t="s">
        <v>35</v>
      </c>
      <c r="M25" s="19" t="s">
        <v>103</v>
      </c>
      <c r="N25" s="19">
        <v>0</v>
      </c>
      <c r="O25" s="19">
        <v>0</v>
      </c>
      <c r="P25" s="19">
        <v>0</v>
      </c>
      <c r="Q25" s="19">
        <v>0</v>
      </c>
      <c r="S25" s="19">
        <v>1</v>
      </c>
      <c r="T25" s="19">
        <v>1</v>
      </c>
      <c r="U25" s="19">
        <v>0</v>
      </c>
      <c r="V25" s="19" t="s">
        <v>80</v>
      </c>
      <c r="W25" s="19">
        <v>0</v>
      </c>
      <c r="Y25" s="19" t="s">
        <v>103</v>
      </c>
      <c r="Z25" s="19">
        <v>50</v>
      </c>
      <c r="AA25" s="19">
        <v>0</v>
      </c>
    </row>
    <row r="26" spans="1:27" x14ac:dyDescent="0.25">
      <c r="A26" s="19" t="s">
        <v>119</v>
      </c>
      <c r="B26" s="19" t="s">
        <v>28</v>
      </c>
      <c r="C26" s="19" t="s">
        <v>29</v>
      </c>
      <c r="D26" s="19">
        <v>1.085</v>
      </c>
      <c r="E26" s="19" t="s">
        <v>120</v>
      </c>
      <c r="F26" s="19" t="s">
        <v>121</v>
      </c>
      <c r="G26" s="19" t="s">
        <v>32</v>
      </c>
      <c r="H26" s="19" t="s">
        <v>114</v>
      </c>
      <c r="I26" s="19" t="s">
        <v>115</v>
      </c>
      <c r="J26" s="19">
        <v>28</v>
      </c>
      <c r="K26" s="19">
        <v>2.1700000000000001E-2</v>
      </c>
      <c r="L26" s="19" t="s">
        <v>35</v>
      </c>
      <c r="M26" s="19" t="s">
        <v>103</v>
      </c>
      <c r="N26" s="19">
        <v>50</v>
      </c>
      <c r="O26" s="19">
        <v>50</v>
      </c>
      <c r="P26" s="19">
        <v>0</v>
      </c>
      <c r="Q26" s="19">
        <v>0</v>
      </c>
      <c r="S26" s="19">
        <v>1</v>
      </c>
      <c r="T26" s="19">
        <v>1</v>
      </c>
      <c r="U26" s="19">
        <v>0</v>
      </c>
      <c r="V26" s="19" t="s">
        <v>41</v>
      </c>
      <c r="W26" s="19">
        <v>1</v>
      </c>
      <c r="Y26" s="19" t="s">
        <v>103</v>
      </c>
      <c r="Z26" s="19">
        <v>50</v>
      </c>
      <c r="AA26" s="19">
        <v>50</v>
      </c>
    </row>
    <row r="27" spans="1:27" x14ac:dyDescent="0.25">
      <c r="A27" s="19" t="s">
        <v>122</v>
      </c>
      <c r="B27" s="19" t="s">
        <v>28</v>
      </c>
      <c r="C27" s="19" t="s">
        <v>29</v>
      </c>
      <c r="D27" s="19">
        <v>0</v>
      </c>
      <c r="E27" s="19" t="s">
        <v>123</v>
      </c>
      <c r="F27" s="19" t="s">
        <v>124</v>
      </c>
      <c r="G27" s="19" t="s">
        <v>32</v>
      </c>
      <c r="H27" s="19" t="s">
        <v>114</v>
      </c>
      <c r="I27" s="19" t="s">
        <v>115</v>
      </c>
      <c r="J27" s="19">
        <v>27</v>
      </c>
      <c r="K27" s="19">
        <v>2.1700000000000001E-2</v>
      </c>
      <c r="L27" s="19" t="s">
        <v>35</v>
      </c>
      <c r="M27" s="19" t="s">
        <v>103</v>
      </c>
      <c r="N27" s="19">
        <v>0</v>
      </c>
      <c r="O27" s="19">
        <v>0</v>
      </c>
      <c r="P27" s="19">
        <v>0</v>
      </c>
      <c r="Q27" s="19">
        <v>0</v>
      </c>
      <c r="S27" s="19">
        <v>1</v>
      </c>
      <c r="T27" s="19">
        <v>1</v>
      </c>
      <c r="U27" s="19">
        <v>0</v>
      </c>
      <c r="V27" s="19" t="s">
        <v>36</v>
      </c>
      <c r="W27" s="19">
        <v>0</v>
      </c>
      <c r="Y27" s="19" t="s">
        <v>103</v>
      </c>
      <c r="Z27" s="19">
        <v>50</v>
      </c>
      <c r="AA27" s="19">
        <v>0</v>
      </c>
    </row>
    <row r="28" spans="1:27" x14ac:dyDescent="0.25">
      <c r="A28" s="19" t="s">
        <v>125</v>
      </c>
      <c r="B28" s="19" t="s">
        <v>28</v>
      </c>
      <c r="C28" s="19" t="s">
        <v>29</v>
      </c>
      <c r="D28" s="19">
        <v>0</v>
      </c>
      <c r="E28" s="19" t="s">
        <v>126</v>
      </c>
      <c r="F28" s="19" t="s">
        <v>127</v>
      </c>
      <c r="G28" s="19" t="s">
        <v>32</v>
      </c>
      <c r="H28" s="19" t="s">
        <v>114</v>
      </c>
      <c r="I28" s="19" t="s">
        <v>115</v>
      </c>
      <c r="J28" s="19">
        <v>29</v>
      </c>
      <c r="K28" s="19">
        <v>2.1700000000000001E-2</v>
      </c>
      <c r="L28" s="19" t="s">
        <v>35</v>
      </c>
      <c r="M28" s="19" t="s">
        <v>103</v>
      </c>
      <c r="N28" s="19">
        <v>0</v>
      </c>
      <c r="O28" s="19">
        <v>0</v>
      </c>
      <c r="P28" s="19">
        <v>0</v>
      </c>
      <c r="Q28" s="19">
        <v>0</v>
      </c>
      <c r="S28" s="19">
        <v>1</v>
      </c>
      <c r="T28" s="19">
        <v>1</v>
      </c>
      <c r="U28" s="19">
        <v>0</v>
      </c>
      <c r="V28" s="19" t="s">
        <v>80</v>
      </c>
      <c r="W28" s="19">
        <v>0</v>
      </c>
      <c r="Y28" s="19" t="s">
        <v>103</v>
      </c>
      <c r="Z28" s="19">
        <v>50</v>
      </c>
      <c r="AA28" s="19">
        <v>0</v>
      </c>
    </row>
    <row r="29" spans="1:27" x14ac:dyDescent="0.25">
      <c r="A29" s="19" t="s">
        <v>128</v>
      </c>
      <c r="B29" s="19" t="s">
        <v>28</v>
      </c>
      <c r="C29" s="19" t="s">
        <v>29</v>
      </c>
      <c r="D29" s="19">
        <v>1.085</v>
      </c>
      <c r="E29" s="19" t="s">
        <v>129</v>
      </c>
      <c r="F29" s="19" t="s">
        <v>130</v>
      </c>
      <c r="G29" s="19" t="s">
        <v>32</v>
      </c>
      <c r="H29" s="19" t="s">
        <v>114</v>
      </c>
      <c r="I29" s="19" t="s">
        <v>115</v>
      </c>
      <c r="J29" s="19">
        <v>32</v>
      </c>
      <c r="K29" s="19">
        <v>2.1700000000000001E-2</v>
      </c>
      <c r="L29" s="19" t="s">
        <v>35</v>
      </c>
      <c r="M29" s="19" t="s">
        <v>103</v>
      </c>
      <c r="N29" s="19">
        <v>50</v>
      </c>
      <c r="O29" s="19">
        <v>50</v>
      </c>
      <c r="P29" s="19">
        <v>0</v>
      </c>
      <c r="Q29" s="19">
        <v>0</v>
      </c>
      <c r="S29" s="19">
        <v>1</v>
      </c>
      <c r="T29" s="19">
        <v>1</v>
      </c>
      <c r="U29" s="19">
        <v>0</v>
      </c>
      <c r="V29" s="19" t="s">
        <v>41</v>
      </c>
      <c r="W29" s="19">
        <v>1</v>
      </c>
      <c r="Y29" s="19" t="s">
        <v>103</v>
      </c>
      <c r="Z29" s="19">
        <v>50</v>
      </c>
      <c r="AA29" s="19">
        <v>50</v>
      </c>
    </row>
    <row r="30" spans="1:27" x14ac:dyDescent="0.25">
      <c r="A30" s="19" t="s">
        <v>131</v>
      </c>
      <c r="B30" s="19" t="s">
        <v>28</v>
      </c>
      <c r="C30" s="19" t="s">
        <v>29</v>
      </c>
      <c r="D30" s="19">
        <v>2.085</v>
      </c>
      <c r="E30" s="19" t="s">
        <v>132</v>
      </c>
      <c r="F30" s="19" t="s">
        <v>133</v>
      </c>
      <c r="G30" s="19" t="s">
        <v>134</v>
      </c>
      <c r="H30" s="19" t="s">
        <v>87</v>
      </c>
      <c r="I30" s="19" t="s">
        <v>135</v>
      </c>
      <c r="J30" s="19">
        <v>11</v>
      </c>
      <c r="K30" s="19">
        <v>4.1700000000000001E-2</v>
      </c>
      <c r="L30" s="19" t="s">
        <v>35</v>
      </c>
      <c r="M30" s="19" t="s">
        <v>103</v>
      </c>
      <c r="N30" s="19">
        <v>50</v>
      </c>
      <c r="O30" s="19">
        <v>50</v>
      </c>
      <c r="P30" s="19">
        <v>0</v>
      </c>
      <c r="Q30" s="19">
        <v>0</v>
      </c>
      <c r="S30" s="19">
        <v>1</v>
      </c>
      <c r="T30" s="19">
        <v>1</v>
      </c>
      <c r="U30" s="19">
        <v>0</v>
      </c>
      <c r="V30" s="19" t="s">
        <v>41</v>
      </c>
      <c r="W30" s="19">
        <v>1</v>
      </c>
      <c r="Y30" s="19" t="s">
        <v>103</v>
      </c>
      <c r="Z30" s="19">
        <v>50</v>
      </c>
      <c r="AA30" s="19">
        <v>50</v>
      </c>
    </row>
    <row r="31" spans="1:27" x14ac:dyDescent="0.25">
      <c r="A31" s="19" t="s">
        <v>136</v>
      </c>
      <c r="B31" s="19" t="s">
        <v>28</v>
      </c>
      <c r="C31" s="19" t="s">
        <v>29</v>
      </c>
      <c r="D31" s="19">
        <v>0.463287</v>
      </c>
      <c r="E31" s="19" t="s">
        <v>137</v>
      </c>
      <c r="F31" s="19" t="s">
        <v>138</v>
      </c>
      <c r="G31" s="19" t="s">
        <v>134</v>
      </c>
      <c r="H31" s="19" t="s">
        <v>87</v>
      </c>
      <c r="I31" s="19" t="s">
        <v>135</v>
      </c>
      <c r="J31" s="19">
        <v>9</v>
      </c>
      <c r="K31" s="19">
        <v>4.1700000000000001E-2</v>
      </c>
      <c r="L31" s="19" t="s">
        <v>35</v>
      </c>
      <c r="M31" s="19" t="s">
        <v>110</v>
      </c>
      <c r="N31" s="19">
        <v>11.11</v>
      </c>
      <c r="O31" s="19">
        <v>11.11</v>
      </c>
      <c r="P31" s="19">
        <v>0</v>
      </c>
      <c r="Q31" s="19">
        <v>0</v>
      </c>
      <c r="S31" s="19">
        <v>1</v>
      </c>
      <c r="T31" s="19">
        <v>1</v>
      </c>
      <c r="U31" s="19">
        <v>0</v>
      </c>
      <c r="W31" s="19">
        <v>0</v>
      </c>
      <c r="X31" s="19">
        <v>2</v>
      </c>
      <c r="Y31" s="19" t="s">
        <v>110</v>
      </c>
      <c r="Z31" s="19">
        <v>16.664999999999999</v>
      </c>
      <c r="AA31" s="19">
        <v>11.11</v>
      </c>
    </row>
    <row r="32" spans="1:27" x14ac:dyDescent="0.25">
      <c r="A32" s="19" t="s">
        <v>139</v>
      </c>
      <c r="B32" s="19" t="s">
        <v>28</v>
      </c>
      <c r="C32" s="19" t="s">
        <v>29</v>
      </c>
      <c r="D32" s="19">
        <v>2.085</v>
      </c>
      <c r="E32" s="19" t="s">
        <v>140</v>
      </c>
      <c r="F32" s="19" t="s">
        <v>141</v>
      </c>
      <c r="G32" s="19" t="s">
        <v>134</v>
      </c>
      <c r="H32" s="19" t="s">
        <v>87</v>
      </c>
      <c r="I32" s="19" t="s">
        <v>135</v>
      </c>
      <c r="J32" s="19">
        <v>10</v>
      </c>
      <c r="K32" s="19">
        <v>4.1700000000000001E-2</v>
      </c>
      <c r="L32" s="19" t="s">
        <v>35</v>
      </c>
      <c r="M32" s="19" t="s">
        <v>142</v>
      </c>
      <c r="N32" s="19">
        <v>50</v>
      </c>
      <c r="O32" s="19">
        <v>50</v>
      </c>
      <c r="P32" s="19">
        <v>0</v>
      </c>
      <c r="Q32" s="19">
        <v>0</v>
      </c>
      <c r="S32" s="19">
        <v>1</v>
      </c>
      <c r="T32" s="19">
        <v>1</v>
      </c>
      <c r="U32" s="19">
        <v>0</v>
      </c>
      <c r="W32" s="19">
        <v>0</v>
      </c>
      <c r="X32" s="19">
        <v>3</v>
      </c>
      <c r="Y32" s="19" t="s">
        <v>142</v>
      </c>
      <c r="Z32" s="19">
        <v>50</v>
      </c>
      <c r="AA32" s="19">
        <v>50</v>
      </c>
    </row>
    <row r="33" spans="1:27" x14ac:dyDescent="0.25">
      <c r="A33" s="19" t="s">
        <v>143</v>
      </c>
      <c r="B33" s="19" t="s">
        <v>28</v>
      </c>
      <c r="C33" s="19" t="s">
        <v>29</v>
      </c>
      <c r="D33" s="19">
        <v>1.25</v>
      </c>
      <c r="E33" s="19" t="s">
        <v>144</v>
      </c>
      <c r="F33" s="19" t="s">
        <v>145</v>
      </c>
      <c r="G33" s="19" t="s">
        <v>134</v>
      </c>
      <c r="H33" s="19" t="s">
        <v>146</v>
      </c>
      <c r="I33" s="19" t="s">
        <v>147</v>
      </c>
      <c r="J33" s="19">
        <v>4</v>
      </c>
      <c r="K33" s="19">
        <v>2.5000000000000001E-2</v>
      </c>
      <c r="L33" s="19" t="s">
        <v>35</v>
      </c>
      <c r="M33" s="19" t="s">
        <v>103</v>
      </c>
      <c r="N33" s="19">
        <v>50</v>
      </c>
      <c r="O33" s="19">
        <v>50</v>
      </c>
      <c r="P33" s="19">
        <v>0</v>
      </c>
      <c r="Q33" s="19">
        <v>0</v>
      </c>
      <c r="S33" s="19">
        <v>1</v>
      </c>
      <c r="T33" s="19">
        <v>1</v>
      </c>
      <c r="U33" s="19">
        <v>0</v>
      </c>
      <c r="V33" s="19" t="s">
        <v>41</v>
      </c>
      <c r="W33" s="19">
        <v>1</v>
      </c>
      <c r="Y33" s="19" t="s">
        <v>103</v>
      </c>
      <c r="Z33" s="19">
        <v>50</v>
      </c>
      <c r="AA33" s="19">
        <v>50</v>
      </c>
    </row>
    <row r="34" spans="1:27" x14ac:dyDescent="0.25">
      <c r="A34" s="19" t="s">
        <v>148</v>
      </c>
      <c r="B34" s="19" t="s">
        <v>28</v>
      </c>
      <c r="C34" s="19" t="s">
        <v>29</v>
      </c>
      <c r="D34" s="19">
        <v>1.25</v>
      </c>
      <c r="E34" s="19" t="s">
        <v>149</v>
      </c>
      <c r="F34" s="19" t="s">
        <v>150</v>
      </c>
      <c r="G34" s="19" t="s">
        <v>134</v>
      </c>
      <c r="H34" s="19" t="s">
        <v>146</v>
      </c>
      <c r="I34" s="19" t="s">
        <v>147</v>
      </c>
      <c r="J34" s="19">
        <v>5</v>
      </c>
      <c r="K34" s="19">
        <v>2.5000000000000001E-2</v>
      </c>
      <c r="L34" s="19" t="s">
        <v>35</v>
      </c>
      <c r="M34" s="19" t="s">
        <v>103</v>
      </c>
      <c r="N34" s="19">
        <v>50</v>
      </c>
      <c r="O34" s="19">
        <v>50</v>
      </c>
      <c r="P34" s="19">
        <v>0</v>
      </c>
      <c r="Q34" s="19">
        <v>0</v>
      </c>
      <c r="S34" s="19">
        <v>1</v>
      </c>
      <c r="T34" s="19">
        <v>1</v>
      </c>
      <c r="U34" s="19">
        <v>0</v>
      </c>
      <c r="V34" s="19" t="s">
        <v>41</v>
      </c>
      <c r="W34" s="19">
        <v>1</v>
      </c>
      <c r="Y34" s="19" t="s">
        <v>103</v>
      </c>
      <c r="Z34" s="19">
        <v>50</v>
      </c>
      <c r="AA34" s="19">
        <v>50</v>
      </c>
    </row>
    <row r="35" spans="1:27" x14ac:dyDescent="0.25">
      <c r="A35" s="19" t="s">
        <v>151</v>
      </c>
      <c r="B35" s="19" t="s">
        <v>28</v>
      </c>
      <c r="C35" s="19" t="s">
        <v>29</v>
      </c>
      <c r="D35" s="19">
        <v>1.25</v>
      </c>
      <c r="E35" s="19" t="s">
        <v>152</v>
      </c>
      <c r="F35" s="19" t="s">
        <v>153</v>
      </c>
      <c r="G35" s="19" t="s">
        <v>134</v>
      </c>
      <c r="H35" s="19" t="s">
        <v>146</v>
      </c>
      <c r="I35" s="19" t="s">
        <v>147</v>
      </c>
      <c r="J35" s="19">
        <v>6</v>
      </c>
      <c r="K35" s="19">
        <v>2.5000000000000001E-2</v>
      </c>
      <c r="L35" s="19" t="s">
        <v>35</v>
      </c>
      <c r="M35" s="19" t="s">
        <v>103</v>
      </c>
      <c r="N35" s="19">
        <v>50</v>
      </c>
      <c r="O35" s="19">
        <v>50</v>
      </c>
      <c r="P35" s="19">
        <v>0</v>
      </c>
      <c r="Q35" s="19">
        <v>0</v>
      </c>
      <c r="S35" s="19">
        <v>1</v>
      </c>
      <c r="T35" s="19">
        <v>1</v>
      </c>
      <c r="U35" s="19">
        <v>0</v>
      </c>
      <c r="V35" s="19" t="s">
        <v>41</v>
      </c>
      <c r="W35" s="19">
        <v>1</v>
      </c>
      <c r="Y35" s="19" t="s">
        <v>103</v>
      </c>
      <c r="Z35" s="19">
        <v>50</v>
      </c>
      <c r="AA35" s="19">
        <v>50</v>
      </c>
    </row>
    <row r="36" spans="1:27" x14ac:dyDescent="0.25">
      <c r="A36" s="19" t="s">
        <v>154</v>
      </c>
      <c r="B36" s="19" t="s">
        <v>28</v>
      </c>
      <c r="C36" s="19" t="s">
        <v>29</v>
      </c>
      <c r="D36" s="19">
        <v>1.25</v>
      </c>
      <c r="E36" s="19" t="s">
        <v>155</v>
      </c>
      <c r="F36" s="19" t="s">
        <v>156</v>
      </c>
      <c r="G36" s="19" t="s">
        <v>134</v>
      </c>
      <c r="H36" s="19" t="s">
        <v>146</v>
      </c>
      <c r="I36" s="19" t="s">
        <v>147</v>
      </c>
      <c r="J36" s="19">
        <v>7</v>
      </c>
      <c r="K36" s="19">
        <v>2.5000000000000001E-2</v>
      </c>
      <c r="L36" s="19" t="s">
        <v>35</v>
      </c>
      <c r="M36" s="19" t="s">
        <v>103</v>
      </c>
      <c r="N36" s="19">
        <v>50</v>
      </c>
      <c r="O36" s="19">
        <v>50</v>
      </c>
      <c r="P36" s="19">
        <v>0</v>
      </c>
      <c r="Q36" s="19">
        <v>0</v>
      </c>
      <c r="S36" s="19">
        <v>1</v>
      </c>
      <c r="T36" s="19">
        <v>1</v>
      </c>
      <c r="U36" s="19">
        <v>0</v>
      </c>
      <c r="V36" s="19" t="s">
        <v>41</v>
      </c>
      <c r="W36" s="19">
        <v>1</v>
      </c>
      <c r="Y36" s="19" t="s">
        <v>103</v>
      </c>
      <c r="Z36" s="19">
        <v>50</v>
      </c>
      <c r="AA36" s="19">
        <v>50</v>
      </c>
    </row>
    <row r="37" spans="1:27" x14ac:dyDescent="0.25">
      <c r="A37" s="19" t="s">
        <v>157</v>
      </c>
      <c r="B37" s="19" t="s">
        <v>28</v>
      </c>
      <c r="C37" s="19" t="s">
        <v>29</v>
      </c>
      <c r="D37" s="19">
        <v>1.25</v>
      </c>
      <c r="E37" s="19" t="s">
        <v>158</v>
      </c>
      <c r="F37" s="19" t="s">
        <v>159</v>
      </c>
      <c r="G37" s="19" t="s">
        <v>134</v>
      </c>
      <c r="H37" s="19" t="s">
        <v>146</v>
      </c>
      <c r="I37" s="19" t="s">
        <v>147</v>
      </c>
      <c r="J37" s="19">
        <v>8</v>
      </c>
      <c r="K37" s="19">
        <v>2.5000000000000001E-2</v>
      </c>
      <c r="L37" s="19" t="s">
        <v>35</v>
      </c>
      <c r="M37" s="19" t="s">
        <v>103</v>
      </c>
      <c r="N37" s="19">
        <v>50</v>
      </c>
      <c r="O37" s="19">
        <v>50</v>
      </c>
      <c r="P37" s="19">
        <v>0</v>
      </c>
      <c r="Q37" s="19">
        <v>0</v>
      </c>
      <c r="S37" s="19">
        <v>1</v>
      </c>
      <c r="T37" s="19">
        <v>1</v>
      </c>
      <c r="U37" s="19">
        <v>0</v>
      </c>
      <c r="V37" s="19" t="s">
        <v>41</v>
      </c>
      <c r="W37" s="19">
        <v>1</v>
      </c>
      <c r="Y37" s="19" t="s">
        <v>103</v>
      </c>
      <c r="Z37" s="19">
        <v>50</v>
      </c>
      <c r="AA37" s="19">
        <v>50</v>
      </c>
    </row>
    <row r="38" spans="1:27" x14ac:dyDescent="0.25">
      <c r="A38" s="19" t="s">
        <v>160</v>
      </c>
      <c r="B38" s="19" t="s">
        <v>28</v>
      </c>
      <c r="C38" s="19" t="s">
        <v>29</v>
      </c>
      <c r="D38" s="19">
        <v>1.1098889999999999</v>
      </c>
      <c r="E38" s="19" t="s">
        <v>161</v>
      </c>
      <c r="F38" s="19" t="s">
        <v>162</v>
      </c>
      <c r="G38" s="19" t="s">
        <v>163</v>
      </c>
      <c r="I38" s="19" t="s">
        <v>164</v>
      </c>
      <c r="J38" s="19">
        <v>1</v>
      </c>
      <c r="K38" s="19">
        <v>3.3300000000000003E-2</v>
      </c>
      <c r="L38" s="19" t="s">
        <v>35</v>
      </c>
      <c r="M38" s="19" t="s">
        <v>165</v>
      </c>
      <c r="N38" s="19">
        <v>33.33</v>
      </c>
      <c r="O38" s="19">
        <v>33.33</v>
      </c>
      <c r="P38" s="19">
        <v>0</v>
      </c>
      <c r="Q38" s="19">
        <v>0</v>
      </c>
      <c r="S38" s="19">
        <v>1</v>
      </c>
      <c r="T38" s="19">
        <v>1</v>
      </c>
      <c r="U38" s="19">
        <v>0</v>
      </c>
      <c r="W38" s="19">
        <v>0</v>
      </c>
      <c r="X38" s="19">
        <v>33.33</v>
      </c>
      <c r="Z38" s="19">
        <v>0</v>
      </c>
      <c r="AA38" s="19">
        <v>33.33</v>
      </c>
    </row>
    <row r="39" spans="1:27" x14ac:dyDescent="0.25">
      <c r="A39" s="19" t="s">
        <v>166</v>
      </c>
      <c r="B39" s="19" t="s">
        <v>28</v>
      </c>
      <c r="C39" s="19" t="s">
        <v>29</v>
      </c>
      <c r="D39" s="19">
        <v>1.1098889999999999</v>
      </c>
      <c r="E39" s="19" t="s">
        <v>167</v>
      </c>
      <c r="F39" s="19" t="s">
        <v>168</v>
      </c>
      <c r="G39" s="19" t="s">
        <v>163</v>
      </c>
      <c r="I39" s="19" t="s">
        <v>164</v>
      </c>
      <c r="J39" s="19">
        <v>3</v>
      </c>
      <c r="K39" s="19">
        <v>3.3300000000000003E-2</v>
      </c>
      <c r="L39" s="19" t="s">
        <v>35</v>
      </c>
      <c r="M39" s="19" t="s">
        <v>165</v>
      </c>
      <c r="N39" s="19">
        <v>33.33</v>
      </c>
      <c r="O39" s="19">
        <v>33.33</v>
      </c>
      <c r="P39" s="19">
        <v>0</v>
      </c>
      <c r="Q39" s="19">
        <v>0</v>
      </c>
      <c r="S39" s="19">
        <v>1</v>
      </c>
      <c r="T39" s="19">
        <v>1</v>
      </c>
      <c r="U39" s="19">
        <v>0</v>
      </c>
      <c r="W39" s="19">
        <v>0</v>
      </c>
      <c r="X39" s="19">
        <v>33.33</v>
      </c>
      <c r="Z39" s="19">
        <v>0</v>
      </c>
      <c r="AA39" s="19">
        <v>33.33</v>
      </c>
    </row>
    <row r="40" spans="1:27" x14ac:dyDescent="0.25">
      <c r="A40" s="19" t="s">
        <v>169</v>
      </c>
      <c r="B40" s="19" t="s">
        <v>28</v>
      </c>
      <c r="C40" s="19" t="s">
        <v>29</v>
      </c>
      <c r="D40" s="19">
        <v>0</v>
      </c>
      <c r="E40" s="19" t="s">
        <v>170</v>
      </c>
      <c r="F40" s="19" t="s">
        <v>171</v>
      </c>
      <c r="G40" s="19" t="s">
        <v>163</v>
      </c>
      <c r="I40" s="19" t="s">
        <v>164</v>
      </c>
      <c r="J40" s="19">
        <v>2</v>
      </c>
      <c r="K40" s="19">
        <v>3.3300000000000003E-2</v>
      </c>
      <c r="L40" s="19" t="s">
        <v>35</v>
      </c>
      <c r="M40" s="19" t="s">
        <v>165</v>
      </c>
      <c r="N40" s="19">
        <v>0</v>
      </c>
      <c r="O40" s="19">
        <v>0</v>
      </c>
      <c r="P40" s="19">
        <v>0</v>
      </c>
      <c r="Q40" s="19">
        <v>0</v>
      </c>
      <c r="S40" s="19">
        <v>1</v>
      </c>
      <c r="T40" s="19">
        <v>1</v>
      </c>
      <c r="U40" s="19">
        <v>0</v>
      </c>
      <c r="W40" s="19">
        <v>0</v>
      </c>
      <c r="X40" s="19">
        <v>0</v>
      </c>
      <c r="Z40" s="19">
        <v>0</v>
      </c>
      <c r="AA40" s="19">
        <v>0</v>
      </c>
    </row>
    <row r="41" spans="1:27" x14ac:dyDescent="0.25">
      <c r="A41" s="19" t="s">
        <v>172</v>
      </c>
      <c r="B41" s="19" t="s">
        <v>173</v>
      </c>
      <c r="C41" s="19" t="s">
        <v>174</v>
      </c>
      <c r="D41" s="19">
        <v>0</v>
      </c>
      <c r="E41" s="19" t="s">
        <v>30</v>
      </c>
      <c r="F41" s="19" t="s">
        <v>31</v>
      </c>
      <c r="G41" s="19" t="s">
        <v>32</v>
      </c>
      <c r="H41" s="19" t="s">
        <v>33</v>
      </c>
      <c r="I41" s="19" t="s">
        <v>34</v>
      </c>
      <c r="J41" s="19">
        <v>17</v>
      </c>
      <c r="K41" s="19">
        <v>1.6299999999999999E-2</v>
      </c>
      <c r="L41" s="19" t="s">
        <v>35</v>
      </c>
      <c r="N41" s="19">
        <v>0</v>
      </c>
      <c r="O41" s="19">
        <v>0</v>
      </c>
      <c r="P41" s="19">
        <v>0</v>
      </c>
      <c r="Q41" s="19">
        <v>0</v>
      </c>
      <c r="S41" s="19">
        <v>1</v>
      </c>
      <c r="T41" s="19">
        <v>1</v>
      </c>
      <c r="U41" s="19">
        <v>0</v>
      </c>
      <c r="V41" s="19" t="s">
        <v>36</v>
      </c>
      <c r="W41" s="19">
        <v>0</v>
      </c>
      <c r="Z41" s="19">
        <v>0</v>
      </c>
      <c r="AA41" s="19">
        <v>0</v>
      </c>
    </row>
    <row r="42" spans="1:27" x14ac:dyDescent="0.25">
      <c r="A42" s="19" t="s">
        <v>175</v>
      </c>
      <c r="B42" s="19" t="s">
        <v>173</v>
      </c>
      <c r="C42" s="19" t="s">
        <v>174</v>
      </c>
      <c r="D42" s="19">
        <v>0</v>
      </c>
      <c r="E42" s="19" t="s">
        <v>38</v>
      </c>
      <c r="F42" s="19" t="s">
        <v>39</v>
      </c>
      <c r="G42" s="19" t="s">
        <v>32</v>
      </c>
      <c r="H42" s="19" t="s">
        <v>33</v>
      </c>
      <c r="I42" s="19" t="s">
        <v>34</v>
      </c>
      <c r="J42" s="19">
        <v>19</v>
      </c>
      <c r="K42" s="19">
        <v>1.6299999999999999E-2</v>
      </c>
      <c r="L42" s="19" t="s">
        <v>35</v>
      </c>
      <c r="N42" s="19">
        <v>0</v>
      </c>
      <c r="O42" s="19">
        <v>0</v>
      </c>
      <c r="P42" s="19">
        <v>0</v>
      </c>
      <c r="Q42" s="19">
        <v>0</v>
      </c>
      <c r="S42" s="19">
        <v>1</v>
      </c>
      <c r="T42" s="19">
        <v>1</v>
      </c>
      <c r="U42" s="19">
        <v>0</v>
      </c>
      <c r="V42" s="19" t="s">
        <v>36</v>
      </c>
      <c r="W42" s="19">
        <v>0</v>
      </c>
      <c r="Z42" s="19">
        <v>0</v>
      </c>
      <c r="AA42" s="19">
        <v>0</v>
      </c>
    </row>
    <row r="43" spans="1:27" x14ac:dyDescent="0.25">
      <c r="A43" s="19" t="s">
        <v>176</v>
      </c>
      <c r="B43" s="19" t="s">
        <v>173</v>
      </c>
      <c r="C43" s="19" t="s">
        <v>174</v>
      </c>
      <c r="D43" s="19">
        <v>0</v>
      </c>
      <c r="E43" s="19" t="s">
        <v>43</v>
      </c>
      <c r="F43" s="19" t="s">
        <v>44</v>
      </c>
      <c r="G43" s="19" t="s">
        <v>32</v>
      </c>
      <c r="H43" s="19" t="s">
        <v>33</v>
      </c>
      <c r="I43" s="19" t="s">
        <v>34</v>
      </c>
      <c r="J43" s="19">
        <v>18</v>
      </c>
      <c r="K43" s="19">
        <v>1.6299999999999999E-2</v>
      </c>
      <c r="L43" s="19" t="s">
        <v>35</v>
      </c>
      <c r="N43" s="19">
        <v>0</v>
      </c>
      <c r="O43" s="19">
        <v>0</v>
      </c>
      <c r="P43" s="19">
        <v>0</v>
      </c>
      <c r="Q43" s="19">
        <v>0</v>
      </c>
      <c r="S43" s="19">
        <v>1</v>
      </c>
      <c r="T43" s="19">
        <v>1</v>
      </c>
      <c r="U43" s="19">
        <v>0</v>
      </c>
      <c r="V43" s="19" t="s">
        <v>36</v>
      </c>
      <c r="W43" s="19">
        <v>0</v>
      </c>
      <c r="Z43" s="19">
        <v>0</v>
      </c>
      <c r="AA43" s="19">
        <v>0</v>
      </c>
    </row>
    <row r="44" spans="1:27" x14ac:dyDescent="0.25">
      <c r="A44" s="19" t="s">
        <v>177</v>
      </c>
      <c r="B44" s="19" t="s">
        <v>173</v>
      </c>
      <c r="C44" s="19" t="s">
        <v>174</v>
      </c>
      <c r="D44" s="19">
        <v>0</v>
      </c>
      <c r="E44" s="19" t="s">
        <v>46</v>
      </c>
      <c r="F44" s="19" t="s">
        <v>47</v>
      </c>
      <c r="G44" s="19" t="s">
        <v>32</v>
      </c>
      <c r="H44" s="19" t="s">
        <v>33</v>
      </c>
      <c r="I44" s="19" t="s">
        <v>34</v>
      </c>
      <c r="J44" s="19">
        <v>15</v>
      </c>
      <c r="K44" s="19">
        <v>1.6299999999999999E-2</v>
      </c>
      <c r="L44" s="19" t="s">
        <v>35</v>
      </c>
      <c r="M44" s="19" t="s">
        <v>110</v>
      </c>
      <c r="N44" s="19">
        <v>0</v>
      </c>
      <c r="O44" s="19">
        <v>0</v>
      </c>
      <c r="P44" s="19">
        <v>0</v>
      </c>
      <c r="Q44" s="19">
        <v>0</v>
      </c>
      <c r="S44" s="19">
        <v>1</v>
      </c>
      <c r="T44" s="19">
        <v>1</v>
      </c>
      <c r="U44" s="19">
        <v>0</v>
      </c>
      <c r="V44" s="19" t="s">
        <v>80</v>
      </c>
      <c r="W44" s="19">
        <v>0</v>
      </c>
      <c r="Y44" s="19" t="s">
        <v>110</v>
      </c>
      <c r="Z44" s="19">
        <v>16.664999999999999</v>
      </c>
      <c r="AA44" s="19">
        <v>0</v>
      </c>
    </row>
    <row r="45" spans="1:27" x14ac:dyDescent="0.25">
      <c r="A45" s="19" t="s">
        <v>178</v>
      </c>
      <c r="B45" s="19" t="s">
        <v>173</v>
      </c>
      <c r="C45" s="19" t="s">
        <v>174</v>
      </c>
      <c r="D45" s="19">
        <v>0</v>
      </c>
      <c r="E45" s="19" t="s">
        <v>49</v>
      </c>
      <c r="F45" s="19" t="s">
        <v>50</v>
      </c>
      <c r="G45" s="19" t="s">
        <v>32</v>
      </c>
      <c r="H45" s="19" t="s">
        <v>33</v>
      </c>
      <c r="I45" s="19" t="s">
        <v>34</v>
      </c>
      <c r="J45" s="19">
        <v>12</v>
      </c>
      <c r="K45" s="19">
        <v>1.6299999999999999E-2</v>
      </c>
      <c r="L45" s="19" t="s">
        <v>35</v>
      </c>
      <c r="N45" s="19">
        <v>0</v>
      </c>
      <c r="O45" s="19">
        <v>0</v>
      </c>
      <c r="P45" s="19">
        <v>0</v>
      </c>
      <c r="Q45" s="19">
        <v>0</v>
      </c>
      <c r="S45" s="19">
        <v>1</v>
      </c>
      <c r="T45" s="19">
        <v>1</v>
      </c>
      <c r="U45" s="19">
        <v>0</v>
      </c>
      <c r="V45" s="19" t="s">
        <v>36</v>
      </c>
      <c r="W45" s="19">
        <v>0</v>
      </c>
      <c r="Z45" s="19">
        <v>0</v>
      </c>
      <c r="AA45" s="19">
        <v>0</v>
      </c>
    </row>
    <row r="46" spans="1:27" x14ac:dyDescent="0.25">
      <c r="A46" s="19" t="s">
        <v>179</v>
      </c>
      <c r="B46" s="19" t="s">
        <v>173</v>
      </c>
      <c r="C46" s="19" t="s">
        <v>174</v>
      </c>
      <c r="D46" s="19">
        <v>0</v>
      </c>
      <c r="E46" s="19" t="s">
        <v>52</v>
      </c>
      <c r="F46" s="19" t="s">
        <v>53</v>
      </c>
      <c r="G46" s="19" t="s">
        <v>32</v>
      </c>
      <c r="H46" s="19" t="s">
        <v>33</v>
      </c>
      <c r="I46" s="19" t="s">
        <v>34</v>
      </c>
      <c r="J46" s="19">
        <v>16</v>
      </c>
      <c r="K46" s="19">
        <v>1.6299999999999999E-2</v>
      </c>
      <c r="L46" s="19" t="s">
        <v>35</v>
      </c>
      <c r="N46" s="19">
        <v>0</v>
      </c>
      <c r="O46" s="19">
        <v>0</v>
      </c>
      <c r="P46" s="19">
        <v>0</v>
      </c>
      <c r="Q46" s="19">
        <v>0</v>
      </c>
      <c r="S46" s="19">
        <v>1</v>
      </c>
      <c r="T46" s="19">
        <v>1</v>
      </c>
      <c r="U46" s="19">
        <v>0</v>
      </c>
      <c r="V46" s="19" t="s">
        <v>36</v>
      </c>
      <c r="W46" s="19">
        <v>0</v>
      </c>
      <c r="Z46" s="19">
        <v>0</v>
      </c>
      <c r="AA46" s="19">
        <v>0</v>
      </c>
    </row>
    <row r="47" spans="1:27" x14ac:dyDescent="0.25">
      <c r="A47" s="19" t="s">
        <v>180</v>
      </c>
      <c r="B47" s="19" t="s">
        <v>173</v>
      </c>
      <c r="C47" s="19" t="s">
        <v>174</v>
      </c>
      <c r="D47" s="19">
        <v>0</v>
      </c>
      <c r="E47" s="19" t="s">
        <v>55</v>
      </c>
      <c r="F47" s="19" t="s">
        <v>56</v>
      </c>
      <c r="G47" s="19" t="s">
        <v>32</v>
      </c>
      <c r="H47" s="19" t="s">
        <v>33</v>
      </c>
      <c r="I47" s="19" t="s">
        <v>34</v>
      </c>
      <c r="J47" s="19">
        <v>14</v>
      </c>
      <c r="K47" s="19">
        <v>1.6299999999999999E-2</v>
      </c>
      <c r="L47" s="19" t="s">
        <v>35</v>
      </c>
      <c r="M47" s="19" t="s">
        <v>110</v>
      </c>
      <c r="N47" s="19">
        <v>0</v>
      </c>
      <c r="O47" s="19">
        <v>0</v>
      </c>
      <c r="P47" s="19">
        <v>0</v>
      </c>
      <c r="Q47" s="19">
        <v>0</v>
      </c>
      <c r="S47" s="19">
        <v>1</v>
      </c>
      <c r="T47" s="19">
        <v>1</v>
      </c>
      <c r="U47" s="19">
        <v>0</v>
      </c>
      <c r="V47" s="19" t="s">
        <v>80</v>
      </c>
      <c r="W47" s="19">
        <v>0</v>
      </c>
      <c r="Y47" s="19" t="s">
        <v>110</v>
      </c>
      <c r="Z47" s="19">
        <v>16.664999999999999</v>
      </c>
      <c r="AA47" s="19">
        <v>0</v>
      </c>
    </row>
    <row r="48" spans="1:27" x14ac:dyDescent="0.25">
      <c r="A48" s="19" t="s">
        <v>181</v>
      </c>
      <c r="B48" s="19" t="s">
        <v>173</v>
      </c>
      <c r="C48" s="19" t="s">
        <v>174</v>
      </c>
      <c r="D48" s="19">
        <v>0</v>
      </c>
      <c r="E48" s="19" t="s">
        <v>58</v>
      </c>
      <c r="F48" s="19" t="s">
        <v>59</v>
      </c>
      <c r="G48" s="19" t="s">
        <v>32</v>
      </c>
      <c r="H48" s="19" t="s">
        <v>33</v>
      </c>
      <c r="I48" s="19" t="s">
        <v>34</v>
      </c>
      <c r="J48" s="19">
        <v>13</v>
      </c>
      <c r="K48" s="19">
        <v>1.6299999999999999E-2</v>
      </c>
      <c r="L48" s="19" t="s">
        <v>35</v>
      </c>
      <c r="N48" s="19">
        <v>0</v>
      </c>
      <c r="O48" s="19">
        <v>0</v>
      </c>
      <c r="P48" s="19">
        <v>0</v>
      </c>
      <c r="Q48" s="19">
        <v>0</v>
      </c>
      <c r="S48" s="19">
        <v>1</v>
      </c>
      <c r="T48" s="19">
        <v>1</v>
      </c>
      <c r="U48" s="19">
        <v>0</v>
      </c>
      <c r="V48" s="19" t="s">
        <v>36</v>
      </c>
      <c r="W48" s="19">
        <v>0</v>
      </c>
      <c r="Z48" s="19">
        <v>0</v>
      </c>
      <c r="AA48" s="19">
        <v>0</v>
      </c>
    </row>
    <row r="49" spans="1:27" x14ac:dyDescent="0.25">
      <c r="A49" s="19" t="s">
        <v>182</v>
      </c>
      <c r="B49" s="19" t="s">
        <v>173</v>
      </c>
      <c r="C49" s="19" t="s">
        <v>174</v>
      </c>
      <c r="D49" s="19">
        <v>0</v>
      </c>
      <c r="E49" s="19" t="s">
        <v>61</v>
      </c>
      <c r="F49" s="19" t="s">
        <v>62</v>
      </c>
      <c r="G49" s="19" t="s">
        <v>32</v>
      </c>
      <c r="H49" s="19" t="s">
        <v>63</v>
      </c>
      <c r="I49" s="19" t="s">
        <v>64</v>
      </c>
      <c r="J49" s="19">
        <v>22</v>
      </c>
      <c r="K49" s="19">
        <v>1.8599999999999998E-2</v>
      </c>
      <c r="L49" s="19" t="s">
        <v>35</v>
      </c>
      <c r="M49" s="19" t="s">
        <v>110</v>
      </c>
      <c r="N49" s="19">
        <v>0</v>
      </c>
      <c r="O49" s="19">
        <v>0</v>
      </c>
      <c r="P49" s="19">
        <v>0</v>
      </c>
      <c r="Q49" s="19">
        <v>0</v>
      </c>
      <c r="S49" s="19">
        <v>1</v>
      </c>
      <c r="T49" s="19">
        <v>1</v>
      </c>
      <c r="U49" s="19">
        <v>0</v>
      </c>
      <c r="V49" s="19" t="s">
        <v>36</v>
      </c>
      <c r="W49" s="19">
        <v>0</v>
      </c>
      <c r="Y49" s="19" t="s">
        <v>110</v>
      </c>
      <c r="Z49" s="19">
        <v>16.664999999999999</v>
      </c>
      <c r="AA49" s="19">
        <v>0</v>
      </c>
    </row>
    <row r="50" spans="1:27" x14ac:dyDescent="0.25">
      <c r="A50" s="19" t="s">
        <v>183</v>
      </c>
      <c r="B50" s="19" t="s">
        <v>173</v>
      </c>
      <c r="C50" s="19" t="s">
        <v>174</v>
      </c>
      <c r="D50" s="19">
        <v>0</v>
      </c>
      <c r="E50" s="19" t="s">
        <v>66</v>
      </c>
      <c r="F50" s="19" t="s">
        <v>67</v>
      </c>
      <c r="G50" s="19" t="s">
        <v>32</v>
      </c>
      <c r="H50" s="19" t="s">
        <v>63</v>
      </c>
      <c r="I50" s="19" t="s">
        <v>64</v>
      </c>
      <c r="J50" s="19">
        <v>20</v>
      </c>
      <c r="K50" s="19">
        <v>1.8599999999999998E-2</v>
      </c>
      <c r="L50" s="19" t="s">
        <v>35</v>
      </c>
      <c r="N50" s="19">
        <v>0</v>
      </c>
      <c r="O50" s="19">
        <v>0</v>
      </c>
      <c r="P50" s="19">
        <v>0</v>
      </c>
      <c r="Q50" s="19">
        <v>0</v>
      </c>
      <c r="S50" s="19">
        <v>1</v>
      </c>
      <c r="T50" s="19">
        <v>1</v>
      </c>
      <c r="U50" s="19">
        <v>0</v>
      </c>
      <c r="V50" s="19" t="s">
        <v>36</v>
      </c>
      <c r="W50" s="19">
        <v>0</v>
      </c>
      <c r="Z50" s="19">
        <v>0</v>
      </c>
      <c r="AA50" s="19">
        <v>0</v>
      </c>
    </row>
    <row r="51" spans="1:27" x14ac:dyDescent="0.25">
      <c r="A51" s="19" t="s">
        <v>184</v>
      </c>
      <c r="B51" s="19" t="s">
        <v>173</v>
      </c>
      <c r="C51" s="19" t="s">
        <v>174</v>
      </c>
      <c r="D51" s="19">
        <v>0</v>
      </c>
      <c r="E51" s="19" t="s">
        <v>69</v>
      </c>
      <c r="F51" s="19" t="s">
        <v>70</v>
      </c>
      <c r="G51" s="19" t="s">
        <v>32</v>
      </c>
      <c r="H51" s="19" t="s">
        <v>63</v>
      </c>
      <c r="I51" s="19" t="s">
        <v>64</v>
      </c>
      <c r="J51" s="19">
        <v>23</v>
      </c>
      <c r="K51" s="19">
        <v>1.8599999999999998E-2</v>
      </c>
      <c r="L51" s="19" t="s">
        <v>35</v>
      </c>
      <c r="N51" s="19">
        <v>0</v>
      </c>
      <c r="O51" s="19">
        <v>0</v>
      </c>
      <c r="P51" s="19">
        <v>0</v>
      </c>
      <c r="Q51" s="19">
        <v>0</v>
      </c>
      <c r="S51" s="19">
        <v>1</v>
      </c>
      <c r="T51" s="19">
        <v>1</v>
      </c>
      <c r="U51" s="19">
        <v>0</v>
      </c>
      <c r="V51" s="19" t="s">
        <v>36</v>
      </c>
      <c r="W51" s="19">
        <v>0</v>
      </c>
      <c r="Z51" s="19">
        <v>0</v>
      </c>
      <c r="AA51" s="19">
        <v>0</v>
      </c>
    </row>
    <row r="52" spans="1:27" x14ac:dyDescent="0.25">
      <c r="A52" s="19" t="s">
        <v>185</v>
      </c>
      <c r="B52" s="19" t="s">
        <v>173</v>
      </c>
      <c r="C52" s="19" t="s">
        <v>174</v>
      </c>
      <c r="D52" s="19">
        <v>0.61993799999999899</v>
      </c>
      <c r="E52" s="19" t="s">
        <v>72</v>
      </c>
      <c r="F52" s="19" t="s">
        <v>73</v>
      </c>
      <c r="G52" s="19" t="s">
        <v>32</v>
      </c>
      <c r="H52" s="19" t="s">
        <v>63</v>
      </c>
      <c r="I52" s="19" t="s">
        <v>64</v>
      </c>
      <c r="J52" s="19">
        <v>21</v>
      </c>
      <c r="K52" s="19">
        <v>1.8599999999999998E-2</v>
      </c>
      <c r="L52" s="19" t="s">
        <v>35</v>
      </c>
      <c r="M52" s="19" t="s">
        <v>40</v>
      </c>
      <c r="N52" s="19">
        <v>33.33</v>
      </c>
      <c r="O52" s="19">
        <v>33.33</v>
      </c>
      <c r="P52" s="19">
        <v>0</v>
      </c>
      <c r="Q52" s="19">
        <v>0</v>
      </c>
      <c r="S52" s="19">
        <v>1</v>
      </c>
      <c r="T52" s="19">
        <v>1</v>
      </c>
      <c r="U52" s="19">
        <v>0</v>
      </c>
      <c r="V52" s="19" t="s">
        <v>41</v>
      </c>
      <c r="W52" s="19">
        <v>1</v>
      </c>
      <c r="Y52" s="19" t="s">
        <v>40</v>
      </c>
      <c r="Z52" s="19">
        <v>33.33</v>
      </c>
      <c r="AA52" s="19">
        <v>33.33</v>
      </c>
    </row>
    <row r="53" spans="1:27" x14ac:dyDescent="0.25">
      <c r="A53" s="19" t="s">
        <v>186</v>
      </c>
      <c r="B53" s="19" t="s">
        <v>173</v>
      </c>
      <c r="C53" s="19" t="s">
        <v>174</v>
      </c>
      <c r="D53" s="19">
        <v>0</v>
      </c>
      <c r="E53" s="19" t="s">
        <v>75</v>
      </c>
      <c r="F53" s="19" t="s">
        <v>76</v>
      </c>
      <c r="G53" s="19" t="s">
        <v>32</v>
      </c>
      <c r="H53" s="19" t="s">
        <v>63</v>
      </c>
      <c r="I53" s="19" t="s">
        <v>64</v>
      </c>
      <c r="J53" s="19">
        <v>24</v>
      </c>
      <c r="K53" s="19">
        <v>1.8599999999999998E-2</v>
      </c>
      <c r="L53" s="19" t="s">
        <v>35</v>
      </c>
      <c r="M53" s="19" t="s">
        <v>110</v>
      </c>
      <c r="N53" s="19">
        <v>0</v>
      </c>
      <c r="O53" s="19">
        <v>0</v>
      </c>
      <c r="P53" s="19">
        <v>0</v>
      </c>
      <c r="Q53" s="19">
        <v>0</v>
      </c>
      <c r="S53" s="19">
        <v>1</v>
      </c>
      <c r="T53" s="19">
        <v>1</v>
      </c>
      <c r="U53" s="19">
        <v>0</v>
      </c>
      <c r="V53" s="19" t="s">
        <v>80</v>
      </c>
      <c r="W53" s="19">
        <v>0</v>
      </c>
      <c r="Y53" s="19" t="s">
        <v>110</v>
      </c>
      <c r="Z53" s="19">
        <v>16.664999999999999</v>
      </c>
      <c r="AA53" s="19">
        <v>0</v>
      </c>
    </row>
    <row r="54" spans="1:27" x14ac:dyDescent="0.25">
      <c r="A54" s="19" t="s">
        <v>187</v>
      </c>
      <c r="B54" s="19" t="s">
        <v>173</v>
      </c>
      <c r="C54" s="19" t="s">
        <v>174</v>
      </c>
      <c r="D54" s="19">
        <v>0</v>
      </c>
      <c r="E54" s="19" t="s">
        <v>78</v>
      </c>
      <c r="F54" s="19" t="s">
        <v>79</v>
      </c>
      <c r="G54" s="19" t="s">
        <v>32</v>
      </c>
      <c r="H54" s="19" t="s">
        <v>63</v>
      </c>
      <c r="I54" s="19" t="s">
        <v>64</v>
      </c>
      <c r="J54" s="19">
        <v>25</v>
      </c>
      <c r="K54" s="19">
        <v>1.8599999999999998E-2</v>
      </c>
      <c r="L54" s="19" t="s">
        <v>35</v>
      </c>
      <c r="M54" s="19" t="s">
        <v>110</v>
      </c>
      <c r="N54" s="19">
        <v>0</v>
      </c>
      <c r="O54" s="19">
        <v>0</v>
      </c>
      <c r="P54" s="19">
        <v>0</v>
      </c>
      <c r="Q54" s="19">
        <v>0</v>
      </c>
      <c r="S54" s="19">
        <v>1</v>
      </c>
      <c r="T54" s="19">
        <v>1</v>
      </c>
      <c r="U54" s="19">
        <v>0</v>
      </c>
      <c r="V54" s="19" t="s">
        <v>80</v>
      </c>
      <c r="W54" s="19">
        <v>0</v>
      </c>
      <c r="Y54" s="19" t="s">
        <v>110</v>
      </c>
      <c r="Z54" s="19">
        <v>16.664999999999999</v>
      </c>
      <c r="AA54" s="19">
        <v>0</v>
      </c>
    </row>
    <row r="55" spans="1:27" x14ac:dyDescent="0.25">
      <c r="A55" s="19" t="s">
        <v>188</v>
      </c>
      <c r="B55" s="19" t="s">
        <v>173</v>
      </c>
      <c r="C55" s="19" t="s">
        <v>174</v>
      </c>
      <c r="D55" s="19">
        <v>0</v>
      </c>
      <c r="E55" s="19" t="s">
        <v>82</v>
      </c>
      <c r="F55" s="19" t="s">
        <v>83</v>
      </c>
      <c r="G55" s="19" t="s">
        <v>32</v>
      </c>
      <c r="H55" s="19" t="s">
        <v>63</v>
      </c>
      <c r="I55" s="19" t="s">
        <v>64</v>
      </c>
      <c r="J55" s="19">
        <v>26</v>
      </c>
      <c r="K55" s="19">
        <v>1.8599999999999998E-2</v>
      </c>
      <c r="L55" s="19" t="s">
        <v>35</v>
      </c>
      <c r="N55" s="19">
        <v>0</v>
      </c>
      <c r="O55" s="19">
        <v>0</v>
      </c>
      <c r="P55" s="19">
        <v>0</v>
      </c>
      <c r="Q55" s="19">
        <v>0</v>
      </c>
      <c r="S55" s="19">
        <v>1</v>
      </c>
      <c r="T55" s="19">
        <v>1</v>
      </c>
      <c r="U55" s="19">
        <v>0</v>
      </c>
      <c r="V55" s="19" t="s">
        <v>36</v>
      </c>
      <c r="W55" s="19">
        <v>0</v>
      </c>
      <c r="Z55" s="19">
        <v>0</v>
      </c>
      <c r="AA55" s="19">
        <v>0</v>
      </c>
    </row>
    <row r="56" spans="1:27" x14ac:dyDescent="0.25">
      <c r="A56" s="19" t="s">
        <v>189</v>
      </c>
      <c r="B56" s="19" t="s">
        <v>173</v>
      </c>
      <c r="C56" s="19" t="s">
        <v>174</v>
      </c>
      <c r="D56" s="19">
        <v>0</v>
      </c>
      <c r="E56" s="19" t="s">
        <v>85</v>
      </c>
      <c r="F56" s="19" t="s">
        <v>86</v>
      </c>
      <c r="G56" s="19" t="s">
        <v>32</v>
      </c>
      <c r="H56" s="19" t="s">
        <v>87</v>
      </c>
      <c r="I56" s="19" t="s">
        <v>88</v>
      </c>
      <c r="J56" s="19">
        <v>35</v>
      </c>
      <c r="K56" s="19">
        <v>3.2500000000000001E-2</v>
      </c>
      <c r="L56" s="19" t="s">
        <v>35</v>
      </c>
      <c r="N56" s="19">
        <v>0</v>
      </c>
      <c r="O56" s="19">
        <v>0</v>
      </c>
      <c r="P56" s="19">
        <v>0</v>
      </c>
      <c r="Q56" s="19">
        <v>0</v>
      </c>
      <c r="S56" s="19">
        <v>1</v>
      </c>
      <c r="T56" s="19">
        <v>1</v>
      </c>
      <c r="U56" s="19">
        <v>0</v>
      </c>
      <c r="V56" s="19" t="s">
        <v>36</v>
      </c>
      <c r="W56" s="19">
        <v>0</v>
      </c>
      <c r="Z56" s="19">
        <v>0</v>
      </c>
      <c r="AA56" s="19">
        <v>0</v>
      </c>
    </row>
    <row r="57" spans="1:27" x14ac:dyDescent="0.25">
      <c r="A57" s="19" t="s">
        <v>190</v>
      </c>
      <c r="B57" s="19" t="s">
        <v>173</v>
      </c>
      <c r="C57" s="19" t="s">
        <v>174</v>
      </c>
      <c r="D57" s="19">
        <v>0</v>
      </c>
      <c r="E57" s="19" t="s">
        <v>90</v>
      </c>
      <c r="F57" s="19" t="s">
        <v>91</v>
      </c>
      <c r="G57" s="19" t="s">
        <v>32</v>
      </c>
      <c r="H57" s="19" t="s">
        <v>87</v>
      </c>
      <c r="I57" s="19" t="s">
        <v>88</v>
      </c>
      <c r="J57" s="19">
        <v>33</v>
      </c>
      <c r="K57" s="19">
        <v>3.2500000000000001E-2</v>
      </c>
      <c r="L57" s="19" t="s">
        <v>35</v>
      </c>
      <c r="N57" s="19">
        <v>0</v>
      </c>
      <c r="O57" s="19">
        <v>0</v>
      </c>
      <c r="P57" s="19">
        <v>0</v>
      </c>
      <c r="Q57" s="19">
        <v>0</v>
      </c>
      <c r="S57" s="19">
        <v>1</v>
      </c>
      <c r="T57" s="19">
        <v>1</v>
      </c>
      <c r="U57" s="19">
        <v>0</v>
      </c>
      <c r="V57" s="19" t="s">
        <v>36</v>
      </c>
      <c r="W57" s="19">
        <v>0</v>
      </c>
      <c r="Z57" s="19">
        <v>0</v>
      </c>
      <c r="AA57" s="19">
        <v>0</v>
      </c>
    </row>
    <row r="58" spans="1:27" x14ac:dyDescent="0.25">
      <c r="A58" s="19" t="s">
        <v>191</v>
      </c>
      <c r="B58" s="19" t="s">
        <v>173</v>
      </c>
      <c r="C58" s="19" t="s">
        <v>174</v>
      </c>
      <c r="D58" s="19">
        <v>0</v>
      </c>
      <c r="E58" s="19" t="s">
        <v>93</v>
      </c>
      <c r="F58" s="19" t="s">
        <v>94</v>
      </c>
      <c r="G58" s="19" t="s">
        <v>32</v>
      </c>
      <c r="H58" s="19" t="s">
        <v>87</v>
      </c>
      <c r="I58" s="19" t="s">
        <v>88</v>
      </c>
      <c r="J58" s="19">
        <v>34</v>
      </c>
      <c r="K58" s="19">
        <v>3.2500000000000001E-2</v>
      </c>
      <c r="L58" s="19" t="s">
        <v>35</v>
      </c>
      <c r="M58" s="19" t="s">
        <v>110</v>
      </c>
      <c r="N58" s="19">
        <v>0</v>
      </c>
      <c r="O58" s="19">
        <v>0</v>
      </c>
      <c r="P58" s="19">
        <v>0</v>
      </c>
      <c r="Q58" s="19">
        <v>0</v>
      </c>
      <c r="S58" s="19">
        <v>1</v>
      </c>
      <c r="T58" s="19">
        <v>1</v>
      </c>
      <c r="U58" s="19">
        <v>0</v>
      </c>
      <c r="V58" s="19" t="s">
        <v>80</v>
      </c>
      <c r="W58" s="19">
        <v>0</v>
      </c>
      <c r="Y58" s="19" t="s">
        <v>110</v>
      </c>
      <c r="Z58" s="19">
        <v>16.664999999999999</v>
      </c>
      <c r="AA58" s="19">
        <v>0</v>
      </c>
    </row>
    <row r="59" spans="1:27" x14ac:dyDescent="0.25">
      <c r="A59" s="19" t="s">
        <v>192</v>
      </c>
      <c r="B59" s="19" t="s">
        <v>173</v>
      </c>
      <c r="C59" s="19" t="s">
        <v>174</v>
      </c>
      <c r="D59" s="19">
        <v>0</v>
      </c>
      <c r="E59" s="19" t="s">
        <v>96</v>
      </c>
      <c r="F59" s="19" t="s">
        <v>97</v>
      </c>
      <c r="G59" s="19" t="s">
        <v>32</v>
      </c>
      <c r="H59" s="19" t="s">
        <v>87</v>
      </c>
      <c r="I59" s="19" t="s">
        <v>88</v>
      </c>
      <c r="J59" s="19">
        <v>36</v>
      </c>
      <c r="K59" s="19">
        <v>3.2500000000000001E-2</v>
      </c>
      <c r="L59" s="19" t="s">
        <v>35</v>
      </c>
      <c r="N59" s="19">
        <v>0</v>
      </c>
      <c r="O59" s="19">
        <v>0</v>
      </c>
      <c r="P59" s="19">
        <v>0</v>
      </c>
      <c r="Q59" s="19">
        <v>0</v>
      </c>
      <c r="S59" s="19">
        <v>1</v>
      </c>
      <c r="T59" s="19">
        <v>1</v>
      </c>
      <c r="U59" s="19">
        <v>0</v>
      </c>
      <c r="V59" s="19" t="s">
        <v>36</v>
      </c>
      <c r="W59" s="19">
        <v>0</v>
      </c>
      <c r="Z59" s="19">
        <v>0</v>
      </c>
      <c r="AA59" s="19">
        <v>0</v>
      </c>
    </row>
    <row r="60" spans="1:27" x14ac:dyDescent="0.25">
      <c r="A60" s="19" t="s">
        <v>193</v>
      </c>
      <c r="B60" s="19" t="s">
        <v>173</v>
      </c>
      <c r="C60" s="19" t="s">
        <v>174</v>
      </c>
      <c r="D60" s="19">
        <v>0</v>
      </c>
      <c r="E60" s="19" t="s">
        <v>99</v>
      </c>
      <c r="F60" s="19" t="s">
        <v>100</v>
      </c>
      <c r="G60" s="19" t="s">
        <v>32</v>
      </c>
      <c r="H60" s="19" t="s">
        <v>101</v>
      </c>
      <c r="I60" s="19" t="s">
        <v>102</v>
      </c>
      <c r="J60" s="19">
        <v>39</v>
      </c>
      <c r="K60" s="19">
        <v>4.3299999999999998E-2</v>
      </c>
      <c r="L60" s="19" t="s">
        <v>35</v>
      </c>
      <c r="M60" s="19" t="s">
        <v>103</v>
      </c>
      <c r="N60" s="19">
        <v>0</v>
      </c>
      <c r="O60" s="19">
        <v>0</v>
      </c>
      <c r="P60" s="19">
        <v>0</v>
      </c>
      <c r="Q60" s="19">
        <v>0</v>
      </c>
      <c r="S60" s="19">
        <v>1</v>
      </c>
      <c r="T60" s="19">
        <v>1</v>
      </c>
      <c r="U60" s="19">
        <v>0</v>
      </c>
      <c r="V60" s="19" t="s">
        <v>36</v>
      </c>
      <c r="W60" s="19">
        <v>0</v>
      </c>
      <c r="Y60" s="19" t="s">
        <v>103</v>
      </c>
      <c r="Z60" s="19">
        <v>50</v>
      </c>
      <c r="AA60" s="19">
        <v>0</v>
      </c>
    </row>
    <row r="61" spans="1:27" x14ac:dyDescent="0.25">
      <c r="A61" s="19" t="s">
        <v>194</v>
      </c>
      <c r="B61" s="19" t="s">
        <v>173</v>
      </c>
      <c r="C61" s="19" t="s">
        <v>174</v>
      </c>
      <c r="D61" s="19">
        <v>0</v>
      </c>
      <c r="E61" s="19" t="s">
        <v>105</v>
      </c>
      <c r="F61" s="19" t="s">
        <v>106</v>
      </c>
      <c r="G61" s="19" t="s">
        <v>32</v>
      </c>
      <c r="H61" s="19" t="s">
        <v>101</v>
      </c>
      <c r="I61" s="19" t="s">
        <v>102</v>
      </c>
      <c r="J61" s="19">
        <v>38</v>
      </c>
      <c r="K61" s="19">
        <v>4.3299999999999998E-2</v>
      </c>
      <c r="L61" s="19" t="s">
        <v>35</v>
      </c>
      <c r="M61" s="19" t="s">
        <v>103</v>
      </c>
      <c r="N61" s="19">
        <v>0</v>
      </c>
      <c r="O61" s="19">
        <v>0</v>
      </c>
      <c r="P61" s="19">
        <v>0</v>
      </c>
      <c r="Q61" s="19">
        <v>0</v>
      </c>
      <c r="S61" s="19">
        <v>1</v>
      </c>
      <c r="T61" s="19">
        <v>1</v>
      </c>
      <c r="U61" s="19">
        <v>0</v>
      </c>
      <c r="V61" s="19" t="s">
        <v>36</v>
      </c>
      <c r="W61" s="19">
        <v>0</v>
      </c>
      <c r="Y61" s="19" t="s">
        <v>103</v>
      </c>
      <c r="Z61" s="19">
        <v>50</v>
      </c>
      <c r="AA61" s="19">
        <v>0</v>
      </c>
    </row>
    <row r="62" spans="1:27" x14ac:dyDescent="0.25">
      <c r="A62" s="19" t="s">
        <v>195</v>
      </c>
      <c r="B62" s="19" t="s">
        <v>173</v>
      </c>
      <c r="C62" s="19" t="s">
        <v>174</v>
      </c>
      <c r="D62" s="19">
        <v>0</v>
      </c>
      <c r="E62" s="19" t="s">
        <v>108</v>
      </c>
      <c r="F62" s="19" t="s">
        <v>109</v>
      </c>
      <c r="G62" s="19" t="s">
        <v>32</v>
      </c>
      <c r="H62" s="19" t="s">
        <v>101</v>
      </c>
      <c r="I62" s="19" t="s">
        <v>102</v>
      </c>
      <c r="J62" s="19">
        <v>37</v>
      </c>
      <c r="K62" s="19">
        <v>4.3299999999999998E-2</v>
      </c>
      <c r="L62" s="19" t="s">
        <v>35</v>
      </c>
      <c r="M62" s="19" t="s">
        <v>110</v>
      </c>
      <c r="N62" s="19">
        <v>0</v>
      </c>
      <c r="O62" s="19">
        <v>0</v>
      </c>
      <c r="P62" s="19">
        <v>0</v>
      </c>
      <c r="Q62" s="19">
        <v>0</v>
      </c>
      <c r="S62" s="19">
        <v>1</v>
      </c>
      <c r="T62" s="19">
        <v>1</v>
      </c>
      <c r="U62" s="19">
        <v>0</v>
      </c>
      <c r="V62" s="19" t="s">
        <v>80</v>
      </c>
      <c r="W62" s="19">
        <v>0</v>
      </c>
      <c r="Y62" s="19" t="s">
        <v>110</v>
      </c>
      <c r="Z62" s="19">
        <v>16.664999999999999</v>
      </c>
      <c r="AA62" s="19">
        <v>0</v>
      </c>
    </row>
    <row r="63" spans="1:27" x14ac:dyDescent="0.25">
      <c r="A63" s="19" t="s">
        <v>196</v>
      </c>
      <c r="B63" s="19" t="s">
        <v>173</v>
      </c>
      <c r="C63" s="19" t="s">
        <v>174</v>
      </c>
      <c r="D63" s="19">
        <v>0</v>
      </c>
      <c r="E63" s="19" t="s">
        <v>112</v>
      </c>
      <c r="F63" s="19" t="s">
        <v>113</v>
      </c>
      <c r="G63" s="19" t="s">
        <v>32</v>
      </c>
      <c r="H63" s="19" t="s">
        <v>114</v>
      </c>
      <c r="I63" s="19" t="s">
        <v>115</v>
      </c>
      <c r="J63" s="19">
        <v>30</v>
      </c>
      <c r="K63" s="19">
        <v>2.1700000000000001E-2</v>
      </c>
      <c r="L63" s="19" t="s">
        <v>35</v>
      </c>
      <c r="M63" s="19" t="s">
        <v>103</v>
      </c>
      <c r="N63" s="19">
        <v>0</v>
      </c>
      <c r="O63" s="19">
        <v>0</v>
      </c>
      <c r="P63" s="19">
        <v>0</v>
      </c>
      <c r="Q63" s="19">
        <v>0</v>
      </c>
      <c r="S63" s="19">
        <v>1</v>
      </c>
      <c r="T63" s="19">
        <v>1</v>
      </c>
      <c r="U63" s="19">
        <v>0</v>
      </c>
      <c r="V63" s="19" t="s">
        <v>36</v>
      </c>
      <c r="W63" s="19">
        <v>0</v>
      </c>
      <c r="Y63" s="19" t="s">
        <v>103</v>
      </c>
      <c r="Z63" s="19">
        <v>50</v>
      </c>
      <c r="AA63" s="19">
        <v>0</v>
      </c>
    </row>
    <row r="64" spans="1:27" x14ac:dyDescent="0.25">
      <c r="A64" s="19" t="s">
        <v>197</v>
      </c>
      <c r="B64" s="19" t="s">
        <v>173</v>
      </c>
      <c r="C64" s="19" t="s">
        <v>174</v>
      </c>
      <c r="D64" s="19">
        <v>1.085</v>
      </c>
      <c r="E64" s="19" t="s">
        <v>117</v>
      </c>
      <c r="F64" s="19" t="s">
        <v>118</v>
      </c>
      <c r="G64" s="19" t="s">
        <v>32</v>
      </c>
      <c r="H64" s="19" t="s">
        <v>114</v>
      </c>
      <c r="I64" s="19" t="s">
        <v>115</v>
      </c>
      <c r="J64" s="19">
        <v>31</v>
      </c>
      <c r="K64" s="19">
        <v>2.1700000000000001E-2</v>
      </c>
      <c r="L64" s="19" t="s">
        <v>35</v>
      </c>
      <c r="M64" s="19" t="s">
        <v>103</v>
      </c>
      <c r="N64" s="19">
        <v>50</v>
      </c>
      <c r="O64" s="19">
        <v>50</v>
      </c>
      <c r="P64" s="19">
        <v>0</v>
      </c>
      <c r="Q64" s="19">
        <v>0</v>
      </c>
      <c r="S64" s="19">
        <v>1</v>
      </c>
      <c r="T64" s="19">
        <v>1</v>
      </c>
      <c r="U64" s="19">
        <v>0</v>
      </c>
      <c r="V64" s="19" t="s">
        <v>41</v>
      </c>
      <c r="W64" s="19">
        <v>1</v>
      </c>
      <c r="Y64" s="19" t="s">
        <v>103</v>
      </c>
      <c r="Z64" s="19">
        <v>50</v>
      </c>
      <c r="AA64" s="19">
        <v>50</v>
      </c>
    </row>
    <row r="65" spans="1:27" x14ac:dyDescent="0.25">
      <c r="A65" s="19" t="s">
        <v>198</v>
      </c>
      <c r="B65" s="19" t="s">
        <v>173</v>
      </c>
      <c r="C65" s="19" t="s">
        <v>174</v>
      </c>
      <c r="D65" s="19">
        <v>0</v>
      </c>
      <c r="E65" s="19" t="s">
        <v>120</v>
      </c>
      <c r="F65" s="19" t="s">
        <v>121</v>
      </c>
      <c r="G65" s="19" t="s">
        <v>32</v>
      </c>
      <c r="H65" s="19" t="s">
        <v>114</v>
      </c>
      <c r="I65" s="19" t="s">
        <v>115</v>
      </c>
      <c r="J65" s="19">
        <v>28</v>
      </c>
      <c r="K65" s="19">
        <v>2.1700000000000001E-2</v>
      </c>
      <c r="L65" s="19" t="s">
        <v>35</v>
      </c>
      <c r="M65" s="19" t="s">
        <v>103</v>
      </c>
      <c r="N65" s="19">
        <v>0</v>
      </c>
      <c r="O65" s="19">
        <v>0</v>
      </c>
      <c r="P65" s="19">
        <v>0</v>
      </c>
      <c r="Q65" s="19">
        <v>0</v>
      </c>
      <c r="S65" s="19">
        <v>1</v>
      </c>
      <c r="T65" s="19">
        <v>1</v>
      </c>
      <c r="U65" s="19">
        <v>0</v>
      </c>
      <c r="V65" s="19" t="s">
        <v>36</v>
      </c>
      <c r="W65" s="19">
        <v>0</v>
      </c>
      <c r="Y65" s="19" t="s">
        <v>103</v>
      </c>
      <c r="Z65" s="19">
        <v>50</v>
      </c>
      <c r="AA65" s="19">
        <v>0</v>
      </c>
    </row>
    <row r="66" spans="1:27" x14ac:dyDescent="0.25">
      <c r="A66" s="19" t="s">
        <v>199</v>
      </c>
      <c r="B66" s="19" t="s">
        <v>173</v>
      </c>
      <c r="C66" s="19" t="s">
        <v>174</v>
      </c>
      <c r="D66" s="19">
        <v>0</v>
      </c>
      <c r="E66" s="19" t="s">
        <v>123</v>
      </c>
      <c r="F66" s="19" t="s">
        <v>124</v>
      </c>
      <c r="G66" s="19" t="s">
        <v>32</v>
      </c>
      <c r="H66" s="19" t="s">
        <v>114</v>
      </c>
      <c r="I66" s="19" t="s">
        <v>115</v>
      </c>
      <c r="J66" s="19">
        <v>27</v>
      </c>
      <c r="K66" s="19">
        <v>2.1700000000000001E-2</v>
      </c>
      <c r="L66" s="19" t="s">
        <v>35</v>
      </c>
      <c r="M66" s="19" t="s">
        <v>103</v>
      </c>
      <c r="N66" s="19">
        <v>0</v>
      </c>
      <c r="O66" s="19">
        <v>0</v>
      </c>
      <c r="P66" s="19">
        <v>0</v>
      </c>
      <c r="Q66" s="19">
        <v>0</v>
      </c>
      <c r="S66" s="19">
        <v>1</v>
      </c>
      <c r="T66" s="19">
        <v>1</v>
      </c>
      <c r="U66" s="19">
        <v>0</v>
      </c>
      <c r="V66" s="19" t="s">
        <v>36</v>
      </c>
      <c r="W66" s="19">
        <v>0</v>
      </c>
      <c r="Y66" s="19" t="s">
        <v>103</v>
      </c>
      <c r="Z66" s="19">
        <v>50</v>
      </c>
      <c r="AA66" s="19">
        <v>0</v>
      </c>
    </row>
    <row r="67" spans="1:27" x14ac:dyDescent="0.25">
      <c r="A67" s="19" t="s">
        <v>200</v>
      </c>
      <c r="B67" s="19" t="s">
        <v>173</v>
      </c>
      <c r="C67" s="19" t="s">
        <v>174</v>
      </c>
      <c r="D67" s="19">
        <v>0</v>
      </c>
      <c r="E67" s="19" t="s">
        <v>126</v>
      </c>
      <c r="F67" s="19" t="s">
        <v>127</v>
      </c>
      <c r="G67" s="19" t="s">
        <v>32</v>
      </c>
      <c r="H67" s="19" t="s">
        <v>114</v>
      </c>
      <c r="I67" s="19" t="s">
        <v>115</v>
      </c>
      <c r="J67" s="19">
        <v>29</v>
      </c>
      <c r="K67" s="19">
        <v>2.1700000000000001E-2</v>
      </c>
      <c r="L67" s="19" t="s">
        <v>35</v>
      </c>
      <c r="M67" s="19" t="s">
        <v>103</v>
      </c>
      <c r="N67" s="19">
        <v>0</v>
      </c>
      <c r="O67" s="19">
        <v>0</v>
      </c>
      <c r="P67" s="19">
        <v>0</v>
      </c>
      <c r="Q67" s="19">
        <v>0</v>
      </c>
      <c r="S67" s="19">
        <v>1</v>
      </c>
      <c r="T67" s="19">
        <v>1</v>
      </c>
      <c r="U67" s="19">
        <v>0</v>
      </c>
      <c r="V67" s="19" t="s">
        <v>36</v>
      </c>
      <c r="W67" s="19">
        <v>0</v>
      </c>
      <c r="Y67" s="19" t="s">
        <v>103</v>
      </c>
      <c r="Z67" s="19">
        <v>50</v>
      </c>
      <c r="AA67" s="19">
        <v>0</v>
      </c>
    </row>
    <row r="68" spans="1:27" x14ac:dyDescent="0.25">
      <c r="A68" s="19" t="s">
        <v>201</v>
      </c>
      <c r="B68" s="19" t="s">
        <v>173</v>
      </c>
      <c r="C68" s="19" t="s">
        <v>174</v>
      </c>
      <c r="D68" s="19">
        <v>1.085</v>
      </c>
      <c r="E68" s="19" t="s">
        <v>129</v>
      </c>
      <c r="F68" s="19" t="s">
        <v>130</v>
      </c>
      <c r="G68" s="19" t="s">
        <v>32</v>
      </c>
      <c r="H68" s="19" t="s">
        <v>114</v>
      </c>
      <c r="I68" s="19" t="s">
        <v>115</v>
      </c>
      <c r="J68" s="19">
        <v>32</v>
      </c>
      <c r="K68" s="19">
        <v>2.1700000000000001E-2</v>
      </c>
      <c r="L68" s="19" t="s">
        <v>35</v>
      </c>
      <c r="M68" s="19" t="s">
        <v>103</v>
      </c>
      <c r="N68" s="19">
        <v>50</v>
      </c>
      <c r="O68" s="19">
        <v>50</v>
      </c>
      <c r="P68" s="19">
        <v>0</v>
      </c>
      <c r="Q68" s="19">
        <v>0</v>
      </c>
      <c r="S68" s="19">
        <v>1</v>
      </c>
      <c r="T68" s="19">
        <v>1</v>
      </c>
      <c r="U68" s="19">
        <v>0</v>
      </c>
      <c r="V68" s="19" t="s">
        <v>41</v>
      </c>
      <c r="W68" s="19">
        <v>1</v>
      </c>
      <c r="Y68" s="19" t="s">
        <v>103</v>
      </c>
      <c r="Z68" s="19">
        <v>50</v>
      </c>
      <c r="AA68" s="19">
        <v>50</v>
      </c>
    </row>
    <row r="69" spans="1:27" x14ac:dyDescent="0.25">
      <c r="A69" s="19" t="s">
        <v>202</v>
      </c>
      <c r="B69" s="19" t="s">
        <v>173</v>
      </c>
      <c r="C69" s="19" t="s">
        <v>174</v>
      </c>
      <c r="D69" s="19">
        <v>0</v>
      </c>
      <c r="E69" s="19" t="s">
        <v>132</v>
      </c>
      <c r="F69" s="19" t="s">
        <v>133</v>
      </c>
      <c r="G69" s="19" t="s">
        <v>134</v>
      </c>
      <c r="H69" s="19" t="s">
        <v>87</v>
      </c>
      <c r="I69" s="19" t="s">
        <v>135</v>
      </c>
      <c r="J69" s="19">
        <v>11</v>
      </c>
      <c r="K69" s="19">
        <v>4.1700000000000001E-2</v>
      </c>
      <c r="L69" s="19" t="s">
        <v>35</v>
      </c>
      <c r="M69" s="19" t="s">
        <v>103</v>
      </c>
      <c r="N69" s="19">
        <v>0</v>
      </c>
      <c r="O69" s="19">
        <v>0</v>
      </c>
      <c r="P69" s="19">
        <v>0</v>
      </c>
      <c r="Q69" s="19">
        <v>0</v>
      </c>
      <c r="S69" s="19">
        <v>1</v>
      </c>
      <c r="T69" s="19">
        <v>1</v>
      </c>
      <c r="U69" s="19">
        <v>0</v>
      </c>
      <c r="V69" s="19" t="s">
        <v>80</v>
      </c>
      <c r="W69" s="19">
        <v>0</v>
      </c>
      <c r="Y69" s="19" t="s">
        <v>103</v>
      </c>
      <c r="Z69" s="19">
        <v>50</v>
      </c>
      <c r="AA69" s="19">
        <v>0</v>
      </c>
    </row>
    <row r="70" spans="1:27" x14ac:dyDescent="0.25">
      <c r="A70" s="19" t="s">
        <v>203</v>
      </c>
      <c r="B70" s="19" t="s">
        <v>173</v>
      </c>
      <c r="C70" s="19" t="s">
        <v>174</v>
      </c>
      <c r="D70" s="19">
        <v>0.69493050000000001</v>
      </c>
      <c r="E70" s="19" t="s">
        <v>137</v>
      </c>
      <c r="F70" s="19" t="s">
        <v>138</v>
      </c>
      <c r="G70" s="19" t="s">
        <v>134</v>
      </c>
      <c r="H70" s="19" t="s">
        <v>87</v>
      </c>
      <c r="I70" s="19" t="s">
        <v>135</v>
      </c>
      <c r="J70" s="19">
        <v>9</v>
      </c>
      <c r="K70" s="19">
        <v>4.1700000000000001E-2</v>
      </c>
      <c r="L70" s="19" t="s">
        <v>35</v>
      </c>
      <c r="M70" s="19" t="s">
        <v>110</v>
      </c>
      <c r="N70" s="19">
        <v>16.664999999999999</v>
      </c>
      <c r="O70" s="19">
        <v>16.664999999999999</v>
      </c>
      <c r="P70" s="19">
        <v>0</v>
      </c>
      <c r="Q70" s="19">
        <v>0</v>
      </c>
      <c r="S70" s="19">
        <v>1</v>
      </c>
      <c r="T70" s="19">
        <v>1</v>
      </c>
      <c r="U70" s="19">
        <v>0</v>
      </c>
      <c r="W70" s="19">
        <v>0</v>
      </c>
      <c r="X70" s="19">
        <v>3</v>
      </c>
      <c r="Y70" s="19" t="s">
        <v>110</v>
      </c>
      <c r="Z70" s="19">
        <v>16.664999999999999</v>
      </c>
      <c r="AA70" s="19">
        <v>16.664999999999999</v>
      </c>
    </row>
    <row r="71" spans="1:27" x14ac:dyDescent="0.25">
      <c r="A71" s="19" t="s">
        <v>204</v>
      </c>
      <c r="B71" s="19" t="s">
        <v>173</v>
      </c>
      <c r="C71" s="19" t="s">
        <v>174</v>
      </c>
      <c r="D71" s="19">
        <v>0</v>
      </c>
      <c r="E71" s="19" t="s">
        <v>140</v>
      </c>
      <c r="F71" s="19" t="s">
        <v>141</v>
      </c>
      <c r="G71" s="19" t="s">
        <v>134</v>
      </c>
      <c r="H71" s="19" t="s">
        <v>87</v>
      </c>
      <c r="I71" s="19" t="s">
        <v>135</v>
      </c>
      <c r="J71" s="19">
        <v>10</v>
      </c>
      <c r="K71" s="19">
        <v>4.1700000000000001E-2</v>
      </c>
      <c r="L71" s="19" t="s">
        <v>35</v>
      </c>
      <c r="N71" s="19">
        <v>0</v>
      </c>
      <c r="O71" s="19">
        <v>0</v>
      </c>
      <c r="P71" s="19">
        <v>0</v>
      </c>
      <c r="Q71" s="19">
        <v>0</v>
      </c>
      <c r="S71" s="19">
        <v>1</v>
      </c>
      <c r="T71" s="19">
        <v>1</v>
      </c>
      <c r="U71" s="19">
        <v>0</v>
      </c>
      <c r="W71" s="19">
        <v>0</v>
      </c>
      <c r="X71" s="19">
        <v>0</v>
      </c>
      <c r="Z71" s="19">
        <v>0</v>
      </c>
      <c r="AA71" s="19">
        <v>0</v>
      </c>
    </row>
    <row r="72" spans="1:27" x14ac:dyDescent="0.25">
      <c r="A72" s="19" t="s">
        <v>205</v>
      </c>
      <c r="B72" s="19" t="s">
        <v>173</v>
      </c>
      <c r="C72" s="19" t="s">
        <v>174</v>
      </c>
      <c r="D72" s="19">
        <v>1.25</v>
      </c>
      <c r="E72" s="19" t="s">
        <v>144</v>
      </c>
      <c r="F72" s="19" t="s">
        <v>145</v>
      </c>
      <c r="G72" s="19" t="s">
        <v>134</v>
      </c>
      <c r="H72" s="19" t="s">
        <v>146</v>
      </c>
      <c r="I72" s="19" t="s">
        <v>147</v>
      </c>
      <c r="J72" s="19">
        <v>4</v>
      </c>
      <c r="K72" s="19">
        <v>2.5000000000000001E-2</v>
      </c>
      <c r="L72" s="19" t="s">
        <v>35</v>
      </c>
      <c r="M72" s="19" t="s">
        <v>103</v>
      </c>
      <c r="N72" s="19">
        <v>50</v>
      </c>
      <c r="O72" s="19">
        <v>50</v>
      </c>
      <c r="P72" s="19">
        <v>0</v>
      </c>
      <c r="Q72" s="19">
        <v>0</v>
      </c>
      <c r="S72" s="19">
        <v>1</v>
      </c>
      <c r="T72" s="19">
        <v>1</v>
      </c>
      <c r="U72" s="19">
        <v>0</v>
      </c>
      <c r="V72" s="19" t="s">
        <v>41</v>
      </c>
      <c r="W72" s="19">
        <v>1</v>
      </c>
      <c r="Y72" s="19" t="s">
        <v>103</v>
      </c>
      <c r="Z72" s="19">
        <v>50</v>
      </c>
      <c r="AA72" s="19">
        <v>50</v>
      </c>
    </row>
    <row r="73" spans="1:27" x14ac:dyDescent="0.25">
      <c r="A73" s="19" t="s">
        <v>206</v>
      </c>
      <c r="B73" s="19" t="s">
        <v>173</v>
      </c>
      <c r="C73" s="19" t="s">
        <v>174</v>
      </c>
      <c r="D73" s="19">
        <v>1.25</v>
      </c>
      <c r="E73" s="19" t="s">
        <v>149</v>
      </c>
      <c r="F73" s="19" t="s">
        <v>150</v>
      </c>
      <c r="G73" s="19" t="s">
        <v>134</v>
      </c>
      <c r="H73" s="19" t="s">
        <v>146</v>
      </c>
      <c r="I73" s="19" t="s">
        <v>147</v>
      </c>
      <c r="J73" s="19">
        <v>5</v>
      </c>
      <c r="K73" s="19">
        <v>2.5000000000000001E-2</v>
      </c>
      <c r="L73" s="19" t="s">
        <v>35</v>
      </c>
      <c r="M73" s="19" t="s">
        <v>103</v>
      </c>
      <c r="N73" s="19">
        <v>50</v>
      </c>
      <c r="O73" s="19">
        <v>50</v>
      </c>
      <c r="P73" s="19">
        <v>0</v>
      </c>
      <c r="Q73" s="19">
        <v>0</v>
      </c>
      <c r="S73" s="19">
        <v>1</v>
      </c>
      <c r="T73" s="19">
        <v>1</v>
      </c>
      <c r="U73" s="19">
        <v>0</v>
      </c>
      <c r="V73" s="19" t="s">
        <v>41</v>
      </c>
      <c r="W73" s="19">
        <v>1</v>
      </c>
      <c r="Y73" s="19" t="s">
        <v>103</v>
      </c>
      <c r="Z73" s="19">
        <v>50</v>
      </c>
      <c r="AA73" s="19">
        <v>50</v>
      </c>
    </row>
    <row r="74" spans="1:27" x14ac:dyDescent="0.25">
      <c r="A74" s="19" t="s">
        <v>207</v>
      </c>
      <c r="B74" s="19" t="s">
        <v>173</v>
      </c>
      <c r="C74" s="19" t="s">
        <v>174</v>
      </c>
      <c r="D74" s="19">
        <v>1.25</v>
      </c>
      <c r="E74" s="19" t="s">
        <v>152</v>
      </c>
      <c r="F74" s="19" t="s">
        <v>153</v>
      </c>
      <c r="G74" s="19" t="s">
        <v>134</v>
      </c>
      <c r="H74" s="19" t="s">
        <v>146</v>
      </c>
      <c r="I74" s="19" t="s">
        <v>147</v>
      </c>
      <c r="J74" s="19">
        <v>6</v>
      </c>
      <c r="K74" s="19">
        <v>2.5000000000000001E-2</v>
      </c>
      <c r="L74" s="19" t="s">
        <v>35</v>
      </c>
      <c r="M74" s="19" t="s">
        <v>103</v>
      </c>
      <c r="N74" s="19">
        <v>50</v>
      </c>
      <c r="O74" s="19">
        <v>50</v>
      </c>
      <c r="P74" s="19">
        <v>0</v>
      </c>
      <c r="Q74" s="19">
        <v>0</v>
      </c>
      <c r="S74" s="19">
        <v>1</v>
      </c>
      <c r="T74" s="19">
        <v>1</v>
      </c>
      <c r="U74" s="19">
        <v>0</v>
      </c>
      <c r="V74" s="19" t="s">
        <v>41</v>
      </c>
      <c r="W74" s="19">
        <v>1</v>
      </c>
      <c r="Y74" s="19" t="s">
        <v>103</v>
      </c>
      <c r="Z74" s="19">
        <v>50</v>
      </c>
      <c r="AA74" s="19">
        <v>50</v>
      </c>
    </row>
    <row r="75" spans="1:27" x14ac:dyDescent="0.25">
      <c r="A75" s="19" t="s">
        <v>208</v>
      </c>
      <c r="B75" s="19" t="s">
        <v>173</v>
      </c>
      <c r="C75" s="19" t="s">
        <v>174</v>
      </c>
      <c r="D75" s="19">
        <v>1.25</v>
      </c>
      <c r="E75" s="19" t="s">
        <v>155</v>
      </c>
      <c r="F75" s="19" t="s">
        <v>156</v>
      </c>
      <c r="G75" s="19" t="s">
        <v>134</v>
      </c>
      <c r="H75" s="19" t="s">
        <v>146</v>
      </c>
      <c r="I75" s="19" t="s">
        <v>147</v>
      </c>
      <c r="J75" s="19">
        <v>7</v>
      </c>
      <c r="K75" s="19">
        <v>2.5000000000000001E-2</v>
      </c>
      <c r="L75" s="19" t="s">
        <v>35</v>
      </c>
      <c r="M75" s="19" t="s">
        <v>103</v>
      </c>
      <c r="N75" s="19">
        <v>50</v>
      </c>
      <c r="O75" s="19">
        <v>50</v>
      </c>
      <c r="P75" s="19">
        <v>0</v>
      </c>
      <c r="Q75" s="19">
        <v>0</v>
      </c>
      <c r="S75" s="19">
        <v>1</v>
      </c>
      <c r="T75" s="19">
        <v>1</v>
      </c>
      <c r="U75" s="19">
        <v>0</v>
      </c>
      <c r="V75" s="19" t="s">
        <v>41</v>
      </c>
      <c r="W75" s="19">
        <v>1</v>
      </c>
      <c r="Y75" s="19" t="s">
        <v>103</v>
      </c>
      <c r="Z75" s="19">
        <v>50</v>
      </c>
      <c r="AA75" s="19">
        <v>50</v>
      </c>
    </row>
    <row r="76" spans="1:27" x14ac:dyDescent="0.25">
      <c r="A76" s="19" t="s">
        <v>209</v>
      </c>
      <c r="B76" s="19" t="s">
        <v>173</v>
      </c>
      <c r="C76" s="19" t="s">
        <v>174</v>
      </c>
      <c r="D76" s="19">
        <v>0</v>
      </c>
      <c r="E76" s="19" t="s">
        <v>158</v>
      </c>
      <c r="F76" s="19" t="s">
        <v>159</v>
      </c>
      <c r="G76" s="19" t="s">
        <v>134</v>
      </c>
      <c r="H76" s="19" t="s">
        <v>146</v>
      </c>
      <c r="I76" s="19" t="s">
        <v>147</v>
      </c>
      <c r="J76" s="19">
        <v>8</v>
      </c>
      <c r="K76" s="19">
        <v>2.5000000000000001E-2</v>
      </c>
      <c r="L76" s="19" t="s">
        <v>35</v>
      </c>
      <c r="M76" s="19" t="s">
        <v>103</v>
      </c>
      <c r="N76" s="19">
        <v>0</v>
      </c>
      <c r="O76" s="19">
        <v>0</v>
      </c>
      <c r="P76" s="19">
        <v>0</v>
      </c>
      <c r="Q76" s="19">
        <v>0</v>
      </c>
      <c r="S76" s="19">
        <v>1</v>
      </c>
      <c r="T76" s="19">
        <v>1</v>
      </c>
      <c r="U76" s="19">
        <v>0</v>
      </c>
      <c r="V76" s="19" t="s">
        <v>36</v>
      </c>
      <c r="W76" s="19">
        <v>0</v>
      </c>
      <c r="Y76" s="19" t="s">
        <v>103</v>
      </c>
      <c r="Z76" s="19">
        <v>50</v>
      </c>
      <c r="AA76" s="19">
        <v>0</v>
      </c>
    </row>
    <row r="77" spans="1:27" x14ac:dyDescent="0.25">
      <c r="A77" s="19" t="s">
        <v>210</v>
      </c>
      <c r="B77" s="19" t="s">
        <v>173</v>
      </c>
      <c r="C77" s="19" t="s">
        <v>174</v>
      </c>
      <c r="D77" s="19">
        <v>3.33</v>
      </c>
      <c r="E77" s="19" t="s">
        <v>161</v>
      </c>
      <c r="F77" s="19" t="s">
        <v>162</v>
      </c>
      <c r="G77" s="19" t="s">
        <v>163</v>
      </c>
      <c r="I77" s="19" t="s">
        <v>164</v>
      </c>
      <c r="J77" s="19">
        <v>1</v>
      </c>
      <c r="K77" s="19">
        <v>3.3300000000000003E-2</v>
      </c>
      <c r="L77" s="19" t="s">
        <v>35</v>
      </c>
      <c r="M77" s="19" t="s">
        <v>165</v>
      </c>
      <c r="N77" s="19">
        <v>100</v>
      </c>
      <c r="O77" s="19">
        <v>100</v>
      </c>
      <c r="P77" s="19">
        <v>0</v>
      </c>
      <c r="Q77" s="19">
        <v>0</v>
      </c>
      <c r="S77" s="19">
        <v>1</v>
      </c>
      <c r="T77" s="19">
        <v>1</v>
      </c>
      <c r="U77" s="19">
        <v>0</v>
      </c>
      <c r="W77" s="19">
        <v>0</v>
      </c>
      <c r="X77" s="19">
        <v>100</v>
      </c>
      <c r="Z77" s="19">
        <v>0</v>
      </c>
      <c r="AA77" s="19">
        <v>100</v>
      </c>
    </row>
    <row r="78" spans="1:27" x14ac:dyDescent="0.25">
      <c r="A78" s="19" t="s">
        <v>211</v>
      </c>
      <c r="B78" s="19" t="s">
        <v>173</v>
      </c>
      <c r="C78" s="19" t="s">
        <v>174</v>
      </c>
      <c r="D78" s="19">
        <v>0</v>
      </c>
      <c r="E78" s="19" t="s">
        <v>167</v>
      </c>
      <c r="F78" s="19" t="s">
        <v>168</v>
      </c>
      <c r="G78" s="19" t="s">
        <v>163</v>
      </c>
      <c r="I78" s="19" t="s">
        <v>164</v>
      </c>
      <c r="J78" s="19">
        <v>3</v>
      </c>
      <c r="K78" s="19">
        <v>3.3300000000000003E-2</v>
      </c>
      <c r="L78" s="19" t="s">
        <v>35</v>
      </c>
      <c r="M78" s="19" t="s">
        <v>165</v>
      </c>
      <c r="N78" s="19">
        <v>0</v>
      </c>
      <c r="O78" s="19">
        <v>0</v>
      </c>
      <c r="P78" s="19">
        <v>0</v>
      </c>
      <c r="Q78" s="19">
        <v>0</v>
      </c>
      <c r="S78" s="19">
        <v>1</v>
      </c>
      <c r="T78" s="19">
        <v>1</v>
      </c>
      <c r="U78" s="19">
        <v>0</v>
      </c>
      <c r="W78" s="19">
        <v>0</v>
      </c>
      <c r="X78" s="19">
        <v>0</v>
      </c>
      <c r="Z78" s="19">
        <v>0</v>
      </c>
      <c r="AA78" s="19">
        <v>0</v>
      </c>
    </row>
    <row r="79" spans="1:27" x14ac:dyDescent="0.25">
      <c r="A79" s="19" t="s">
        <v>212</v>
      </c>
      <c r="B79" s="19" t="s">
        <v>173</v>
      </c>
      <c r="C79" s="19" t="s">
        <v>174</v>
      </c>
      <c r="D79" s="19">
        <v>0</v>
      </c>
      <c r="E79" s="19" t="s">
        <v>170</v>
      </c>
      <c r="F79" s="19" t="s">
        <v>171</v>
      </c>
      <c r="G79" s="19" t="s">
        <v>163</v>
      </c>
      <c r="I79" s="19" t="s">
        <v>164</v>
      </c>
      <c r="J79" s="19">
        <v>2</v>
      </c>
      <c r="K79" s="19">
        <v>3.3300000000000003E-2</v>
      </c>
      <c r="L79" s="19" t="s">
        <v>35</v>
      </c>
      <c r="M79" s="19" t="s">
        <v>165</v>
      </c>
      <c r="N79" s="19">
        <v>0</v>
      </c>
      <c r="O79" s="19">
        <v>0</v>
      </c>
      <c r="P79" s="19">
        <v>0</v>
      </c>
      <c r="Q79" s="19">
        <v>0</v>
      </c>
      <c r="S79" s="19">
        <v>1</v>
      </c>
      <c r="T79" s="19">
        <v>1</v>
      </c>
      <c r="U79" s="19">
        <v>0</v>
      </c>
      <c r="W79" s="19">
        <v>0</v>
      </c>
      <c r="X79" s="19">
        <v>0</v>
      </c>
      <c r="Z79" s="19">
        <v>0</v>
      </c>
      <c r="AA79" s="19">
        <v>0</v>
      </c>
    </row>
    <row r="80" spans="1:27" x14ac:dyDescent="0.25">
      <c r="A80" s="19" t="s">
        <v>213</v>
      </c>
      <c r="B80" s="19" t="s">
        <v>214</v>
      </c>
      <c r="C80" s="19" t="s">
        <v>215</v>
      </c>
      <c r="D80" s="19">
        <v>0</v>
      </c>
      <c r="E80" s="19" t="s">
        <v>30</v>
      </c>
      <c r="F80" s="19" t="s">
        <v>31</v>
      </c>
      <c r="G80" s="19" t="s">
        <v>32</v>
      </c>
      <c r="H80" s="19" t="s">
        <v>33</v>
      </c>
      <c r="I80" s="19" t="s">
        <v>34</v>
      </c>
      <c r="J80" s="19">
        <v>17</v>
      </c>
      <c r="K80" s="19">
        <v>1.6299999999999999E-2</v>
      </c>
      <c r="L80" s="19" t="s">
        <v>35</v>
      </c>
      <c r="N80" s="19">
        <v>0</v>
      </c>
      <c r="O80" s="19">
        <v>0</v>
      </c>
      <c r="P80" s="19">
        <v>0</v>
      </c>
      <c r="Q80" s="19">
        <v>0</v>
      </c>
      <c r="S80" s="19">
        <v>1</v>
      </c>
      <c r="T80" s="19">
        <v>1</v>
      </c>
      <c r="U80" s="19">
        <v>0</v>
      </c>
      <c r="V80" s="19" t="s">
        <v>36</v>
      </c>
      <c r="W80" s="19">
        <v>0</v>
      </c>
      <c r="Z80" s="19">
        <v>0</v>
      </c>
      <c r="AA80" s="19">
        <v>0</v>
      </c>
    </row>
    <row r="81" spans="1:27" x14ac:dyDescent="0.25">
      <c r="A81" s="19" t="s">
        <v>216</v>
      </c>
      <c r="B81" s="19" t="s">
        <v>214</v>
      </c>
      <c r="C81" s="19" t="s">
        <v>215</v>
      </c>
      <c r="D81" s="19">
        <v>0.54327899999999996</v>
      </c>
      <c r="E81" s="19" t="s">
        <v>38</v>
      </c>
      <c r="F81" s="19" t="s">
        <v>39</v>
      </c>
      <c r="G81" s="19" t="s">
        <v>32</v>
      </c>
      <c r="H81" s="19" t="s">
        <v>33</v>
      </c>
      <c r="I81" s="19" t="s">
        <v>34</v>
      </c>
      <c r="J81" s="19">
        <v>19</v>
      </c>
      <c r="K81" s="19">
        <v>1.6299999999999999E-2</v>
      </c>
      <c r="L81" s="19" t="s">
        <v>35</v>
      </c>
      <c r="M81" s="19" t="s">
        <v>40</v>
      </c>
      <c r="N81" s="19">
        <v>33.33</v>
      </c>
      <c r="O81" s="19">
        <v>33.33</v>
      </c>
      <c r="P81" s="19">
        <v>0</v>
      </c>
      <c r="Q81" s="19">
        <v>0</v>
      </c>
      <c r="S81" s="19">
        <v>1</v>
      </c>
      <c r="T81" s="19">
        <v>1</v>
      </c>
      <c r="U81" s="19">
        <v>0</v>
      </c>
      <c r="V81" s="19" t="s">
        <v>41</v>
      </c>
      <c r="W81" s="19">
        <v>1</v>
      </c>
      <c r="Y81" s="19" t="s">
        <v>40</v>
      </c>
      <c r="Z81" s="19">
        <v>33.33</v>
      </c>
      <c r="AA81" s="19">
        <v>33.33</v>
      </c>
    </row>
    <row r="82" spans="1:27" x14ac:dyDescent="0.25">
      <c r="A82" s="19" t="s">
        <v>217</v>
      </c>
      <c r="B82" s="19" t="s">
        <v>214</v>
      </c>
      <c r="C82" s="19" t="s">
        <v>215</v>
      </c>
      <c r="D82" s="19">
        <v>0.54327899999999996</v>
      </c>
      <c r="E82" s="19" t="s">
        <v>43</v>
      </c>
      <c r="F82" s="19" t="s">
        <v>44</v>
      </c>
      <c r="G82" s="19" t="s">
        <v>32</v>
      </c>
      <c r="H82" s="19" t="s">
        <v>33</v>
      </c>
      <c r="I82" s="19" t="s">
        <v>34</v>
      </c>
      <c r="J82" s="19">
        <v>18</v>
      </c>
      <c r="K82" s="19">
        <v>1.6299999999999999E-2</v>
      </c>
      <c r="L82" s="19" t="s">
        <v>35</v>
      </c>
      <c r="M82" s="19" t="s">
        <v>40</v>
      </c>
      <c r="N82" s="19">
        <v>33.33</v>
      </c>
      <c r="O82" s="19">
        <v>33.33</v>
      </c>
      <c r="P82" s="19">
        <v>0</v>
      </c>
      <c r="Q82" s="19">
        <v>0</v>
      </c>
      <c r="S82" s="19">
        <v>1</v>
      </c>
      <c r="T82" s="19">
        <v>1</v>
      </c>
      <c r="U82" s="19">
        <v>0</v>
      </c>
      <c r="V82" s="19" t="s">
        <v>41</v>
      </c>
      <c r="W82" s="19">
        <v>1</v>
      </c>
      <c r="Y82" s="19" t="s">
        <v>40</v>
      </c>
      <c r="Z82" s="19">
        <v>33.33</v>
      </c>
      <c r="AA82" s="19">
        <v>33.33</v>
      </c>
    </row>
    <row r="83" spans="1:27" x14ac:dyDescent="0.25">
      <c r="A83" s="19" t="s">
        <v>218</v>
      </c>
      <c r="B83" s="19" t="s">
        <v>214</v>
      </c>
      <c r="C83" s="19" t="s">
        <v>215</v>
      </c>
      <c r="D83" s="19">
        <v>0.81499999999999995</v>
      </c>
      <c r="E83" s="19" t="s">
        <v>46</v>
      </c>
      <c r="F83" s="19" t="s">
        <v>47</v>
      </c>
      <c r="G83" s="19" t="s">
        <v>32</v>
      </c>
      <c r="H83" s="19" t="s">
        <v>33</v>
      </c>
      <c r="I83" s="19" t="s">
        <v>34</v>
      </c>
      <c r="J83" s="19">
        <v>15</v>
      </c>
      <c r="K83" s="19">
        <v>1.6299999999999999E-2</v>
      </c>
      <c r="L83" s="19" t="s">
        <v>35</v>
      </c>
      <c r="M83" s="19" t="s">
        <v>142</v>
      </c>
      <c r="N83" s="19">
        <v>50</v>
      </c>
      <c r="O83" s="19">
        <v>50</v>
      </c>
      <c r="P83" s="19">
        <v>0</v>
      </c>
      <c r="Q83" s="19">
        <v>0</v>
      </c>
      <c r="S83" s="19">
        <v>1</v>
      </c>
      <c r="T83" s="19">
        <v>1</v>
      </c>
      <c r="U83" s="19">
        <v>0</v>
      </c>
      <c r="V83" s="19" t="s">
        <v>41</v>
      </c>
      <c r="W83" s="19">
        <v>1</v>
      </c>
      <c r="Y83" s="19" t="s">
        <v>142</v>
      </c>
      <c r="Z83" s="19">
        <v>50</v>
      </c>
      <c r="AA83" s="19">
        <v>50</v>
      </c>
    </row>
    <row r="84" spans="1:27" x14ac:dyDescent="0.25">
      <c r="A84" s="19" t="s">
        <v>219</v>
      </c>
      <c r="B84" s="19" t="s">
        <v>214</v>
      </c>
      <c r="C84" s="19" t="s">
        <v>215</v>
      </c>
      <c r="D84" s="19">
        <v>0.81499999999999995</v>
      </c>
      <c r="E84" s="19" t="s">
        <v>49</v>
      </c>
      <c r="F84" s="19" t="s">
        <v>50</v>
      </c>
      <c r="G84" s="19" t="s">
        <v>32</v>
      </c>
      <c r="H84" s="19" t="s">
        <v>33</v>
      </c>
      <c r="I84" s="19" t="s">
        <v>34</v>
      </c>
      <c r="J84" s="19">
        <v>12</v>
      </c>
      <c r="K84" s="19">
        <v>1.6299999999999999E-2</v>
      </c>
      <c r="L84" s="19" t="s">
        <v>35</v>
      </c>
      <c r="M84" s="19" t="s">
        <v>142</v>
      </c>
      <c r="N84" s="19">
        <v>50</v>
      </c>
      <c r="O84" s="19">
        <v>50</v>
      </c>
      <c r="P84" s="19">
        <v>0</v>
      </c>
      <c r="Q84" s="19">
        <v>0</v>
      </c>
      <c r="S84" s="19">
        <v>1</v>
      </c>
      <c r="T84" s="19">
        <v>1</v>
      </c>
      <c r="U84" s="19">
        <v>0</v>
      </c>
      <c r="V84" s="19" t="s">
        <v>41</v>
      </c>
      <c r="W84" s="19">
        <v>1</v>
      </c>
      <c r="Y84" s="19" t="s">
        <v>142</v>
      </c>
      <c r="Z84" s="19">
        <v>50</v>
      </c>
      <c r="AA84" s="19">
        <v>50</v>
      </c>
    </row>
    <row r="85" spans="1:27" x14ac:dyDescent="0.25">
      <c r="A85" s="19" t="s">
        <v>220</v>
      </c>
      <c r="B85" s="19" t="s">
        <v>214</v>
      </c>
      <c r="C85" s="19" t="s">
        <v>215</v>
      </c>
      <c r="D85" s="19">
        <v>0</v>
      </c>
      <c r="E85" s="19" t="s">
        <v>52</v>
      </c>
      <c r="F85" s="19" t="s">
        <v>53</v>
      </c>
      <c r="G85" s="19" t="s">
        <v>32</v>
      </c>
      <c r="H85" s="19" t="s">
        <v>33</v>
      </c>
      <c r="I85" s="19" t="s">
        <v>34</v>
      </c>
      <c r="J85" s="19">
        <v>16</v>
      </c>
      <c r="K85" s="19">
        <v>1.6299999999999999E-2</v>
      </c>
      <c r="L85" s="19" t="s">
        <v>35</v>
      </c>
      <c r="M85" s="19" t="s">
        <v>40</v>
      </c>
      <c r="N85" s="19">
        <v>0</v>
      </c>
      <c r="O85" s="19">
        <v>0</v>
      </c>
      <c r="P85" s="19">
        <v>0</v>
      </c>
      <c r="Q85" s="19">
        <v>0</v>
      </c>
      <c r="S85" s="19">
        <v>1</v>
      </c>
      <c r="T85" s="19">
        <v>1</v>
      </c>
      <c r="U85" s="19">
        <v>0</v>
      </c>
      <c r="V85" s="19" t="s">
        <v>80</v>
      </c>
      <c r="W85" s="19">
        <v>0</v>
      </c>
      <c r="Y85" s="19" t="s">
        <v>40</v>
      </c>
      <c r="Z85" s="19">
        <v>33.33</v>
      </c>
      <c r="AA85" s="19">
        <v>0</v>
      </c>
    </row>
    <row r="86" spans="1:27" x14ac:dyDescent="0.25">
      <c r="A86" s="19" t="s">
        <v>221</v>
      </c>
      <c r="B86" s="19" t="s">
        <v>214</v>
      </c>
      <c r="C86" s="19" t="s">
        <v>215</v>
      </c>
      <c r="D86" s="19">
        <v>0.81499999999999995</v>
      </c>
      <c r="E86" s="19" t="s">
        <v>55</v>
      </c>
      <c r="F86" s="19" t="s">
        <v>56</v>
      </c>
      <c r="G86" s="19" t="s">
        <v>32</v>
      </c>
      <c r="H86" s="19" t="s">
        <v>33</v>
      </c>
      <c r="I86" s="19" t="s">
        <v>34</v>
      </c>
      <c r="J86" s="19">
        <v>14</v>
      </c>
      <c r="K86" s="19">
        <v>1.6299999999999999E-2</v>
      </c>
      <c r="L86" s="19" t="s">
        <v>35</v>
      </c>
      <c r="M86" s="19" t="s">
        <v>142</v>
      </c>
      <c r="N86" s="19">
        <v>50</v>
      </c>
      <c r="O86" s="19">
        <v>50</v>
      </c>
      <c r="P86" s="19">
        <v>0</v>
      </c>
      <c r="Q86" s="19">
        <v>0</v>
      </c>
      <c r="S86" s="19">
        <v>1</v>
      </c>
      <c r="T86" s="19">
        <v>1</v>
      </c>
      <c r="U86" s="19">
        <v>0</v>
      </c>
      <c r="V86" s="19" t="s">
        <v>41</v>
      </c>
      <c r="W86" s="19">
        <v>1</v>
      </c>
      <c r="Y86" s="19" t="s">
        <v>142</v>
      </c>
      <c r="Z86" s="19">
        <v>50</v>
      </c>
      <c r="AA86" s="19">
        <v>50</v>
      </c>
    </row>
    <row r="87" spans="1:27" x14ac:dyDescent="0.25">
      <c r="A87" s="19" t="s">
        <v>222</v>
      </c>
      <c r="B87" s="19" t="s">
        <v>214</v>
      </c>
      <c r="C87" s="19" t="s">
        <v>215</v>
      </c>
      <c r="D87" s="19">
        <v>0.54327899999999996</v>
      </c>
      <c r="E87" s="19" t="s">
        <v>58</v>
      </c>
      <c r="F87" s="19" t="s">
        <v>59</v>
      </c>
      <c r="G87" s="19" t="s">
        <v>32</v>
      </c>
      <c r="H87" s="19" t="s">
        <v>33</v>
      </c>
      <c r="I87" s="19" t="s">
        <v>34</v>
      </c>
      <c r="J87" s="19">
        <v>13</v>
      </c>
      <c r="K87" s="19">
        <v>1.6299999999999999E-2</v>
      </c>
      <c r="L87" s="19" t="s">
        <v>35</v>
      </c>
      <c r="M87" s="19" t="s">
        <v>40</v>
      </c>
      <c r="N87" s="19">
        <v>33.33</v>
      </c>
      <c r="O87" s="19">
        <v>33.33</v>
      </c>
      <c r="P87" s="19">
        <v>0</v>
      </c>
      <c r="Q87" s="19">
        <v>0</v>
      </c>
      <c r="S87" s="19">
        <v>1</v>
      </c>
      <c r="T87" s="19">
        <v>1</v>
      </c>
      <c r="U87" s="19">
        <v>0</v>
      </c>
      <c r="V87" s="19" t="s">
        <v>41</v>
      </c>
      <c r="W87" s="19">
        <v>1</v>
      </c>
      <c r="Y87" s="19" t="s">
        <v>40</v>
      </c>
      <c r="Z87" s="19">
        <v>33.33</v>
      </c>
      <c r="AA87" s="19">
        <v>33.33</v>
      </c>
    </row>
    <row r="88" spans="1:27" x14ac:dyDescent="0.25">
      <c r="A88" s="19" t="s">
        <v>223</v>
      </c>
      <c r="B88" s="19" t="s">
        <v>214</v>
      </c>
      <c r="C88" s="19" t="s">
        <v>215</v>
      </c>
      <c r="D88" s="19">
        <v>0.61993799999999899</v>
      </c>
      <c r="E88" s="19" t="s">
        <v>61</v>
      </c>
      <c r="F88" s="19" t="s">
        <v>62</v>
      </c>
      <c r="G88" s="19" t="s">
        <v>32</v>
      </c>
      <c r="H88" s="19" t="s">
        <v>63</v>
      </c>
      <c r="I88" s="19" t="s">
        <v>64</v>
      </c>
      <c r="J88" s="19">
        <v>22</v>
      </c>
      <c r="K88" s="19">
        <v>1.8599999999999998E-2</v>
      </c>
      <c r="L88" s="19" t="s">
        <v>35</v>
      </c>
      <c r="M88" s="19" t="s">
        <v>40</v>
      </c>
      <c r="N88" s="19">
        <v>33.33</v>
      </c>
      <c r="O88" s="19">
        <v>33.33</v>
      </c>
      <c r="P88" s="19">
        <v>0</v>
      </c>
      <c r="Q88" s="19">
        <v>0</v>
      </c>
      <c r="S88" s="19">
        <v>1</v>
      </c>
      <c r="T88" s="19">
        <v>1</v>
      </c>
      <c r="U88" s="19">
        <v>0</v>
      </c>
      <c r="V88" s="19" t="s">
        <v>41</v>
      </c>
      <c r="W88" s="19">
        <v>1</v>
      </c>
      <c r="Y88" s="19" t="s">
        <v>40</v>
      </c>
      <c r="Z88" s="19">
        <v>33.33</v>
      </c>
      <c r="AA88" s="19">
        <v>33.33</v>
      </c>
    </row>
    <row r="89" spans="1:27" x14ac:dyDescent="0.25">
      <c r="A89" s="19" t="s">
        <v>224</v>
      </c>
      <c r="B89" s="19" t="s">
        <v>214</v>
      </c>
      <c r="C89" s="19" t="s">
        <v>215</v>
      </c>
      <c r="D89" s="19">
        <v>0.92999999999999905</v>
      </c>
      <c r="E89" s="19" t="s">
        <v>66</v>
      </c>
      <c r="F89" s="19" t="s">
        <v>67</v>
      </c>
      <c r="G89" s="19" t="s">
        <v>32</v>
      </c>
      <c r="H89" s="19" t="s">
        <v>63</v>
      </c>
      <c r="I89" s="19" t="s">
        <v>64</v>
      </c>
      <c r="J89" s="19">
        <v>20</v>
      </c>
      <c r="K89" s="19">
        <v>1.8599999999999998E-2</v>
      </c>
      <c r="L89" s="19" t="s">
        <v>35</v>
      </c>
      <c r="M89" s="19" t="s">
        <v>142</v>
      </c>
      <c r="N89" s="19">
        <v>50</v>
      </c>
      <c r="O89" s="19">
        <v>50</v>
      </c>
      <c r="P89" s="19">
        <v>0</v>
      </c>
      <c r="Q89" s="19">
        <v>0</v>
      </c>
      <c r="S89" s="19">
        <v>1</v>
      </c>
      <c r="T89" s="19">
        <v>1</v>
      </c>
      <c r="U89" s="19">
        <v>0</v>
      </c>
      <c r="V89" s="19" t="s">
        <v>41</v>
      </c>
      <c r="W89" s="19">
        <v>1</v>
      </c>
      <c r="Y89" s="19" t="s">
        <v>142</v>
      </c>
      <c r="Z89" s="19">
        <v>50</v>
      </c>
      <c r="AA89" s="19">
        <v>50</v>
      </c>
    </row>
    <row r="90" spans="1:27" x14ac:dyDescent="0.25">
      <c r="A90" s="19" t="s">
        <v>225</v>
      </c>
      <c r="B90" s="19" t="s">
        <v>214</v>
      </c>
      <c r="C90" s="19" t="s">
        <v>215</v>
      </c>
      <c r="D90" s="19">
        <v>0</v>
      </c>
      <c r="E90" s="19" t="s">
        <v>69</v>
      </c>
      <c r="F90" s="19" t="s">
        <v>70</v>
      </c>
      <c r="G90" s="19" t="s">
        <v>32</v>
      </c>
      <c r="H90" s="19" t="s">
        <v>63</v>
      </c>
      <c r="I90" s="19" t="s">
        <v>64</v>
      </c>
      <c r="J90" s="19">
        <v>23</v>
      </c>
      <c r="K90" s="19">
        <v>1.8599999999999998E-2</v>
      </c>
      <c r="L90" s="19" t="s">
        <v>35</v>
      </c>
      <c r="M90" s="19" t="s">
        <v>40</v>
      </c>
      <c r="N90" s="19">
        <v>0</v>
      </c>
      <c r="O90" s="19">
        <v>0</v>
      </c>
      <c r="P90" s="19">
        <v>0</v>
      </c>
      <c r="Q90" s="19">
        <v>0</v>
      </c>
      <c r="S90" s="19">
        <v>1</v>
      </c>
      <c r="T90" s="19">
        <v>1</v>
      </c>
      <c r="U90" s="19">
        <v>0</v>
      </c>
      <c r="V90" s="19" t="s">
        <v>80</v>
      </c>
      <c r="W90" s="19">
        <v>0</v>
      </c>
      <c r="Y90" s="19" t="s">
        <v>40</v>
      </c>
      <c r="Z90" s="19">
        <v>33.33</v>
      </c>
      <c r="AA90" s="19">
        <v>0</v>
      </c>
    </row>
    <row r="91" spans="1:27" x14ac:dyDescent="0.25">
      <c r="A91" s="19" t="s">
        <v>226</v>
      </c>
      <c r="B91" s="19" t="s">
        <v>214</v>
      </c>
      <c r="C91" s="19" t="s">
        <v>215</v>
      </c>
      <c r="D91" s="19">
        <v>0.309968999999999</v>
      </c>
      <c r="E91" s="19" t="s">
        <v>72</v>
      </c>
      <c r="F91" s="19" t="s">
        <v>73</v>
      </c>
      <c r="G91" s="19" t="s">
        <v>32</v>
      </c>
      <c r="H91" s="19" t="s">
        <v>63</v>
      </c>
      <c r="I91" s="19" t="s">
        <v>64</v>
      </c>
      <c r="J91" s="19">
        <v>21</v>
      </c>
      <c r="K91" s="19">
        <v>1.8599999999999998E-2</v>
      </c>
      <c r="L91" s="19" t="s">
        <v>35</v>
      </c>
      <c r="M91" s="19" t="s">
        <v>110</v>
      </c>
      <c r="N91" s="19">
        <v>16.664999999999999</v>
      </c>
      <c r="O91" s="19">
        <v>16.664999999999999</v>
      </c>
      <c r="P91" s="19">
        <v>0</v>
      </c>
      <c r="Q91" s="19">
        <v>0</v>
      </c>
      <c r="S91" s="19">
        <v>1</v>
      </c>
      <c r="T91" s="19">
        <v>1</v>
      </c>
      <c r="U91" s="19">
        <v>0</v>
      </c>
      <c r="V91" s="19" t="s">
        <v>41</v>
      </c>
      <c r="W91" s="19">
        <v>1</v>
      </c>
      <c r="Y91" s="19" t="s">
        <v>110</v>
      </c>
      <c r="Z91" s="19">
        <v>16.664999999999999</v>
      </c>
      <c r="AA91" s="19">
        <v>16.664999999999999</v>
      </c>
    </row>
    <row r="92" spans="1:27" x14ac:dyDescent="0.25">
      <c r="A92" s="19" t="s">
        <v>227</v>
      </c>
      <c r="B92" s="19" t="s">
        <v>214</v>
      </c>
      <c r="C92" s="19" t="s">
        <v>215</v>
      </c>
      <c r="D92" s="19">
        <v>0.92999999999999905</v>
      </c>
      <c r="E92" s="19" t="s">
        <v>75</v>
      </c>
      <c r="F92" s="19" t="s">
        <v>76</v>
      </c>
      <c r="G92" s="19" t="s">
        <v>32</v>
      </c>
      <c r="H92" s="19" t="s">
        <v>63</v>
      </c>
      <c r="I92" s="19" t="s">
        <v>64</v>
      </c>
      <c r="J92" s="19">
        <v>24</v>
      </c>
      <c r="K92" s="19">
        <v>1.8599999999999998E-2</v>
      </c>
      <c r="L92" s="19" t="s">
        <v>35</v>
      </c>
      <c r="M92" s="19" t="s">
        <v>142</v>
      </c>
      <c r="N92" s="19">
        <v>50</v>
      </c>
      <c r="O92" s="19">
        <v>50</v>
      </c>
      <c r="P92" s="19">
        <v>0</v>
      </c>
      <c r="Q92" s="19">
        <v>0</v>
      </c>
      <c r="S92" s="19">
        <v>1</v>
      </c>
      <c r="T92" s="19">
        <v>1</v>
      </c>
      <c r="U92" s="19">
        <v>0</v>
      </c>
      <c r="V92" s="19" t="s">
        <v>41</v>
      </c>
      <c r="W92" s="19">
        <v>1</v>
      </c>
      <c r="Y92" s="19" t="s">
        <v>142</v>
      </c>
      <c r="Z92" s="19">
        <v>50</v>
      </c>
      <c r="AA92" s="19">
        <v>50</v>
      </c>
    </row>
    <row r="93" spans="1:27" x14ac:dyDescent="0.25">
      <c r="A93" s="19" t="s">
        <v>228</v>
      </c>
      <c r="B93" s="19" t="s">
        <v>214</v>
      </c>
      <c r="C93" s="19" t="s">
        <v>215</v>
      </c>
      <c r="D93" s="19">
        <v>0.61993799999999899</v>
      </c>
      <c r="E93" s="19" t="s">
        <v>78</v>
      </c>
      <c r="F93" s="19" t="s">
        <v>79</v>
      </c>
      <c r="G93" s="19" t="s">
        <v>32</v>
      </c>
      <c r="H93" s="19" t="s">
        <v>63</v>
      </c>
      <c r="I93" s="19" t="s">
        <v>64</v>
      </c>
      <c r="J93" s="19">
        <v>25</v>
      </c>
      <c r="K93" s="19">
        <v>1.8599999999999998E-2</v>
      </c>
      <c r="L93" s="19" t="s">
        <v>35</v>
      </c>
      <c r="M93" s="19" t="s">
        <v>40</v>
      </c>
      <c r="N93" s="19">
        <v>33.33</v>
      </c>
      <c r="O93" s="19">
        <v>33.33</v>
      </c>
      <c r="P93" s="19">
        <v>0</v>
      </c>
      <c r="Q93" s="19">
        <v>0</v>
      </c>
      <c r="S93" s="19">
        <v>1</v>
      </c>
      <c r="T93" s="19">
        <v>1</v>
      </c>
      <c r="U93" s="19">
        <v>0</v>
      </c>
      <c r="V93" s="19" t="s">
        <v>41</v>
      </c>
      <c r="W93" s="19">
        <v>1</v>
      </c>
      <c r="Y93" s="19" t="s">
        <v>40</v>
      </c>
      <c r="Z93" s="19">
        <v>33.33</v>
      </c>
      <c r="AA93" s="19">
        <v>33.33</v>
      </c>
    </row>
    <row r="94" spans="1:27" x14ac:dyDescent="0.25">
      <c r="A94" s="19" t="s">
        <v>229</v>
      </c>
      <c r="B94" s="19" t="s">
        <v>214</v>
      </c>
      <c r="C94" s="19" t="s">
        <v>215</v>
      </c>
      <c r="D94" s="19">
        <v>0</v>
      </c>
      <c r="E94" s="19" t="s">
        <v>82</v>
      </c>
      <c r="F94" s="19" t="s">
        <v>83</v>
      </c>
      <c r="G94" s="19" t="s">
        <v>32</v>
      </c>
      <c r="H94" s="19" t="s">
        <v>63</v>
      </c>
      <c r="I94" s="19" t="s">
        <v>64</v>
      </c>
      <c r="J94" s="19">
        <v>26</v>
      </c>
      <c r="K94" s="19">
        <v>1.8599999999999998E-2</v>
      </c>
      <c r="L94" s="19" t="s">
        <v>35</v>
      </c>
      <c r="N94" s="19">
        <v>0</v>
      </c>
      <c r="O94" s="19">
        <v>0</v>
      </c>
      <c r="P94" s="19">
        <v>0</v>
      </c>
      <c r="Q94" s="19">
        <v>0</v>
      </c>
      <c r="S94" s="19">
        <v>1</v>
      </c>
      <c r="T94" s="19">
        <v>1</v>
      </c>
      <c r="U94" s="19">
        <v>0</v>
      </c>
      <c r="V94" s="19" t="s">
        <v>36</v>
      </c>
      <c r="W94" s="19">
        <v>0</v>
      </c>
      <c r="Z94" s="19">
        <v>0</v>
      </c>
      <c r="AA94" s="19">
        <v>0</v>
      </c>
    </row>
    <row r="95" spans="1:27" x14ac:dyDescent="0.25">
      <c r="A95" s="19" t="s">
        <v>230</v>
      </c>
      <c r="B95" s="19" t="s">
        <v>214</v>
      </c>
      <c r="C95" s="19" t="s">
        <v>215</v>
      </c>
      <c r="D95" s="19">
        <v>0</v>
      </c>
      <c r="E95" s="19" t="s">
        <v>85</v>
      </c>
      <c r="F95" s="19" t="s">
        <v>86</v>
      </c>
      <c r="G95" s="19" t="s">
        <v>32</v>
      </c>
      <c r="H95" s="19" t="s">
        <v>87</v>
      </c>
      <c r="I95" s="19" t="s">
        <v>88</v>
      </c>
      <c r="J95" s="19">
        <v>35</v>
      </c>
      <c r="K95" s="19">
        <v>3.2500000000000001E-2</v>
      </c>
      <c r="L95" s="19" t="s">
        <v>35</v>
      </c>
      <c r="M95" s="19" t="s">
        <v>110</v>
      </c>
      <c r="N95" s="19">
        <v>0</v>
      </c>
      <c r="O95" s="19">
        <v>0</v>
      </c>
      <c r="P95" s="19">
        <v>0</v>
      </c>
      <c r="Q95" s="19">
        <v>0</v>
      </c>
      <c r="S95" s="19">
        <v>1</v>
      </c>
      <c r="T95" s="19">
        <v>1</v>
      </c>
      <c r="U95" s="19">
        <v>0</v>
      </c>
      <c r="V95" s="19" t="s">
        <v>80</v>
      </c>
      <c r="W95" s="19">
        <v>0</v>
      </c>
      <c r="Y95" s="19" t="s">
        <v>110</v>
      </c>
      <c r="Z95" s="19">
        <v>16.664999999999999</v>
      </c>
      <c r="AA95" s="19">
        <v>0</v>
      </c>
    </row>
    <row r="96" spans="1:27" x14ac:dyDescent="0.25">
      <c r="A96" s="19" t="s">
        <v>231</v>
      </c>
      <c r="B96" s="19" t="s">
        <v>214</v>
      </c>
      <c r="C96" s="19" t="s">
        <v>215</v>
      </c>
      <c r="D96" s="19">
        <v>0</v>
      </c>
      <c r="E96" s="19" t="s">
        <v>90</v>
      </c>
      <c r="F96" s="19" t="s">
        <v>91</v>
      </c>
      <c r="G96" s="19" t="s">
        <v>32</v>
      </c>
      <c r="H96" s="19" t="s">
        <v>87</v>
      </c>
      <c r="I96" s="19" t="s">
        <v>88</v>
      </c>
      <c r="J96" s="19">
        <v>33</v>
      </c>
      <c r="K96" s="19">
        <v>3.2500000000000001E-2</v>
      </c>
      <c r="L96" s="19" t="s">
        <v>35</v>
      </c>
      <c r="M96" s="19" t="s">
        <v>142</v>
      </c>
      <c r="N96" s="19">
        <v>0</v>
      </c>
      <c r="O96" s="19">
        <v>0</v>
      </c>
      <c r="P96" s="19">
        <v>0</v>
      </c>
      <c r="Q96" s="19">
        <v>0</v>
      </c>
      <c r="S96" s="19">
        <v>1</v>
      </c>
      <c r="T96" s="19">
        <v>1</v>
      </c>
      <c r="U96" s="19">
        <v>0</v>
      </c>
      <c r="V96" s="19" t="s">
        <v>80</v>
      </c>
      <c r="W96" s="19">
        <v>0</v>
      </c>
      <c r="Y96" s="19" t="s">
        <v>142</v>
      </c>
      <c r="Z96" s="19">
        <v>50</v>
      </c>
      <c r="AA96" s="19">
        <v>0</v>
      </c>
    </row>
    <row r="97" spans="1:27" x14ac:dyDescent="0.25">
      <c r="A97" s="19" t="s">
        <v>232</v>
      </c>
      <c r="B97" s="19" t="s">
        <v>214</v>
      </c>
      <c r="C97" s="19" t="s">
        <v>215</v>
      </c>
      <c r="D97" s="19">
        <v>1.625</v>
      </c>
      <c r="E97" s="19" t="s">
        <v>93</v>
      </c>
      <c r="F97" s="19" t="s">
        <v>94</v>
      </c>
      <c r="G97" s="19" t="s">
        <v>32</v>
      </c>
      <c r="H97" s="19" t="s">
        <v>87</v>
      </c>
      <c r="I97" s="19" t="s">
        <v>88</v>
      </c>
      <c r="J97" s="19">
        <v>34</v>
      </c>
      <c r="K97" s="19">
        <v>3.2500000000000001E-2</v>
      </c>
      <c r="L97" s="19" t="s">
        <v>35</v>
      </c>
      <c r="M97" s="19" t="s">
        <v>142</v>
      </c>
      <c r="N97" s="19">
        <v>50</v>
      </c>
      <c r="O97" s="19">
        <v>50</v>
      </c>
      <c r="P97" s="19">
        <v>0</v>
      </c>
      <c r="Q97" s="19">
        <v>0</v>
      </c>
      <c r="S97" s="19">
        <v>1</v>
      </c>
      <c r="T97" s="19">
        <v>1</v>
      </c>
      <c r="U97" s="19">
        <v>0</v>
      </c>
      <c r="V97" s="19" t="s">
        <v>41</v>
      </c>
      <c r="W97" s="19">
        <v>1</v>
      </c>
      <c r="Y97" s="19" t="s">
        <v>142</v>
      </c>
      <c r="Z97" s="19">
        <v>50</v>
      </c>
      <c r="AA97" s="19">
        <v>50</v>
      </c>
    </row>
    <row r="98" spans="1:27" x14ac:dyDescent="0.25">
      <c r="A98" s="19" t="s">
        <v>233</v>
      </c>
      <c r="B98" s="19" t="s">
        <v>214</v>
      </c>
      <c r="C98" s="19" t="s">
        <v>215</v>
      </c>
      <c r="D98" s="19">
        <v>0</v>
      </c>
      <c r="E98" s="19" t="s">
        <v>96</v>
      </c>
      <c r="F98" s="19" t="s">
        <v>97</v>
      </c>
      <c r="G98" s="19" t="s">
        <v>32</v>
      </c>
      <c r="H98" s="19" t="s">
        <v>87</v>
      </c>
      <c r="I98" s="19" t="s">
        <v>88</v>
      </c>
      <c r="J98" s="19">
        <v>36</v>
      </c>
      <c r="K98" s="19">
        <v>3.2500000000000001E-2</v>
      </c>
      <c r="L98" s="19" t="s">
        <v>35</v>
      </c>
      <c r="N98" s="19">
        <v>0</v>
      </c>
      <c r="O98" s="19">
        <v>0</v>
      </c>
      <c r="P98" s="19">
        <v>0</v>
      </c>
      <c r="Q98" s="19">
        <v>0</v>
      </c>
      <c r="S98" s="19">
        <v>1</v>
      </c>
      <c r="T98" s="19">
        <v>1</v>
      </c>
      <c r="U98" s="19">
        <v>0</v>
      </c>
      <c r="V98" s="19" t="s">
        <v>36</v>
      </c>
      <c r="W98" s="19">
        <v>0</v>
      </c>
      <c r="Z98" s="19">
        <v>0</v>
      </c>
      <c r="AA98" s="19">
        <v>0</v>
      </c>
    </row>
    <row r="99" spans="1:27" x14ac:dyDescent="0.25">
      <c r="A99" s="19" t="s">
        <v>234</v>
      </c>
      <c r="B99" s="19" t="s">
        <v>214</v>
      </c>
      <c r="C99" s="19" t="s">
        <v>215</v>
      </c>
      <c r="D99" s="19">
        <v>0</v>
      </c>
      <c r="E99" s="19" t="s">
        <v>99</v>
      </c>
      <c r="F99" s="19" t="s">
        <v>100</v>
      </c>
      <c r="G99" s="19" t="s">
        <v>32</v>
      </c>
      <c r="H99" s="19" t="s">
        <v>101</v>
      </c>
      <c r="I99" s="19" t="s">
        <v>102</v>
      </c>
      <c r="J99" s="19">
        <v>39</v>
      </c>
      <c r="K99" s="19">
        <v>4.3299999999999998E-2</v>
      </c>
      <c r="L99" s="19" t="s">
        <v>35</v>
      </c>
      <c r="M99" s="19" t="s">
        <v>103</v>
      </c>
      <c r="N99" s="19">
        <v>0</v>
      </c>
      <c r="O99" s="19">
        <v>0</v>
      </c>
      <c r="P99" s="19">
        <v>0</v>
      </c>
      <c r="Q99" s="19">
        <v>0</v>
      </c>
      <c r="S99" s="19">
        <v>1</v>
      </c>
      <c r="T99" s="19">
        <v>1</v>
      </c>
      <c r="U99" s="19">
        <v>0</v>
      </c>
      <c r="V99" s="19" t="s">
        <v>80</v>
      </c>
      <c r="W99" s="19">
        <v>0</v>
      </c>
      <c r="Y99" s="19" t="s">
        <v>103</v>
      </c>
      <c r="Z99" s="19">
        <v>50</v>
      </c>
      <c r="AA99" s="19">
        <v>0</v>
      </c>
    </row>
    <row r="100" spans="1:27" x14ac:dyDescent="0.25">
      <c r="A100" s="19" t="s">
        <v>235</v>
      </c>
      <c r="B100" s="19" t="s">
        <v>214</v>
      </c>
      <c r="C100" s="19" t="s">
        <v>215</v>
      </c>
      <c r="D100" s="19">
        <v>0</v>
      </c>
      <c r="E100" s="19" t="s">
        <v>105</v>
      </c>
      <c r="F100" s="19" t="s">
        <v>106</v>
      </c>
      <c r="G100" s="19" t="s">
        <v>32</v>
      </c>
      <c r="H100" s="19" t="s">
        <v>101</v>
      </c>
      <c r="I100" s="19" t="s">
        <v>102</v>
      </c>
      <c r="J100" s="19">
        <v>38</v>
      </c>
      <c r="K100" s="19">
        <v>4.3299999999999998E-2</v>
      </c>
      <c r="L100" s="19" t="s">
        <v>35</v>
      </c>
      <c r="M100" s="19" t="s">
        <v>103</v>
      </c>
      <c r="N100" s="19">
        <v>0</v>
      </c>
      <c r="O100" s="19">
        <v>0</v>
      </c>
      <c r="P100" s="19">
        <v>0</v>
      </c>
      <c r="Q100" s="19">
        <v>0</v>
      </c>
      <c r="S100" s="19">
        <v>1</v>
      </c>
      <c r="T100" s="19">
        <v>1</v>
      </c>
      <c r="U100" s="19">
        <v>0</v>
      </c>
      <c r="V100" s="19" t="s">
        <v>36</v>
      </c>
      <c r="W100" s="19">
        <v>0</v>
      </c>
      <c r="Y100" s="19" t="s">
        <v>103</v>
      </c>
      <c r="Z100" s="19">
        <v>50</v>
      </c>
      <c r="AA100" s="19">
        <v>0</v>
      </c>
    </row>
    <row r="101" spans="1:27" x14ac:dyDescent="0.25">
      <c r="A101" s="19" t="s">
        <v>236</v>
      </c>
      <c r="B101" s="19" t="s">
        <v>214</v>
      </c>
      <c r="C101" s="19" t="s">
        <v>215</v>
      </c>
      <c r="D101" s="19">
        <v>0</v>
      </c>
      <c r="E101" s="19" t="s">
        <v>108</v>
      </c>
      <c r="F101" s="19" t="s">
        <v>109</v>
      </c>
      <c r="G101" s="19" t="s">
        <v>32</v>
      </c>
      <c r="H101" s="19" t="s">
        <v>101</v>
      </c>
      <c r="I101" s="19" t="s">
        <v>102</v>
      </c>
      <c r="J101" s="19">
        <v>37</v>
      </c>
      <c r="K101" s="19">
        <v>4.3299999999999998E-2</v>
      </c>
      <c r="L101" s="19" t="s">
        <v>35</v>
      </c>
      <c r="M101" s="19" t="s">
        <v>40</v>
      </c>
      <c r="N101" s="19">
        <v>0</v>
      </c>
      <c r="O101" s="19">
        <v>0</v>
      </c>
      <c r="P101" s="19">
        <v>0</v>
      </c>
      <c r="Q101" s="19">
        <v>0</v>
      </c>
      <c r="S101" s="19">
        <v>1</v>
      </c>
      <c r="T101" s="19">
        <v>1</v>
      </c>
      <c r="U101" s="19">
        <v>0</v>
      </c>
      <c r="V101" s="19" t="s">
        <v>80</v>
      </c>
      <c r="W101" s="19">
        <v>0</v>
      </c>
      <c r="Y101" s="19" t="s">
        <v>40</v>
      </c>
      <c r="Z101" s="19">
        <v>33.33</v>
      </c>
      <c r="AA101" s="19">
        <v>0</v>
      </c>
    </row>
    <row r="102" spans="1:27" x14ac:dyDescent="0.25">
      <c r="A102" s="19" t="s">
        <v>237</v>
      </c>
      <c r="B102" s="19" t="s">
        <v>214</v>
      </c>
      <c r="C102" s="19" t="s">
        <v>215</v>
      </c>
      <c r="D102" s="19">
        <v>0</v>
      </c>
      <c r="E102" s="19" t="s">
        <v>112</v>
      </c>
      <c r="F102" s="19" t="s">
        <v>113</v>
      </c>
      <c r="G102" s="19" t="s">
        <v>32</v>
      </c>
      <c r="H102" s="19" t="s">
        <v>114</v>
      </c>
      <c r="I102" s="19" t="s">
        <v>115</v>
      </c>
      <c r="J102" s="19">
        <v>30</v>
      </c>
      <c r="K102" s="19">
        <v>2.1700000000000001E-2</v>
      </c>
      <c r="L102" s="19" t="s">
        <v>35</v>
      </c>
      <c r="M102" s="19" t="s">
        <v>103</v>
      </c>
      <c r="N102" s="19">
        <v>0</v>
      </c>
      <c r="O102" s="19">
        <v>0</v>
      </c>
      <c r="P102" s="19">
        <v>0</v>
      </c>
      <c r="Q102" s="19">
        <v>0</v>
      </c>
      <c r="S102" s="19">
        <v>1</v>
      </c>
      <c r="T102" s="19">
        <v>1</v>
      </c>
      <c r="U102" s="19">
        <v>0</v>
      </c>
      <c r="V102" s="19" t="s">
        <v>36</v>
      </c>
      <c r="W102" s="19">
        <v>0</v>
      </c>
      <c r="Y102" s="19" t="s">
        <v>103</v>
      </c>
      <c r="Z102" s="19">
        <v>50</v>
      </c>
      <c r="AA102" s="19">
        <v>0</v>
      </c>
    </row>
    <row r="103" spans="1:27" x14ac:dyDescent="0.25">
      <c r="A103" s="19" t="s">
        <v>238</v>
      </c>
      <c r="B103" s="19" t="s">
        <v>214</v>
      </c>
      <c r="C103" s="19" t="s">
        <v>215</v>
      </c>
      <c r="D103" s="19">
        <v>1.085</v>
      </c>
      <c r="E103" s="19" t="s">
        <v>117</v>
      </c>
      <c r="F103" s="19" t="s">
        <v>118</v>
      </c>
      <c r="G103" s="19" t="s">
        <v>32</v>
      </c>
      <c r="H103" s="19" t="s">
        <v>114</v>
      </c>
      <c r="I103" s="19" t="s">
        <v>115</v>
      </c>
      <c r="J103" s="19">
        <v>31</v>
      </c>
      <c r="K103" s="19">
        <v>2.1700000000000001E-2</v>
      </c>
      <c r="L103" s="19" t="s">
        <v>35</v>
      </c>
      <c r="M103" s="19" t="s">
        <v>103</v>
      </c>
      <c r="N103" s="19">
        <v>50</v>
      </c>
      <c r="O103" s="19">
        <v>50</v>
      </c>
      <c r="P103" s="19">
        <v>0</v>
      </c>
      <c r="Q103" s="19">
        <v>0</v>
      </c>
      <c r="S103" s="19">
        <v>1</v>
      </c>
      <c r="T103" s="19">
        <v>1</v>
      </c>
      <c r="U103" s="19">
        <v>0</v>
      </c>
      <c r="V103" s="19" t="s">
        <v>41</v>
      </c>
      <c r="W103" s="19">
        <v>1</v>
      </c>
      <c r="Y103" s="19" t="s">
        <v>103</v>
      </c>
      <c r="Z103" s="19">
        <v>50</v>
      </c>
      <c r="AA103" s="19">
        <v>50</v>
      </c>
    </row>
    <row r="104" spans="1:27" x14ac:dyDescent="0.25">
      <c r="A104" s="19" t="s">
        <v>239</v>
      </c>
      <c r="B104" s="19" t="s">
        <v>214</v>
      </c>
      <c r="C104" s="19" t="s">
        <v>215</v>
      </c>
      <c r="D104" s="19">
        <v>1.085</v>
      </c>
      <c r="E104" s="19" t="s">
        <v>120</v>
      </c>
      <c r="F104" s="19" t="s">
        <v>121</v>
      </c>
      <c r="G104" s="19" t="s">
        <v>32</v>
      </c>
      <c r="H104" s="19" t="s">
        <v>114</v>
      </c>
      <c r="I104" s="19" t="s">
        <v>115</v>
      </c>
      <c r="J104" s="19">
        <v>28</v>
      </c>
      <c r="K104" s="19">
        <v>2.1700000000000001E-2</v>
      </c>
      <c r="L104" s="19" t="s">
        <v>35</v>
      </c>
      <c r="M104" s="19" t="s">
        <v>103</v>
      </c>
      <c r="N104" s="19">
        <v>50</v>
      </c>
      <c r="O104" s="19">
        <v>50</v>
      </c>
      <c r="P104" s="19">
        <v>0</v>
      </c>
      <c r="Q104" s="19">
        <v>0</v>
      </c>
      <c r="S104" s="19">
        <v>1</v>
      </c>
      <c r="T104" s="19">
        <v>1</v>
      </c>
      <c r="U104" s="19">
        <v>0</v>
      </c>
      <c r="V104" s="19" t="s">
        <v>41</v>
      </c>
      <c r="W104" s="19">
        <v>1</v>
      </c>
      <c r="Y104" s="19" t="s">
        <v>103</v>
      </c>
      <c r="Z104" s="19">
        <v>50</v>
      </c>
      <c r="AA104" s="19">
        <v>50</v>
      </c>
    </row>
    <row r="105" spans="1:27" x14ac:dyDescent="0.25">
      <c r="A105" s="19" t="s">
        <v>240</v>
      </c>
      <c r="B105" s="19" t="s">
        <v>214</v>
      </c>
      <c r="C105" s="19" t="s">
        <v>215</v>
      </c>
      <c r="D105" s="19">
        <v>0</v>
      </c>
      <c r="E105" s="19" t="s">
        <v>123</v>
      </c>
      <c r="F105" s="19" t="s">
        <v>124</v>
      </c>
      <c r="G105" s="19" t="s">
        <v>32</v>
      </c>
      <c r="H105" s="19" t="s">
        <v>114</v>
      </c>
      <c r="I105" s="19" t="s">
        <v>115</v>
      </c>
      <c r="J105" s="19">
        <v>27</v>
      </c>
      <c r="K105" s="19">
        <v>2.1700000000000001E-2</v>
      </c>
      <c r="L105" s="19" t="s">
        <v>35</v>
      </c>
      <c r="M105" s="19" t="s">
        <v>103</v>
      </c>
      <c r="N105" s="19">
        <v>0</v>
      </c>
      <c r="O105" s="19">
        <v>0</v>
      </c>
      <c r="P105" s="19">
        <v>0</v>
      </c>
      <c r="Q105" s="19">
        <v>0</v>
      </c>
      <c r="S105" s="19">
        <v>1</v>
      </c>
      <c r="T105" s="19">
        <v>1</v>
      </c>
      <c r="U105" s="19">
        <v>0</v>
      </c>
      <c r="V105" s="19" t="s">
        <v>36</v>
      </c>
      <c r="W105" s="19">
        <v>0</v>
      </c>
      <c r="Y105" s="19" t="s">
        <v>103</v>
      </c>
      <c r="Z105" s="19">
        <v>50</v>
      </c>
      <c r="AA105" s="19">
        <v>0</v>
      </c>
    </row>
    <row r="106" spans="1:27" x14ac:dyDescent="0.25">
      <c r="A106" s="19" t="s">
        <v>241</v>
      </c>
      <c r="B106" s="19" t="s">
        <v>214</v>
      </c>
      <c r="C106" s="19" t="s">
        <v>215</v>
      </c>
      <c r="D106" s="19">
        <v>1.085</v>
      </c>
      <c r="E106" s="19" t="s">
        <v>126</v>
      </c>
      <c r="F106" s="19" t="s">
        <v>127</v>
      </c>
      <c r="G106" s="19" t="s">
        <v>32</v>
      </c>
      <c r="H106" s="19" t="s">
        <v>114</v>
      </c>
      <c r="I106" s="19" t="s">
        <v>115</v>
      </c>
      <c r="J106" s="19">
        <v>29</v>
      </c>
      <c r="K106" s="19">
        <v>2.1700000000000001E-2</v>
      </c>
      <c r="L106" s="19" t="s">
        <v>35</v>
      </c>
      <c r="M106" s="19" t="s">
        <v>103</v>
      </c>
      <c r="N106" s="19">
        <v>50</v>
      </c>
      <c r="O106" s="19">
        <v>50</v>
      </c>
      <c r="P106" s="19">
        <v>0</v>
      </c>
      <c r="Q106" s="19">
        <v>0</v>
      </c>
      <c r="S106" s="19">
        <v>1</v>
      </c>
      <c r="T106" s="19">
        <v>1</v>
      </c>
      <c r="U106" s="19">
        <v>0</v>
      </c>
      <c r="V106" s="19" t="s">
        <v>41</v>
      </c>
      <c r="W106" s="19">
        <v>1</v>
      </c>
      <c r="Y106" s="19" t="s">
        <v>103</v>
      </c>
      <c r="Z106" s="19">
        <v>50</v>
      </c>
      <c r="AA106" s="19">
        <v>50</v>
      </c>
    </row>
    <row r="107" spans="1:27" x14ac:dyDescent="0.25">
      <c r="A107" s="19" t="s">
        <v>242</v>
      </c>
      <c r="B107" s="19" t="s">
        <v>214</v>
      </c>
      <c r="C107" s="19" t="s">
        <v>215</v>
      </c>
      <c r="D107" s="19">
        <v>1.085</v>
      </c>
      <c r="E107" s="19" t="s">
        <v>129</v>
      </c>
      <c r="F107" s="19" t="s">
        <v>130</v>
      </c>
      <c r="G107" s="19" t="s">
        <v>32</v>
      </c>
      <c r="H107" s="19" t="s">
        <v>114</v>
      </c>
      <c r="I107" s="19" t="s">
        <v>115</v>
      </c>
      <c r="J107" s="19">
        <v>32</v>
      </c>
      <c r="K107" s="19">
        <v>2.1700000000000001E-2</v>
      </c>
      <c r="L107" s="19" t="s">
        <v>35</v>
      </c>
      <c r="M107" s="19" t="s">
        <v>103</v>
      </c>
      <c r="N107" s="19">
        <v>50</v>
      </c>
      <c r="O107" s="19">
        <v>50</v>
      </c>
      <c r="P107" s="19">
        <v>0</v>
      </c>
      <c r="Q107" s="19">
        <v>0</v>
      </c>
      <c r="S107" s="19">
        <v>1</v>
      </c>
      <c r="T107" s="19">
        <v>1</v>
      </c>
      <c r="U107" s="19">
        <v>0</v>
      </c>
      <c r="V107" s="19" t="s">
        <v>41</v>
      </c>
      <c r="W107" s="19">
        <v>1</v>
      </c>
      <c r="Y107" s="19" t="s">
        <v>103</v>
      </c>
      <c r="Z107" s="19">
        <v>50</v>
      </c>
      <c r="AA107" s="19">
        <v>50</v>
      </c>
    </row>
    <row r="108" spans="1:27" x14ac:dyDescent="0.25">
      <c r="A108" s="19" t="s">
        <v>243</v>
      </c>
      <c r="B108" s="19" t="s">
        <v>214</v>
      </c>
      <c r="C108" s="19" t="s">
        <v>215</v>
      </c>
      <c r="D108" s="19">
        <v>2.085</v>
      </c>
      <c r="E108" s="19" t="s">
        <v>132</v>
      </c>
      <c r="F108" s="19" t="s">
        <v>133</v>
      </c>
      <c r="G108" s="19" t="s">
        <v>134</v>
      </c>
      <c r="H108" s="19" t="s">
        <v>87</v>
      </c>
      <c r="I108" s="19" t="s">
        <v>135</v>
      </c>
      <c r="J108" s="19">
        <v>11</v>
      </c>
      <c r="K108" s="19">
        <v>4.1700000000000001E-2</v>
      </c>
      <c r="L108" s="19" t="s">
        <v>35</v>
      </c>
      <c r="M108" s="19" t="s">
        <v>103</v>
      </c>
      <c r="N108" s="19">
        <v>50</v>
      </c>
      <c r="O108" s="19">
        <v>50</v>
      </c>
      <c r="P108" s="19">
        <v>0</v>
      </c>
      <c r="Q108" s="19">
        <v>0</v>
      </c>
      <c r="S108" s="19">
        <v>1</v>
      </c>
      <c r="T108" s="19">
        <v>1</v>
      </c>
      <c r="U108" s="19">
        <v>0</v>
      </c>
      <c r="V108" s="19" t="s">
        <v>41</v>
      </c>
      <c r="W108" s="19">
        <v>1</v>
      </c>
      <c r="Y108" s="19" t="s">
        <v>103</v>
      </c>
      <c r="Z108" s="19">
        <v>50</v>
      </c>
      <c r="AA108" s="19">
        <v>50</v>
      </c>
    </row>
    <row r="109" spans="1:27" x14ac:dyDescent="0.25">
      <c r="A109" s="19" t="s">
        <v>244</v>
      </c>
      <c r="B109" s="19" t="s">
        <v>214</v>
      </c>
      <c r="C109" s="19" t="s">
        <v>215</v>
      </c>
      <c r="D109" s="19">
        <v>2.085</v>
      </c>
      <c r="E109" s="19" t="s">
        <v>137</v>
      </c>
      <c r="F109" s="19" t="s">
        <v>138</v>
      </c>
      <c r="G109" s="19" t="s">
        <v>134</v>
      </c>
      <c r="H109" s="19" t="s">
        <v>87</v>
      </c>
      <c r="I109" s="19" t="s">
        <v>135</v>
      </c>
      <c r="J109" s="19">
        <v>9</v>
      </c>
      <c r="K109" s="19">
        <v>4.1700000000000001E-2</v>
      </c>
      <c r="L109" s="19" t="s">
        <v>35</v>
      </c>
      <c r="M109" s="19" t="s">
        <v>142</v>
      </c>
      <c r="N109" s="19">
        <v>50</v>
      </c>
      <c r="O109" s="19">
        <v>50</v>
      </c>
      <c r="P109" s="19">
        <v>0</v>
      </c>
      <c r="Q109" s="19">
        <v>0</v>
      </c>
      <c r="S109" s="19">
        <v>1</v>
      </c>
      <c r="T109" s="19">
        <v>1</v>
      </c>
      <c r="U109" s="19">
        <v>0</v>
      </c>
      <c r="W109" s="19">
        <v>0</v>
      </c>
      <c r="X109" s="19">
        <v>3</v>
      </c>
      <c r="Y109" s="19" t="s">
        <v>142</v>
      </c>
      <c r="Z109" s="19">
        <v>50</v>
      </c>
      <c r="AA109" s="19">
        <v>50</v>
      </c>
    </row>
    <row r="110" spans="1:27" x14ac:dyDescent="0.25">
      <c r="A110" s="19" t="s">
        <v>245</v>
      </c>
      <c r="B110" s="19" t="s">
        <v>214</v>
      </c>
      <c r="C110" s="19" t="s">
        <v>215</v>
      </c>
      <c r="D110" s="19">
        <v>2.085</v>
      </c>
      <c r="E110" s="19" t="s">
        <v>140</v>
      </c>
      <c r="F110" s="19" t="s">
        <v>141</v>
      </c>
      <c r="G110" s="19" t="s">
        <v>134</v>
      </c>
      <c r="H110" s="19" t="s">
        <v>87</v>
      </c>
      <c r="I110" s="19" t="s">
        <v>135</v>
      </c>
      <c r="J110" s="19">
        <v>10</v>
      </c>
      <c r="K110" s="19">
        <v>4.1700000000000001E-2</v>
      </c>
      <c r="L110" s="19" t="s">
        <v>35</v>
      </c>
      <c r="M110" s="19" t="s">
        <v>142</v>
      </c>
      <c r="N110" s="19">
        <v>50</v>
      </c>
      <c r="O110" s="19">
        <v>50</v>
      </c>
      <c r="P110" s="19">
        <v>0</v>
      </c>
      <c r="Q110" s="19">
        <v>0</v>
      </c>
      <c r="S110" s="19">
        <v>1</v>
      </c>
      <c r="T110" s="19">
        <v>1</v>
      </c>
      <c r="U110" s="19">
        <v>0</v>
      </c>
      <c r="W110" s="19">
        <v>0</v>
      </c>
      <c r="X110" s="19">
        <v>3</v>
      </c>
      <c r="Y110" s="19" t="s">
        <v>142</v>
      </c>
      <c r="Z110" s="19">
        <v>50</v>
      </c>
      <c r="AA110" s="19">
        <v>50</v>
      </c>
    </row>
    <row r="111" spans="1:27" x14ac:dyDescent="0.25">
      <c r="A111" s="19" t="s">
        <v>246</v>
      </c>
      <c r="B111" s="19" t="s">
        <v>214</v>
      </c>
      <c r="C111" s="19" t="s">
        <v>215</v>
      </c>
      <c r="D111" s="19">
        <v>1.25</v>
      </c>
      <c r="E111" s="19" t="s">
        <v>144</v>
      </c>
      <c r="F111" s="19" t="s">
        <v>145</v>
      </c>
      <c r="G111" s="19" t="s">
        <v>134</v>
      </c>
      <c r="H111" s="19" t="s">
        <v>146</v>
      </c>
      <c r="I111" s="19" t="s">
        <v>147</v>
      </c>
      <c r="J111" s="19">
        <v>4</v>
      </c>
      <c r="K111" s="19">
        <v>2.5000000000000001E-2</v>
      </c>
      <c r="L111" s="19" t="s">
        <v>35</v>
      </c>
      <c r="M111" s="19" t="s">
        <v>103</v>
      </c>
      <c r="N111" s="19">
        <v>50</v>
      </c>
      <c r="O111" s="19">
        <v>50</v>
      </c>
      <c r="P111" s="19">
        <v>0</v>
      </c>
      <c r="Q111" s="19">
        <v>0</v>
      </c>
      <c r="S111" s="19">
        <v>1</v>
      </c>
      <c r="T111" s="19">
        <v>1</v>
      </c>
      <c r="U111" s="19">
        <v>0</v>
      </c>
      <c r="V111" s="19" t="s">
        <v>41</v>
      </c>
      <c r="W111" s="19">
        <v>1</v>
      </c>
      <c r="Y111" s="19" t="s">
        <v>103</v>
      </c>
      <c r="Z111" s="19">
        <v>50</v>
      </c>
      <c r="AA111" s="19">
        <v>50</v>
      </c>
    </row>
    <row r="112" spans="1:27" x14ac:dyDescent="0.25">
      <c r="A112" s="19" t="s">
        <v>247</v>
      </c>
      <c r="B112" s="19" t="s">
        <v>214</v>
      </c>
      <c r="C112" s="19" t="s">
        <v>215</v>
      </c>
      <c r="D112" s="19">
        <v>1.25</v>
      </c>
      <c r="E112" s="19" t="s">
        <v>149</v>
      </c>
      <c r="F112" s="19" t="s">
        <v>150</v>
      </c>
      <c r="G112" s="19" t="s">
        <v>134</v>
      </c>
      <c r="H112" s="19" t="s">
        <v>146</v>
      </c>
      <c r="I112" s="19" t="s">
        <v>147</v>
      </c>
      <c r="J112" s="19">
        <v>5</v>
      </c>
      <c r="K112" s="19">
        <v>2.5000000000000001E-2</v>
      </c>
      <c r="L112" s="19" t="s">
        <v>35</v>
      </c>
      <c r="M112" s="19" t="s">
        <v>103</v>
      </c>
      <c r="N112" s="19">
        <v>50</v>
      </c>
      <c r="O112" s="19">
        <v>50</v>
      </c>
      <c r="P112" s="19">
        <v>0</v>
      </c>
      <c r="Q112" s="19">
        <v>0</v>
      </c>
      <c r="S112" s="19">
        <v>1</v>
      </c>
      <c r="T112" s="19">
        <v>1</v>
      </c>
      <c r="U112" s="19">
        <v>0</v>
      </c>
      <c r="V112" s="19" t="s">
        <v>41</v>
      </c>
      <c r="W112" s="19">
        <v>1</v>
      </c>
      <c r="Y112" s="19" t="s">
        <v>103</v>
      </c>
      <c r="Z112" s="19">
        <v>50</v>
      </c>
      <c r="AA112" s="19">
        <v>50</v>
      </c>
    </row>
    <row r="113" spans="1:27" x14ac:dyDescent="0.25">
      <c r="A113" s="19" t="s">
        <v>248</v>
      </c>
      <c r="B113" s="19" t="s">
        <v>214</v>
      </c>
      <c r="C113" s="19" t="s">
        <v>215</v>
      </c>
      <c r="D113" s="19">
        <v>1.25</v>
      </c>
      <c r="E113" s="19" t="s">
        <v>152</v>
      </c>
      <c r="F113" s="19" t="s">
        <v>153</v>
      </c>
      <c r="G113" s="19" t="s">
        <v>134</v>
      </c>
      <c r="H113" s="19" t="s">
        <v>146</v>
      </c>
      <c r="I113" s="19" t="s">
        <v>147</v>
      </c>
      <c r="J113" s="19">
        <v>6</v>
      </c>
      <c r="K113" s="19">
        <v>2.5000000000000001E-2</v>
      </c>
      <c r="L113" s="19" t="s">
        <v>35</v>
      </c>
      <c r="M113" s="19" t="s">
        <v>103</v>
      </c>
      <c r="N113" s="19">
        <v>50</v>
      </c>
      <c r="O113" s="19">
        <v>50</v>
      </c>
      <c r="P113" s="19">
        <v>0</v>
      </c>
      <c r="Q113" s="19">
        <v>0</v>
      </c>
      <c r="S113" s="19">
        <v>1</v>
      </c>
      <c r="T113" s="19">
        <v>1</v>
      </c>
      <c r="U113" s="19">
        <v>0</v>
      </c>
      <c r="V113" s="19" t="s">
        <v>41</v>
      </c>
      <c r="W113" s="19">
        <v>1</v>
      </c>
      <c r="Y113" s="19" t="s">
        <v>103</v>
      </c>
      <c r="Z113" s="19">
        <v>50</v>
      </c>
      <c r="AA113" s="19">
        <v>50</v>
      </c>
    </row>
    <row r="114" spans="1:27" x14ac:dyDescent="0.25">
      <c r="A114" s="19" t="s">
        <v>249</v>
      </c>
      <c r="B114" s="19" t="s">
        <v>214</v>
      </c>
      <c r="C114" s="19" t="s">
        <v>215</v>
      </c>
      <c r="D114" s="19">
        <v>1.25</v>
      </c>
      <c r="E114" s="19" t="s">
        <v>155</v>
      </c>
      <c r="F114" s="19" t="s">
        <v>156</v>
      </c>
      <c r="G114" s="19" t="s">
        <v>134</v>
      </c>
      <c r="H114" s="19" t="s">
        <v>146</v>
      </c>
      <c r="I114" s="19" t="s">
        <v>147</v>
      </c>
      <c r="J114" s="19">
        <v>7</v>
      </c>
      <c r="K114" s="19">
        <v>2.5000000000000001E-2</v>
      </c>
      <c r="L114" s="19" t="s">
        <v>35</v>
      </c>
      <c r="M114" s="19" t="s">
        <v>103</v>
      </c>
      <c r="N114" s="19">
        <v>50</v>
      </c>
      <c r="O114" s="19">
        <v>50</v>
      </c>
      <c r="P114" s="19">
        <v>0</v>
      </c>
      <c r="Q114" s="19">
        <v>0</v>
      </c>
      <c r="S114" s="19">
        <v>1</v>
      </c>
      <c r="T114" s="19">
        <v>1</v>
      </c>
      <c r="U114" s="19">
        <v>0</v>
      </c>
      <c r="V114" s="19" t="s">
        <v>41</v>
      </c>
      <c r="W114" s="19">
        <v>1</v>
      </c>
      <c r="Y114" s="19" t="s">
        <v>103</v>
      </c>
      <c r="Z114" s="19">
        <v>50</v>
      </c>
      <c r="AA114" s="19">
        <v>50</v>
      </c>
    </row>
    <row r="115" spans="1:27" x14ac:dyDescent="0.25">
      <c r="A115" s="19" t="s">
        <v>250</v>
      </c>
      <c r="B115" s="19" t="s">
        <v>214</v>
      </c>
      <c r="C115" s="19" t="s">
        <v>215</v>
      </c>
      <c r="D115" s="19">
        <v>1.25</v>
      </c>
      <c r="E115" s="19" t="s">
        <v>158</v>
      </c>
      <c r="F115" s="19" t="s">
        <v>159</v>
      </c>
      <c r="G115" s="19" t="s">
        <v>134</v>
      </c>
      <c r="H115" s="19" t="s">
        <v>146</v>
      </c>
      <c r="I115" s="19" t="s">
        <v>147</v>
      </c>
      <c r="J115" s="19">
        <v>8</v>
      </c>
      <c r="K115" s="19">
        <v>2.5000000000000001E-2</v>
      </c>
      <c r="L115" s="19" t="s">
        <v>35</v>
      </c>
      <c r="M115" s="19" t="s">
        <v>103</v>
      </c>
      <c r="N115" s="19">
        <v>50</v>
      </c>
      <c r="O115" s="19">
        <v>50</v>
      </c>
      <c r="P115" s="19">
        <v>0</v>
      </c>
      <c r="Q115" s="19">
        <v>0</v>
      </c>
      <c r="S115" s="19">
        <v>1</v>
      </c>
      <c r="T115" s="19">
        <v>1</v>
      </c>
      <c r="U115" s="19">
        <v>0</v>
      </c>
      <c r="V115" s="19" t="s">
        <v>41</v>
      </c>
      <c r="W115" s="19">
        <v>1</v>
      </c>
      <c r="Y115" s="19" t="s">
        <v>103</v>
      </c>
      <c r="Z115" s="19">
        <v>50</v>
      </c>
      <c r="AA115" s="19">
        <v>50</v>
      </c>
    </row>
    <row r="116" spans="1:27" x14ac:dyDescent="0.25">
      <c r="A116" s="19" t="s">
        <v>251</v>
      </c>
      <c r="B116" s="19" t="s">
        <v>214</v>
      </c>
      <c r="C116" s="19" t="s">
        <v>215</v>
      </c>
      <c r="D116" s="19">
        <v>2.2197779999999998</v>
      </c>
      <c r="E116" s="19" t="s">
        <v>161</v>
      </c>
      <c r="F116" s="19" t="s">
        <v>162</v>
      </c>
      <c r="G116" s="19" t="s">
        <v>163</v>
      </c>
      <c r="I116" s="19" t="s">
        <v>164</v>
      </c>
      <c r="J116" s="19">
        <v>1</v>
      </c>
      <c r="K116" s="19">
        <v>3.3300000000000003E-2</v>
      </c>
      <c r="L116" s="19" t="s">
        <v>35</v>
      </c>
      <c r="M116" s="19" t="s">
        <v>165</v>
      </c>
      <c r="N116" s="19">
        <v>66.66</v>
      </c>
      <c r="O116" s="19">
        <v>66.66</v>
      </c>
      <c r="P116" s="19">
        <v>0</v>
      </c>
      <c r="Q116" s="19">
        <v>0</v>
      </c>
      <c r="S116" s="19">
        <v>1</v>
      </c>
      <c r="T116" s="19">
        <v>1</v>
      </c>
      <c r="U116" s="19">
        <v>0</v>
      </c>
      <c r="W116" s="19">
        <v>0</v>
      </c>
      <c r="X116" s="19">
        <v>66.66</v>
      </c>
      <c r="Z116" s="19">
        <v>0</v>
      </c>
      <c r="AA116" s="19">
        <v>66.66</v>
      </c>
    </row>
    <row r="117" spans="1:27" x14ac:dyDescent="0.25">
      <c r="A117" s="19" t="s">
        <v>252</v>
      </c>
      <c r="B117" s="19" t="s">
        <v>214</v>
      </c>
      <c r="C117" s="19" t="s">
        <v>215</v>
      </c>
      <c r="D117" s="19">
        <v>0</v>
      </c>
      <c r="E117" s="19" t="s">
        <v>167</v>
      </c>
      <c r="F117" s="19" t="s">
        <v>168</v>
      </c>
      <c r="G117" s="19" t="s">
        <v>163</v>
      </c>
      <c r="I117" s="19" t="s">
        <v>164</v>
      </c>
      <c r="J117" s="19">
        <v>3</v>
      </c>
      <c r="K117" s="19">
        <v>3.3300000000000003E-2</v>
      </c>
      <c r="L117" s="19" t="s">
        <v>35</v>
      </c>
      <c r="M117" s="19" t="s">
        <v>165</v>
      </c>
      <c r="N117" s="19">
        <v>0</v>
      </c>
      <c r="O117" s="19">
        <v>0</v>
      </c>
      <c r="P117" s="19">
        <v>0</v>
      </c>
      <c r="Q117" s="19">
        <v>0</v>
      </c>
      <c r="S117" s="19">
        <v>1</v>
      </c>
      <c r="T117" s="19">
        <v>1</v>
      </c>
      <c r="U117" s="19">
        <v>0</v>
      </c>
      <c r="W117" s="19">
        <v>0</v>
      </c>
      <c r="X117" s="19">
        <v>0</v>
      </c>
      <c r="Z117" s="19">
        <v>0</v>
      </c>
      <c r="AA117" s="19">
        <v>0</v>
      </c>
    </row>
    <row r="118" spans="1:27" x14ac:dyDescent="0.25">
      <c r="A118" s="19" t="s">
        <v>253</v>
      </c>
      <c r="B118" s="19" t="s">
        <v>214</v>
      </c>
      <c r="C118" s="19" t="s">
        <v>215</v>
      </c>
      <c r="D118" s="19">
        <v>1.31535</v>
      </c>
      <c r="E118" s="19" t="s">
        <v>170</v>
      </c>
      <c r="F118" s="19" t="s">
        <v>171</v>
      </c>
      <c r="G118" s="19" t="s">
        <v>163</v>
      </c>
      <c r="I118" s="19" t="s">
        <v>164</v>
      </c>
      <c r="J118" s="19">
        <v>2</v>
      </c>
      <c r="K118" s="19">
        <v>3.3300000000000003E-2</v>
      </c>
      <c r="L118" s="19" t="s">
        <v>35</v>
      </c>
      <c r="M118" s="19" t="s">
        <v>165</v>
      </c>
      <c r="N118" s="19">
        <v>39.5</v>
      </c>
      <c r="O118" s="19">
        <v>39.5</v>
      </c>
      <c r="P118" s="19">
        <v>0</v>
      </c>
      <c r="Q118" s="19">
        <v>0</v>
      </c>
      <c r="S118" s="19">
        <v>1</v>
      </c>
      <c r="T118" s="19">
        <v>1</v>
      </c>
      <c r="U118" s="19">
        <v>0</v>
      </c>
      <c r="W118" s="19">
        <v>0</v>
      </c>
      <c r="X118" s="19">
        <v>39.5</v>
      </c>
      <c r="Z118" s="19">
        <v>0</v>
      </c>
      <c r="AA118" s="19">
        <v>39.5</v>
      </c>
    </row>
    <row r="119" spans="1:27" x14ac:dyDescent="0.25">
      <c r="A119" s="19" t="s">
        <v>254</v>
      </c>
      <c r="B119" s="19" t="s">
        <v>255</v>
      </c>
      <c r="C119" s="19">
        <v>46015</v>
      </c>
      <c r="D119" s="19">
        <v>0</v>
      </c>
      <c r="E119" s="19" t="s">
        <v>30</v>
      </c>
      <c r="F119" s="19" t="s">
        <v>31</v>
      </c>
      <c r="G119" s="19" t="s">
        <v>32</v>
      </c>
      <c r="H119" s="19" t="s">
        <v>33</v>
      </c>
      <c r="I119" s="19" t="s">
        <v>34</v>
      </c>
      <c r="J119" s="19">
        <v>17</v>
      </c>
      <c r="K119" s="19">
        <v>1.6299999999999999E-2</v>
      </c>
      <c r="L119" s="19" t="s">
        <v>35</v>
      </c>
      <c r="M119" s="19" t="s">
        <v>142</v>
      </c>
      <c r="N119" s="19">
        <v>0</v>
      </c>
      <c r="O119" s="19">
        <v>0</v>
      </c>
      <c r="P119" s="19">
        <v>0</v>
      </c>
      <c r="Q119" s="19">
        <v>0</v>
      </c>
      <c r="S119" s="19">
        <v>1</v>
      </c>
      <c r="T119" s="19">
        <v>1</v>
      </c>
      <c r="U119" s="19">
        <v>0</v>
      </c>
      <c r="V119" s="19" t="s">
        <v>80</v>
      </c>
      <c r="W119" s="19">
        <v>0</v>
      </c>
      <c r="Y119" s="19" t="s">
        <v>142</v>
      </c>
      <c r="Z119" s="19">
        <v>50</v>
      </c>
      <c r="AA119" s="19">
        <v>0</v>
      </c>
    </row>
    <row r="120" spans="1:27" x14ac:dyDescent="0.25">
      <c r="A120" s="19" t="s">
        <v>256</v>
      </c>
      <c r="B120" s="19" t="s">
        <v>255</v>
      </c>
      <c r="C120" s="19">
        <v>46015</v>
      </c>
      <c r="D120" s="19">
        <v>0.54327899999999996</v>
      </c>
      <c r="E120" s="19" t="s">
        <v>38</v>
      </c>
      <c r="F120" s="19" t="s">
        <v>39</v>
      </c>
      <c r="G120" s="19" t="s">
        <v>32</v>
      </c>
      <c r="H120" s="19" t="s">
        <v>33</v>
      </c>
      <c r="I120" s="19" t="s">
        <v>34</v>
      </c>
      <c r="J120" s="19">
        <v>19</v>
      </c>
      <c r="K120" s="19">
        <v>1.6299999999999999E-2</v>
      </c>
      <c r="L120" s="19" t="s">
        <v>35</v>
      </c>
      <c r="M120" s="19" t="s">
        <v>40</v>
      </c>
      <c r="N120" s="19">
        <v>33.33</v>
      </c>
      <c r="O120" s="19">
        <v>33.33</v>
      </c>
      <c r="P120" s="19">
        <v>0</v>
      </c>
      <c r="Q120" s="19">
        <v>0</v>
      </c>
      <c r="S120" s="19">
        <v>1</v>
      </c>
      <c r="T120" s="19">
        <v>1</v>
      </c>
      <c r="U120" s="19">
        <v>0</v>
      </c>
      <c r="V120" s="19" t="s">
        <v>41</v>
      </c>
      <c r="W120" s="19">
        <v>1</v>
      </c>
      <c r="Y120" s="19" t="s">
        <v>40</v>
      </c>
      <c r="Z120" s="19">
        <v>33.33</v>
      </c>
      <c r="AA120" s="19">
        <v>33.33</v>
      </c>
    </row>
    <row r="121" spans="1:27" x14ac:dyDescent="0.25">
      <c r="A121" s="19" t="s">
        <v>257</v>
      </c>
      <c r="B121" s="19" t="s">
        <v>255</v>
      </c>
      <c r="C121" s="19">
        <v>46015</v>
      </c>
      <c r="D121" s="19">
        <v>0.54327899999999996</v>
      </c>
      <c r="E121" s="19" t="s">
        <v>43</v>
      </c>
      <c r="F121" s="19" t="s">
        <v>44</v>
      </c>
      <c r="G121" s="19" t="s">
        <v>32</v>
      </c>
      <c r="H121" s="19" t="s">
        <v>33</v>
      </c>
      <c r="I121" s="19" t="s">
        <v>34</v>
      </c>
      <c r="J121" s="19">
        <v>18</v>
      </c>
      <c r="K121" s="19">
        <v>1.6299999999999999E-2</v>
      </c>
      <c r="L121" s="19" t="s">
        <v>35</v>
      </c>
      <c r="M121" s="19" t="s">
        <v>40</v>
      </c>
      <c r="N121" s="19">
        <v>33.33</v>
      </c>
      <c r="O121" s="19">
        <v>33.33</v>
      </c>
      <c r="P121" s="19">
        <v>0</v>
      </c>
      <c r="Q121" s="19">
        <v>0</v>
      </c>
      <c r="S121" s="19">
        <v>1</v>
      </c>
      <c r="T121" s="19">
        <v>1</v>
      </c>
      <c r="U121" s="19">
        <v>0</v>
      </c>
      <c r="V121" s="19" t="s">
        <v>41</v>
      </c>
      <c r="W121" s="19">
        <v>1</v>
      </c>
      <c r="Y121" s="19" t="s">
        <v>40</v>
      </c>
      <c r="Z121" s="19">
        <v>33.33</v>
      </c>
      <c r="AA121" s="19">
        <v>33.33</v>
      </c>
    </row>
    <row r="122" spans="1:27" x14ac:dyDescent="0.25">
      <c r="A122" s="19" t="s">
        <v>258</v>
      </c>
      <c r="B122" s="19" t="s">
        <v>255</v>
      </c>
      <c r="C122" s="19">
        <v>46015</v>
      </c>
      <c r="D122" s="19">
        <v>0.54327899999999996</v>
      </c>
      <c r="E122" s="19" t="s">
        <v>46</v>
      </c>
      <c r="F122" s="19" t="s">
        <v>47</v>
      </c>
      <c r="G122" s="19" t="s">
        <v>32</v>
      </c>
      <c r="H122" s="19" t="s">
        <v>33</v>
      </c>
      <c r="I122" s="19" t="s">
        <v>34</v>
      </c>
      <c r="J122" s="19">
        <v>15</v>
      </c>
      <c r="K122" s="19">
        <v>1.6299999999999999E-2</v>
      </c>
      <c r="L122" s="19" t="s">
        <v>35</v>
      </c>
      <c r="M122" s="19" t="s">
        <v>40</v>
      </c>
      <c r="N122" s="19">
        <v>33.33</v>
      </c>
      <c r="O122" s="19">
        <v>33.33</v>
      </c>
      <c r="P122" s="19">
        <v>0</v>
      </c>
      <c r="Q122" s="19">
        <v>0</v>
      </c>
      <c r="S122" s="19">
        <v>1</v>
      </c>
      <c r="T122" s="19">
        <v>1</v>
      </c>
      <c r="U122" s="19">
        <v>0</v>
      </c>
      <c r="V122" s="19" t="s">
        <v>41</v>
      </c>
      <c r="W122" s="19">
        <v>1</v>
      </c>
      <c r="Y122" s="19" t="s">
        <v>40</v>
      </c>
      <c r="Z122" s="19">
        <v>33.33</v>
      </c>
      <c r="AA122" s="19">
        <v>33.33</v>
      </c>
    </row>
    <row r="123" spans="1:27" x14ac:dyDescent="0.25">
      <c r="A123" s="19" t="s">
        <v>259</v>
      </c>
      <c r="B123" s="19" t="s">
        <v>255</v>
      </c>
      <c r="C123" s="19">
        <v>46015</v>
      </c>
      <c r="D123" s="19">
        <v>0.54327899999999996</v>
      </c>
      <c r="E123" s="19" t="s">
        <v>49</v>
      </c>
      <c r="F123" s="19" t="s">
        <v>50</v>
      </c>
      <c r="G123" s="19" t="s">
        <v>32</v>
      </c>
      <c r="H123" s="19" t="s">
        <v>33</v>
      </c>
      <c r="I123" s="19" t="s">
        <v>34</v>
      </c>
      <c r="J123" s="19">
        <v>12</v>
      </c>
      <c r="K123" s="19">
        <v>1.6299999999999999E-2</v>
      </c>
      <c r="L123" s="19" t="s">
        <v>35</v>
      </c>
      <c r="M123" s="19" t="s">
        <v>40</v>
      </c>
      <c r="N123" s="19">
        <v>33.33</v>
      </c>
      <c r="O123" s="19">
        <v>33.33</v>
      </c>
      <c r="P123" s="19">
        <v>0</v>
      </c>
      <c r="Q123" s="19">
        <v>0</v>
      </c>
      <c r="S123" s="19">
        <v>1</v>
      </c>
      <c r="T123" s="19">
        <v>1</v>
      </c>
      <c r="U123" s="19">
        <v>0</v>
      </c>
      <c r="V123" s="19" t="s">
        <v>41</v>
      </c>
      <c r="W123" s="19">
        <v>1</v>
      </c>
      <c r="Y123" s="19" t="s">
        <v>40</v>
      </c>
      <c r="Z123" s="19">
        <v>33.33</v>
      </c>
      <c r="AA123" s="19">
        <v>33.33</v>
      </c>
    </row>
    <row r="124" spans="1:27" x14ac:dyDescent="0.25">
      <c r="A124" s="19" t="s">
        <v>260</v>
      </c>
      <c r="B124" s="19" t="s">
        <v>255</v>
      </c>
      <c r="C124" s="19">
        <v>46015</v>
      </c>
      <c r="D124" s="19">
        <v>0</v>
      </c>
      <c r="E124" s="19" t="s">
        <v>52</v>
      </c>
      <c r="F124" s="19" t="s">
        <v>53</v>
      </c>
      <c r="G124" s="19" t="s">
        <v>32</v>
      </c>
      <c r="H124" s="19" t="s">
        <v>33</v>
      </c>
      <c r="I124" s="19" t="s">
        <v>34</v>
      </c>
      <c r="J124" s="19">
        <v>16</v>
      </c>
      <c r="K124" s="19">
        <v>1.6299999999999999E-2</v>
      </c>
      <c r="L124" s="19" t="s">
        <v>35</v>
      </c>
      <c r="N124" s="19">
        <v>0</v>
      </c>
      <c r="O124" s="19">
        <v>0</v>
      </c>
      <c r="P124" s="19">
        <v>0</v>
      </c>
      <c r="Q124" s="19">
        <v>0</v>
      </c>
      <c r="S124" s="19">
        <v>1</v>
      </c>
      <c r="T124" s="19">
        <v>1</v>
      </c>
      <c r="U124" s="19">
        <v>0</v>
      </c>
      <c r="V124" s="19" t="s">
        <v>36</v>
      </c>
      <c r="W124" s="19">
        <v>0</v>
      </c>
      <c r="Z124" s="19">
        <v>0</v>
      </c>
      <c r="AA124" s="19">
        <v>0</v>
      </c>
    </row>
    <row r="125" spans="1:27" x14ac:dyDescent="0.25">
      <c r="A125" s="19" t="s">
        <v>261</v>
      </c>
      <c r="B125" s="19" t="s">
        <v>255</v>
      </c>
      <c r="C125" s="19">
        <v>46015</v>
      </c>
      <c r="D125" s="19">
        <v>0.54327899999999996</v>
      </c>
      <c r="E125" s="19" t="s">
        <v>55</v>
      </c>
      <c r="F125" s="19" t="s">
        <v>56</v>
      </c>
      <c r="G125" s="19" t="s">
        <v>32</v>
      </c>
      <c r="H125" s="19" t="s">
        <v>33</v>
      </c>
      <c r="I125" s="19" t="s">
        <v>34</v>
      </c>
      <c r="J125" s="19">
        <v>14</v>
      </c>
      <c r="K125" s="19">
        <v>1.6299999999999999E-2</v>
      </c>
      <c r="L125" s="19" t="s">
        <v>35</v>
      </c>
      <c r="M125" s="19" t="s">
        <v>40</v>
      </c>
      <c r="N125" s="19">
        <v>33.33</v>
      </c>
      <c r="O125" s="19">
        <v>33.33</v>
      </c>
      <c r="P125" s="19">
        <v>0</v>
      </c>
      <c r="Q125" s="19">
        <v>0</v>
      </c>
      <c r="S125" s="19">
        <v>1</v>
      </c>
      <c r="T125" s="19">
        <v>1</v>
      </c>
      <c r="U125" s="19">
        <v>0</v>
      </c>
      <c r="V125" s="19" t="s">
        <v>41</v>
      </c>
      <c r="W125" s="19">
        <v>1</v>
      </c>
      <c r="Y125" s="19" t="s">
        <v>40</v>
      </c>
      <c r="Z125" s="19">
        <v>33.33</v>
      </c>
      <c r="AA125" s="19">
        <v>33.33</v>
      </c>
    </row>
    <row r="126" spans="1:27" x14ac:dyDescent="0.25">
      <c r="A126" s="19" t="s">
        <v>262</v>
      </c>
      <c r="B126" s="19" t="s">
        <v>255</v>
      </c>
      <c r="C126" s="19">
        <v>46015</v>
      </c>
      <c r="D126" s="19">
        <v>0.54327899999999996</v>
      </c>
      <c r="E126" s="19" t="s">
        <v>58</v>
      </c>
      <c r="F126" s="19" t="s">
        <v>59</v>
      </c>
      <c r="G126" s="19" t="s">
        <v>32</v>
      </c>
      <c r="H126" s="19" t="s">
        <v>33</v>
      </c>
      <c r="I126" s="19" t="s">
        <v>34</v>
      </c>
      <c r="J126" s="19">
        <v>13</v>
      </c>
      <c r="K126" s="19">
        <v>1.6299999999999999E-2</v>
      </c>
      <c r="L126" s="19" t="s">
        <v>35</v>
      </c>
      <c r="M126" s="19" t="s">
        <v>40</v>
      </c>
      <c r="N126" s="19">
        <v>33.33</v>
      </c>
      <c r="O126" s="19">
        <v>33.33</v>
      </c>
      <c r="P126" s="19">
        <v>0</v>
      </c>
      <c r="Q126" s="19">
        <v>0</v>
      </c>
      <c r="S126" s="19">
        <v>1</v>
      </c>
      <c r="T126" s="19">
        <v>1</v>
      </c>
      <c r="U126" s="19">
        <v>0</v>
      </c>
      <c r="V126" s="19" t="s">
        <v>41</v>
      </c>
      <c r="W126" s="19">
        <v>1</v>
      </c>
      <c r="Y126" s="19" t="s">
        <v>40</v>
      </c>
      <c r="Z126" s="19">
        <v>33.33</v>
      </c>
      <c r="AA126" s="19">
        <v>33.33</v>
      </c>
    </row>
    <row r="127" spans="1:27" x14ac:dyDescent="0.25">
      <c r="A127" s="19" t="s">
        <v>263</v>
      </c>
      <c r="B127" s="19" t="s">
        <v>255</v>
      </c>
      <c r="C127" s="19">
        <v>46015</v>
      </c>
      <c r="D127" s="19">
        <v>0.61993799999999899</v>
      </c>
      <c r="E127" s="19" t="s">
        <v>61</v>
      </c>
      <c r="F127" s="19" t="s">
        <v>62</v>
      </c>
      <c r="G127" s="19" t="s">
        <v>32</v>
      </c>
      <c r="H127" s="19" t="s">
        <v>63</v>
      </c>
      <c r="I127" s="19" t="s">
        <v>64</v>
      </c>
      <c r="J127" s="19">
        <v>22</v>
      </c>
      <c r="K127" s="19">
        <v>1.8599999999999998E-2</v>
      </c>
      <c r="L127" s="19" t="s">
        <v>35</v>
      </c>
      <c r="M127" s="19" t="s">
        <v>40</v>
      </c>
      <c r="N127" s="19">
        <v>33.33</v>
      </c>
      <c r="O127" s="19">
        <v>33.33</v>
      </c>
      <c r="P127" s="19">
        <v>0</v>
      </c>
      <c r="Q127" s="19">
        <v>0</v>
      </c>
      <c r="S127" s="19">
        <v>1</v>
      </c>
      <c r="T127" s="19">
        <v>1</v>
      </c>
      <c r="U127" s="19">
        <v>0</v>
      </c>
      <c r="V127" s="19" t="s">
        <v>41</v>
      </c>
      <c r="W127" s="19">
        <v>1</v>
      </c>
      <c r="Y127" s="19" t="s">
        <v>40</v>
      </c>
      <c r="Z127" s="19">
        <v>33.33</v>
      </c>
      <c r="AA127" s="19">
        <v>33.33</v>
      </c>
    </row>
    <row r="128" spans="1:27" x14ac:dyDescent="0.25">
      <c r="A128" s="19" t="s">
        <v>264</v>
      </c>
      <c r="B128" s="19" t="s">
        <v>255</v>
      </c>
      <c r="C128" s="19">
        <v>46015</v>
      </c>
      <c r="D128" s="19">
        <v>0.92999999999999905</v>
      </c>
      <c r="E128" s="19" t="s">
        <v>66</v>
      </c>
      <c r="F128" s="19" t="s">
        <v>67</v>
      </c>
      <c r="G128" s="19" t="s">
        <v>32</v>
      </c>
      <c r="H128" s="19" t="s">
        <v>63</v>
      </c>
      <c r="I128" s="19" t="s">
        <v>64</v>
      </c>
      <c r="J128" s="19">
        <v>20</v>
      </c>
      <c r="K128" s="19">
        <v>1.8599999999999998E-2</v>
      </c>
      <c r="L128" s="19" t="s">
        <v>35</v>
      </c>
      <c r="M128" s="19" t="s">
        <v>142</v>
      </c>
      <c r="N128" s="19">
        <v>50</v>
      </c>
      <c r="O128" s="19">
        <v>50</v>
      </c>
      <c r="P128" s="19">
        <v>0</v>
      </c>
      <c r="Q128" s="19">
        <v>0</v>
      </c>
      <c r="S128" s="19">
        <v>1</v>
      </c>
      <c r="T128" s="19">
        <v>1</v>
      </c>
      <c r="U128" s="19">
        <v>0</v>
      </c>
      <c r="V128" s="19" t="s">
        <v>41</v>
      </c>
      <c r="W128" s="19">
        <v>1</v>
      </c>
      <c r="Y128" s="19" t="s">
        <v>142</v>
      </c>
      <c r="Z128" s="19">
        <v>50</v>
      </c>
      <c r="AA128" s="19">
        <v>50</v>
      </c>
    </row>
    <row r="129" spans="1:27" x14ac:dyDescent="0.25">
      <c r="A129" s="19" t="s">
        <v>265</v>
      </c>
      <c r="B129" s="19" t="s">
        <v>255</v>
      </c>
      <c r="C129" s="19">
        <v>46015</v>
      </c>
      <c r="D129" s="19">
        <v>0.92999999999999905</v>
      </c>
      <c r="E129" s="19" t="s">
        <v>69</v>
      </c>
      <c r="F129" s="19" t="s">
        <v>70</v>
      </c>
      <c r="G129" s="19" t="s">
        <v>32</v>
      </c>
      <c r="H129" s="19" t="s">
        <v>63</v>
      </c>
      <c r="I129" s="19" t="s">
        <v>64</v>
      </c>
      <c r="J129" s="19">
        <v>23</v>
      </c>
      <c r="K129" s="19">
        <v>1.8599999999999998E-2</v>
      </c>
      <c r="L129" s="19" t="s">
        <v>35</v>
      </c>
      <c r="M129" s="19" t="s">
        <v>142</v>
      </c>
      <c r="N129" s="19">
        <v>50</v>
      </c>
      <c r="O129" s="19">
        <v>50</v>
      </c>
      <c r="P129" s="19">
        <v>0</v>
      </c>
      <c r="Q129" s="19">
        <v>0</v>
      </c>
      <c r="S129" s="19">
        <v>1</v>
      </c>
      <c r="T129" s="19">
        <v>1</v>
      </c>
      <c r="U129" s="19">
        <v>0</v>
      </c>
      <c r="V129" s="19" t="s">
        <v>41</v>
      </c>
      <c r="W129" s="19">
        <v>1</v>
      </c>
      <c r="Y129" s="19" t="s">
        <v>142</v>
      </c>
      <c r="Z129" s="19">
        <v>50</v>
      </c>
      <c r="AA129" s="19">
        <v>50</v>
      </c>
    </row>
    <row r="130" spans="1:27" x14ac:dyDescent="0.25">
      <c r="A130" s="19" t="s">
        <v>266</v>
      </c>
      <c r="B130" s="19" t="s">
        <v>255</v>
      </c>
      <c r="C130" s="19">
        <v>46015</v>
      </c>
      <c r="D130" s="19">
        <v>0</v>
      </c>
      <c r="E130" s="19" t="s">
        <v>72</v>
      </c>
      <c r="F130" s="19" t="s">
        <v>73</v>
      </c>
      <c r="G130" s="19" t="s">
        <v>32</v>
      </c>
      <c r="H130" s="19" t="s">
        <v>63</v>
      </c>
      <c r="I130" s="19" t="s">
        <v>64</v>
      </c>
      <c r="J130" s="19">
        <v>21</v>
      </c>
      <c r="K130" s="19">
        <v>1.8599999999999998E-2</v>
      </c>
      <c r="L130" s="19" t="s">
        <v>35</v>
      </c>
      <c r="M130" s="19" t="s">
        <v>110</v>
      </c>
      <c r="N130" s="19">
        <v>0</v>
      </c>
      <c r="O130" s="19">
        <v>0</v>
      </c>
      <c r="P130" s="19">
        <v>0</v>
      </c>
      <c r="Q130" s="19">
        <v>0</v>
      </c>
      <c r="S130" s="19">
        <v>1</v>
      </c>
      <c r="T130" s="19">
        <v>1</v>
      </c>
      <c r="U130" s="19">
        <v>0</v>
      </c>
      <c r="V130" s="19" t="s">
        <v>80</v>
      </c>
      <c r="W130" s="19">
        <v>0</v>
      </c>
      <c r="Y130" s="19" t="s">
        <v>110</v>
      </c>
      <c r="Z130" s="19">
        <v>16.664999999999999</v>
      </c>
      <c r="AA130" s="19">
        <v>0</v>
      </c>
    </row>
    <row r="131" spans="1:27" x14ac:dyDescent="0.25">
      <c r="A131" s="19" t="s">
        <v>267</v>
      </c>
      <c r="B131" s="19" t="s">
        <v>255</v>
      </c>
      <c r="C131" s="19">
        <v>46015</v>
      </c>
      <c r="D131" s="19">
        <v>0.92999999999999905</v>
      </c>
      <c r="E131" s="19" t="s">
        <v>75</v>
      </c>
      <c r="F131" s="19" t="s">
        <v>76</v>
      </c>
      <c r="G131" s="19" t="s">
        <v>32</v>
      </c>
      <c r="H131" s="19" t="s">
        <v>63</v>
      </c>
      <c r="I131" s="19" t="s">
        <v>64</v>
      </c>
      <c r="J131" s="19">
        <v>24</v>
      </c>
      <c r="K131" s="19">
        <v>1.8599999999999998E-2</v>
      </c>
      <c r="L131" s="19" t="s">
        <v>35</v>
      </c>
      <c r="M131" s="19" t="s">
        <v>142</v>
      </c>
      <c r="N131" s="19">
        <v>50</v>
      </c>
      <c r="O131" s="19">
        <v>50</v>
      </c>
      <c r="P131" s="19">
        <v>0</v>
      </c>
      <c r="Q131" s="19">
        <v>0</v>
      </c>
      <c r="S131" s="19">
        <v>1</v>
      </c>
      <c r="T131" s="19">
        <v>1</v>
      </c>
      <c r="U131" s="19">
        <v>0</v>
      </c>
      <c r="V131" s="19" t="s">
        <v>41</v>
      </c>
      <c r="W131" s="19">
        <v>1</v>
      </c>
      <c r="Y131" s="19" t="s">
        <v>142</v>
      </c>
      <c r="Z131" s="19">
        <v>50</v>
      </c>
      <c r="AA131" s="19">
        <v>50</v>
      </c>
    </row>
    <row r="132" spans="1:27" x14ac:dyDescent="0.25">
      <c r="A132" s="19" t="s">
        <v>268</v>
      </c>
      <c r="B132" s="19" t="s">
        <v>255</v>
      </c>
      <c r="C132" s="19">
        <v>46015</v>
      </c>
      <c r="D132" s="19">
        <v>0</v>
      </c>
      <c r="E132" s="19" t="s">
        <v>78</v>
      </c>
      <c r="F132" s="19" t="s">
        <v>79</v>
      </c>
      <c r="G132" s="19" t="s">
        <v>32</v>
      </c>
      <c r="H132" s="19" t="s">
        <v>63</v>
      </c>
      <c r="I132" s="19" t="s">
        <v>64</v>
      </c>
      <c r="J132" s="19">
        <v>25</v>
      </c>
      <c r="K132" s="19">
        <v>1.8599999999999998E-2</v>
      </c>
      <c r="L132" s="19" t="s">
        <v>35</v>
      </c>
      <c r="M132" s="19" t="s">
        <v>40</v>
      </c>
      <c r="N132" s="19">
        <v>0</v>
      </c>
      <c r="O132" s="19">
        <v>0</v>
      </c>
      <c r="P132" s="19">
        <v>0</v>
      </c>
      <c r="Q132" s="19">
        <v>0</v>
      </c>
      <c r="S132" s="19">
        <v>1</v>
      </c>
      <c r="T132" s="19">
        <v>1</v>
      </c>
      <c r="U132" s="19">
        <v>0</v>
      </c>
      <c r="V132" s="19" t="s">
        <v>80</v>
      </c>
      <c r="W132" s="19">
        <v>0</v>
      </c>
      <c r="Y132" s="19" t="s">
        <v>40</v>
      </c>
      <c r="Z132" s="19">
        <v>33.33</v>
      </c>
      <c r="AA132" s="19">
        <v>0</v>
      </c>
    </row>
    <row r="133" spans="1:27" x14ac:dyDescent="0.25">
      <c r="A133" s="19" t="s">
        <v>269</v>
      </c>
      <c r="B133" s="19" t="s">
        <v>255</v>
      </c>
      <c r="C133" s="19">
        <v>46015</v>
      </c>
      <c r="D133" s="19">
        <v>0.309968999999999</v>
      </c>
      <c r="E133" s="19" t="s">
        <v>82</v>
      </c>
      <c r="F133" s="19" t="s">
        <v>83</v>
      </c>
      <c r="G133" s="19" t="s">
        <v>32</v>
      </c>
      <c r="H133" s="19" t="s">
        <v>63</v>
      </c>
      <c r="I133" s="19" t="s">
        <v>64</v>
      </c>
      <c r="J133" s="19">
        <v>26</v>
      </c>
      <c r="K133" s="19">
        <v>1.8599999999999998E-2</v>
      </c>
      <c r="L133" s="19" t="s">
        <v>35</v>
      </c>
      <c r="M133" s="19" t="s">
        <v>110</v>
      </c>
      <c r="N133" s="19">
        <v>16.664999999999999</v>
      </c>
      <c r="O133" s="19">
        <v>16.664999999999999</v>
      </c>
      <c r="P133" s="19">
        <v>0</v>
      </c>
      <c r="Q133" s="19">
        <v>0</v>
      </c>
      <c r="S133" s="19">
        <v>1</v>
      </c>
      <c r="T133" s="19">
        <v>1</v>
      </c>
      <c r="U133" s="19">
        <v>0</v>
      </c>
      <c r="V133" s="19" t="s">
        <v>41</v>
      </c>
      <c r="W133" s="19">
        <v>1</v>
      </c>
      <c r="Y133" s="19" t="s">
        <v>110</v>
      </c>
      <c r="Z133" s="19">
        <v>16.664999999999999</v>
      </c>
      <c r="AA133" s="19">
        <v>16.664999999999999</v>
      </c>
    </row>
    <row r="134" spans="1:27" x14ac:dyDescent="0.25">
      <c r="A134" s="19" t="s">
        <v>270</v>
      </c>
      <c r="B134" s="19" t="s">
        <v>255</v>
      </c>
      <c r="C134" s="19">
        <v>46015</v>
      </c>
      <c r="D134" s="19">
        <v>0</v>
      </c>
      <c r="E134" s="19" t="s">
        <v>85</v>
      </c>
      <c r="F134" s="19" t="s">
        <v>86</v>
      </c>
      <c r="G134" s="19" t="s">
        <v>32</v>
      </c>
      <c r="H134" s="19" t="s">
        <v>87</v>
      </c>
      <c r="I134" s="19" t="s">
        <v>88</v>
      </c>
      <c r="J134" s="19">
        <v>35</v>
      </c>
      <c r="K134" s="19">
        <v>3.2500000000000001E-2</v>
      </c>
      <c r="L134" s="19" t="s">
        <v>35</v>
      </c>
      <c r="N134" s="19">
        <v>0</v>
      </c>
      <c r="O134" s="19">
        <v>0</v>
      </c>
      <c r="P134" s="19">
        <v>0</v>
      </c>
      <c r="Q134" s="19">
        <v>0</v>
      </c>
      <c r="S134" s="19">
        <v>1</v>
      </c>
      <c r="T134" s="19">
        <v>1</v>
      </c>
      <c r="U134" s="19">
        <v>0</v>
      </c>
      <c r="V134" s="19" t="s">
        <v>36</v>
      </c>
      <c r="W134" s="19">
        <v>0</v>
      </c>
      <c r="Z134" s="19">
        <v>0</v>
      </c>
      <c r="AA134" s="19">
        <v>0</v>
      </c>
    </row>
    <row r="135" spans="1:27" x14ac:dyDescent="0.25">
      <c r="A135" s="19" t="s">
        <v>271</v>
      </c>
      <c r="B135" s="19" t="s">
        <v>255</v>
      </c>
      <c r="C135" s="19">
        <v>46015</v>
      </c>
      <c r="D135" s="19">
        <v>1.625</v>
      </c>
      <c r="E135" s="19" t="s">
        <v>90</v>
      </c>
      <c r="F135" s="19" t="s">
        <v>91</v>
      </c>
      <c r="G135" s="19" t="s">
        <v>32</v>
      </c>
      <c r="H135" s="19" t="s">
        <v>87</v>
      </c>
      <c r="I135" s="19" t="s">
        <v>88</v>
      </c>
      <c r="J135" s="19">
        <v>33</v>
      </c>
      <c r="K135" s="19">
        <v>3.2500000000000001E-2</v>
      </c>
      <c r="L135" s="19" t="s">
        <v>35</v>
      </c>
      <c r="M135" s="19" t="s">
        <v>142</v>
      </c>
      <c r="N135" s="19">
        <v>50</v>
      </c>
      <c r="O135" s="19">
        <v>50</v>
      </c>
      <c r="P135" s="19">
        <v>0</v>
      </c>
      <c r="Q135" s="19">
        <v>0</v>
      </c>
      <c r="S135" s="19">
        <v>1</v>
      </c>
      <c r="T135" s="19">
        <v>1</v>
      </c>
      <c r="U135" s="19">
        <v>0</v>
      </c>
      <c r="V135" s="19" t="s">
        <v>41</v>
      </c>
      <c r="W135" s="19">
        <v>1</v>
      </c>
      <c r="Y135" s="19" t="s">
        <v>142</v>
      </c>
      <c r="Z135" s="19">
        <v>50</v>
      </c>
      <c r="AA135" s="19">
        <v>50</v>
      </c>
    </row>
    <row r="136" spans="1:27" x14ac:dyDescent="0.25">
      <c r="A136" s="19" t="s">
        <v>272</v>
      </c>
      <c r="B136" s="19" t="s">
        <v>255</v>
      </c>
      <c r="C136" s="19">
        <v>46015</v>
      </c>
      <c r="D136" s="19">
        <v>1.625</v>
      </c>
      <c r="E136" s="19" t="s">
        <v>93</v>
      </c>
      <c r="F136" s="19" t="s">
        <v>94</v>
      </c>
      <c r="G136" s="19" t="s">
        <v>32</v>
      </c>
      <c r="H136" s="19" t="s">
        <v>87</v>
      </c>
      <c r="I136" s="19" t="s">
        <v>88</v>
      </c>
      <c r="J136" s="19">
        <v>34</v>
      </c>
      <c r="K136" s="19">
        <v>3.2500000000000001E-2</v>
      </c>
      <c r="L136" s="19" t="s">
        <v>35</v>
      </c>
      <c r="M136" s="19" t="s">
        <v>142</v>
      </c>
      <c r="N136" s="19">
        <v>50</v>
      </c>
      <c r="O136" s="19">
        <v>50</v>
      </c>
      <c r="P136" s="19">
        <v>0</v>
      </c>
      <c r="Q136" s="19">
        <v>0</v>
      </c>
      <c r="S136" s="19">
        <v>1</v>
      </c>
      <c r="T136" s="19">
        <v>1</v>
      </c>
      <c r="U136" s="19">
        <v>0</v>
      </c>
      <c r="V136" s="19" t="s">
        <v>41</v>
      </c>
      <c r="W136" s="19">
        <v>1</v>
      </c>
      <c r="Y136" s="19" t="s">
        <v>142</v>
      </c>
      <c r="Z136" s="19">
        <v>50</v>
      </c>
      <c r="AA136" s="19">
        <v>50</v>
      </c>
    </row>
    <row r="137" spans="1:27" x14ac:dyDescent="0.25">
      <c r="A137" s="19" t="s">
        <v>273</v>
      </c>
      <c r="B137" s="19" t="s">
        <v>255</v>
      </c>
      <c r="C137" s="19">
        <v>46015</v>
      </c>
      <c r="D137" s="19">
        <v>0</v>
      </c>
      <c r="E137" s="19" t="s">
        <v>96</v>
      </c>
      <c r="F137" s="19" t="s">
        <v>97</v>
      </c>
      <c r="G137" s="19" t="s">
        <v>32</v>
      </c>
      <c r="H137" s="19" t="s">
        <v>87</v>
      </c>
      <c r="I137" s="19" t="s">
        <v>88</v>
      </c>
      <c r="J137" s="19">
        <v>36</v>
      </c>
      <c r="K137" s="19">
        <v>3.2500000000000001E-2</v>
      </c>
      <c r="L137" s="19" t="s">
        <v>35</v>
      </c>
      <c r="N137" s="19">
        <v>0</v>
      </c>
      <c r="O137" s="19">
        <v>0</v>
      </c>
      <c r="P137" s="19">
        <v>0</v>
      </c>
      <c r="Q137" s="19">
        <v>0</v>
      </c>
      <c r="S137" s="19">
        <v>1</v>
      </c>
      <c r="T137" s="19">
        <v>1</v>
      </c>
      <c r="U137" s="19">
        <v>0</v>
      </c>
      <c r="V137" s="19" t="s">
        <v>36</v>
      </c>
      <c r="W137" s="19">
        <v>0</v>
      </c>
      <c r="Z137" s="19">
        <v>0</v>
      </c>
      <c r="AA137" s="19">
        <v>0</v>
      </c>
    </row>
    <row r="138" spans="1:27" x14ac:dyDescent="0.25">
      <c r="A138" s="19" t="s">
        <v>274</v>
      </c>
      <c r="B138" s="19" t="s">
        <v>255</v>
      </c>
      <c r="C138" s="19">
        <v>46015</v>
      </c>
      <c r="D138" s="19">
        <v>0</v>
      </c>
      <c r="E138" s="19" t="s">
        <v>99</v>
      </c>
      <c r="F138" s="19" t="s">
        <v>100</v>
      </c>
      <c r="G138" s="19" t="s">
        <v>32</v>
      </c>
      <c r="H138" s="19" t="s">
        <v>101</v>
      </c>
      <c r="I138" s="19" t="s">
        <v>102</v>
      </c>
      <c r="J138" s="19">
        <v>39</v>
      </c>
      <c r="K138" s="19">
        <v>4.3299999999999998E-2</v>
      </c>
      <c r="L138" s="19" t="s">
        <v>35</v>
      </c>
      <c r="M138" s="19" t="s">
        <v>103</v>
      </c>
      <c r="N138" s="19">
        <v>0</v>
      </c>
      <c r="O138" s="19">
        <v>0</v>
      </c>
      <c r="P138" s="19">
        <v>0</v>
      </c>
      <c r="Q138" s="19">
        <v>0</v>
      </c>
      <c r="S138" s="19">
        <v>1</v>
      </c>
      <c r="T138" s="19">
        <v>1</v>
      </c>
      <c r="U138" s="19">
        <v>0</v>
      </c>
      <c r="V138" s="19" t="s">
        <v>36</v>
      </c>
      <c r="W138" s="19">
        <v>0</v>
      </c>
      <c r="Y138" s="19" t="s">
        <v>103</v>
      </c>
      <c r="Z138" s="19">
        <v>50</v>
      </c>
      <c r="AA138" s="19">
        <v>0</v>
      </c>
    </row>
    <row r="139" spans="1:27" x14ac:dyDescent="0.25">
      <c r="A139" s="19" t="s">
        <v>275</v>
      </c>
      <c r="B139" s="19" t="s">
        <v>255</v>
      </c>
      <c r="C139" s="19">
        <v>46015</v>
      </c>
      <c r="D139" s="19">
        <v>0</v>
      </c>
      <c r="E139" s="19" t="s">
        <v>105</v>
      </c>
      <c r="F139" s="19" t="s">
        <v>106</v>
      </c>
      <c r="G139" s="19" t="s">
        <v>32</v>
      </c>
      <c r="H139" s="19" t="s">
        <v>101</v>
      </c>
      <c r="I139" s="19" t="s">
        <v>102</v>
      </c>
      <c r="J139" s="19">
        <v>38</v>
      </c>
      <c r="K139" s="19">
        <v>4.3299999999999998E-2</v>
      </c>
      <c r="L139" s="19" t="s">
        <v>35</v>
      </c>
      <c r="M139" s="19" t="s">
        <v>103</v>
      </c>
      <c r="N139" s="19">
        <v>0</v>
      </c>
      <c r="O139" s="19">
        <v>0</v>
      </c>
      <c r="P139" s="19">
        <v>0</v>
      </c>
      <c r="Q139" s="19">
        <v>0</v>
      </c>
      <c r="S139" s="19">
        <v>1</v>
      </c>
      <c r="T139" s="19">
        <v>1</v>
      </c>
      <c r="U139" s="19">
        <v>0</v>
      </c>
      <c r="V139" s="19" t="s">
        <v>80</v>
      </c>
      <c r="W139" s="19">
        <v>0</v>
      </c>
      <c r="Y139" s="19" t="s">
        <v>103</v>
      </c>
      <c r="Z139" s="19">
        <v>50</v>
      </c>
      <c r="AA139" s="19">
        <v>0</v>
      </c>
    </row>
    <row r="140" spans="1:27" x14ac:dyDescent="0.25">
      <c r="A140" s="19" t="s">
        <v>276</v>
      </c>
      <c r="B140" s="19" t="s">
        <v>255</v>
      </c>
      <c r="C140" s="19">
        <v>46015</v>
      </c>
      <c r="D140" s="19">
        <v>0</v>
      </c>
      <c r="E140" s="19" t="s">
        <v>108</v>
      </c>
      <c r="F140" s="19" t="s">
        <v>109</v>
      </c>
      <c r="G140" s="19" t="s">
        <v>32</v>
      </c>
      <c r="H140" s="19" t="s">
        <v>101</v>
      </c>
      <c r="I140" s="19" t="s">
        <v>102</v>
      </c>
      <c r="J140" s="19">
        <v>37</v>
      </c>
      <c r="K140" s="19">
        <v>4.3299999999999998E-2</v>
      </c>
      <c r="L140" s="19" t="s">
        <v>35</v>
      </c>
      <c r="M140" s="19" t="s">
        <v>110</v>
      </c>
      <c r="N140" s="19">
        <v>0</v>
      </c>
      <c r="O140" s="19">
        <v>0</v>
      </c>
      <c r="P140" s="19">
        <v>0</v>
      </c>
      <c r="Q140" s="19">
        <v>0</v>
      </c>
      <c r="S140" s="19">
        <v>1</v>
      </c>
      <c r="T140" s="19">
        <v>1</v>
      </c>
      <c r="U140" s="19">
        <v>0</v>
      </c>
      <c r="V140" s="19" t="s">
        <v>80</v>
      </c>
      <c r="W140" s="19">
        <v>0</v>
      </c>
      <c r="Y140" s="19" t="s">
        <v>110</v>
      </c>
      <c r="Z140" s="19">
        <v>16.664999999999999</v>
      </c>
      <c r="AA140" s="19">
        <v>0</v>
      </c>
    </row>
    <row r="141" spans="1:27" x14ac:dyDescent="0.25">
      <c r="A141" s="19" t="s">
        <v>277</v>
      </c>
      <c r="B141" s="19" t="s">
        <v>255</v>
      </c>
      <c r="C141" s="19">
        <v>46015</v>
      </c>
      <c r="D141" s="19">
        <v>0</v>
      </c>
      <c r="E141" s="19" t="s">
        <v>112</v>
      </c>
      <c r="F141" s="19" t="s">
        <v>113</v>
      </c>
      <c r="G141" s="19" t="s">
        <v>32</v>
      </c>
      <c r="H141" s="19" t="s">
        <v>114</v>
      </c>
      <c r="I141" s="19" t="s">
        <v>115</v>
      </c>
      <c r="J141" s="19">
        <v>30</v>
      </c>
      <c r="K141" s="19">
        <v>2.1700000000000001E-2</v>
      </c>
      <c r="L141" s="19" t="s">
        <v>35</v>
      </c>
      <c r="M141" s="19" t="s">
        <v>103</v>
      </c>
      <c r="N141" s="19">
        <v>0</v>
      </c>
      <c r="O141" s="19">
        <v>0</v>
      </c>
      <c r="P141" s="19">
        <v>0</v>
      </c>
      <c r="Q141" s="19">
        <v>0</v>
      </c>
      <c r="S141" s="19">
        <v>1</v>
      </c>
      <c r="T141" s="19">
        <v>1</v>
      </c>
      <c r="U141" s="19">
        <v>0</v>
      </c>
      <c r="V141" s="19" t="s">
        <v>36</v>
      </c>
      <c r="W141" s="19">
        <v>0</v>
      </c>
      <c r="Y141" s="19" t="s">
        <v>103</v>
      </c>
      <c r="Z141" s="19">
        <v>50</v>
      </c>
      <c r="AA141" s="19">
        <v>0</v>
      </c>
    </row>
    <row r="142" spans="1:27" x14ac:dyDescent="0.25">
      <c r="A142" s="19" t="s">
        <v>278</v>
      </c>
      <c r="B142" s="19" t="s">
        <v>255</v>
      </c>
      <c r="C142" s="19">
        <v>46015</v>
      </c>
      <c r="D142" s="19">
        <v>1.085</v>
      </c>
      <c r="E142" s="19" t="s">
        <v>117</v>
      </c>
      <c r="F142" s="19" t="s">
        <v>118</v>
      </c>
      <c r="G142" s="19" t="s">
        <v>32</v>
      </c>
      <c r="H142" s="19" t="s">
        <v>114</v>
      </c>
      <c r="I142" s="19" t="s">
        <v>115</v>
      </c>
      <c r="J142" s="19">
        <v>31</v>
      </c>
      <c r="K142" s="19">
        <v>2.1700000000000001E-2</v>
      </c>
      <c r="L142" s="19" t="s">
        <v>35</v>
      </c>
      <c r="M142" s="19" t="s">
        <v>103</v>
      </c>
      <c r="N142" s="19">
        <v>50</v>
      </c>
      <c r="O142" s="19">
        <v>50</v>
      </c>
      <c r="P142" s="19">
        <v>0</v>
      </c>
      <c r="Q142" s="19">
        <v>0</v>
      </c>
      <c r="S142" s="19">
        <v>1</v>
      </c>
      <c r="T142" s="19">
        <v>1</v>
      </c>
      <c r="U142" s="19">
        <v>0</v>
      </c>
      <c r="V142" s="19" t="s">
        <v>41</v>
      </c>
      <c r="W142" s="19">
        <v>1</v>
      </c>
      <c r="Y142" s="19" t="s">
        <v>103</v>
      </c>
      <c r="Z142" s="19">
        <v>50</v>
      </c>
      <c r="AA142" s="19">
        <v>50</v>
      </c>
    </row>
    <row r="143" spans="1:27" x14ac:dyDescent="0.25">
      <c r="A143" s="19" t="s">
        <v>279</v>
      </c>
      <c r="B143" s="19" t="s">
        <v>255</v>
      </c>
      <c r="C143" s="19">
        <v>46015</v>
      </c>
      <c r="D143" s="19">
        <v>0</v>
      </c>
      <c r="E143" s="19" t="s">
        <v>120</v>
      </c>
      <c r="F143" s="19" t="s">
        <v>121</v>
      </c>
      <c r="G143" s="19" t="s">
        <v>32</v>
      </c>
      <c r="H143" s="19" t="s">
        <v>114</v>
      </c>
      <c r="I143" s="19" t="s">
        <v>115</v>
      </c>
      <c r="J143" s="19">
        <v>28</v>
      </c>
      <c r="K143" s="19">
        <v>2.1700000000000001E-2</v>
      </c>
      <c r="L143" s="19" t="s">
        <v>35</v>
      </c>
      <c r="M143" s="19" t="s">
        <v>103</v>
      </c>
      <c r="N143" s="19">
        <v>0</v>
      </c>
      <c r="O143" s="19">
        <v>0</v>
      </c>
      <c r="P143" s="19">
        <v>0</v>
      </c>
      <c r="Q143" s="19">
        <v>0</v>
      </c>
      <c r="S143" s="19">
        <v>1</v>
      </c>
      <c r="T143" s="19">
        <v>1</v>
      </c>
      <c r="U143" s="19">
        <v>0</v>
      </c>
      <c r="V143" s="19" t="s">
        <v>80</v>
      </c>
      <c r="W143" s="19">
        <v>0</v>
      </c>
      <c r="Y143" s="19" t="s">
        <v>103</v>
      </c>
      <c r="Z143" s="19">
        <v>50</v>
      </c>
      <c r="AA143" s="19">
        <v>0</v>
      </c>
    </row>
    <row r="144" spans="1:27" x14ac:dyDescent="0.25">
      <c r="A144" s="19" t="s">
        <v>280</v>
      </c>
      <c r="B144" s="19" t="s">
        <v>255</v>
      </c>
      <c r="C144" s="19">
        <v>46015</v>
      </c>
      <c r="D144" s="19">
        <v>0</v>
      </c>
      <c r="E144" s="19" t="s">
        <v>123</v>
      </c>
      <c r="F144" s="19" t="s">
        <v>124</v>
      </c>
      <c r="G144" s="19" t="s">
        <v>32</v>
      </c>
      <c r="H144" s="19" t="s">
        <v>114</v>
      </c>
      <c r="I144" s="19" t="s">
        <v>115</v>
      </c>
      <c r="J144" s="19">
        <v>27</v>
      </c>
      <c r="K144" s="19">
        <v>2.1700000000000001E-2</v>
      </c>
      <c r="L144" s="19" t="s">
        <v>35</v>
      </c>
      <c r="M144" s="19" t="s">
        <v>103</v>
      </c>
      <c r="N144" s="19">
        <v>0</v>
      </c>
      <c r="O144" s="19">
        <v>0</v>
      </c>
      <c r="P144" s="19">
        <v>0</v>
      </c>
      <c r="Q144" s="19">
        <v>0</v>
      </c>
      <c r="S144" s="19">
        <v>1</v>
      </c>
      <c r="T144" s="19">
        <v>1</v>
      </c>
      <c r="U144" s="19">
        <v>0</v>
      </c>
      <c r="V144" s="19" t="s">
        <v>36</v>
      </c>
      <c r="W144" s="19">
        <v>0</v>
      </c>
      <c r="Y144" s="19" t="s">
        <v>103</v>
      </c>
      <c r="Z144" s="19">
        <v>50</v>
      </c>
      <c r="AA144" s="19">
        <v>0</v>
      </c>
    </row>
    <row r="145" spans="1:27" x14ac:dyDescent="0.25">
      <c r="A145" s="19" t="s">
        <v>281</v>
      </c>
      <c r="B145" s="19" t="s">
        <v>255</v>
      </c>
      <c r="C145" s="19">
        <v>46015</v>
      </c>
      <c r="D145" s="19">
        <v>1.085</v>
      </c>
      <c r="E145" s="19" t="s">
        <v>126</v>
      </c>
      <c r="F145" s="19" t="s">
        <v>127</v>
      </c>
      <c r="G145" s="19" t="s">
        <v>32</v>
      </c>
      <c r="H145" s="19" t="s">
        <v>114</v>
      </c>
      <c r="I145" s="19" t="s">
        <v>115</v>
      </c>
      <c r="J145" s="19">
        <v>29</v>
      </c>
      <c r="K145" s="19">
        <v>2.1700000000000001E-2</v>
      </c>
      <c r="L145" s="19" t="s">
        <v>35</v>
      </c>
      <c r="M145" s="19" t="s">
        <v>103</v>
      </c>
      <c r="N145" s="19">
        <v>50</v>
      </c>
      <c r="O145" s="19">
        <v>50</v>
      </c>
      <c r="P145" s="19">
        <v>0</v>
      </c>
      <c r="Q145" s="19">
        <v>0</v>
      </c>
      <c r="S145" s="19">
        <v>1</v>
      </c>
      <c r="T145" s="19">
        <v>1</v>
      </c>
      <c r="U145" s="19">
        <v>0</v>
      </c>
      <c r="V145" s="19" t="s">
        <v>41</v>
      </c>
      <c r="W145" s="19">
        <v>1</v>
      </c>
      <c r="Y145" s="19" t="s">
        <v>103</v>
      </c>
      <c r="Z145" s="19">
        <v>50</v>
      </c>
      <c r="AA145" s="19">
        <v>50</v>
      </c>
    </row>
    <row r="146" spans="1:27" x14ac:dyDescent="0.25">
      <c r="A146" s="19" t="s">
        <v>282</v>
      </c>
      <c r="B146" s="19" t="s">
        <v>255</v>
      </c>
      <c r="C146" s="19">
        <v>46015</v>
      </c>
      <c r="D146" s="19">
        <v>1.085</v>
      </c>
      <c r="E146" s="19" t="s">
        <v>129</v>
      </c>
      <c r="F146" s="19" t="s">
        <v>130</v>
      </c>
      <c r="G146" s="19" t="s">
        <v>32</v>
      </c>
      <c r="H146" s="19" t="s">
        <v>114</v>
      </c>
      <c r="I146" s="19" t="s">
        <v>115</v>
      </c>
      <c r="J146" s="19">
        <v>32</v>
      </c>
      <c r="K146" s="19">
        <v>2.1700000000000001E-2</v>
      </c>
      <c r="L146" s="19" t="s">
        <v>35</v>
      </c>
      <c r="M146" s="19" t="s">
        <v>103</v>
      </c>
      <c r="N146" s="19">
        <v>50</v>
      </c>
      <c r="O146" s="19">
        <v>50</v>
      </c>
      <c r="P146" s="19">
        <v>0</v>
      </c>
      <c r="Q146" s="19">
        <v>0</v>
      </c>
      <c r="S146" s="19">
        <v>1</v>
      </c>
      <c r="T146" s="19">
        <v>1</v>
      </c>
      <c r="U146" s="19">
        <v>0</v>
      </c>
      <c r="V146" s="19" t="s">
        <v>41</v>
      </c>
      <c r="W146" s="19">
        <v>1</v>
      </c>
      <c r="Y146" s="19" t="s">
        <v>103</v>
      </c>
      <c r="Z146" s="19">
        <v>50</v>
      </c>
      <c r="AA146" s="19">
        <v>50</v>
      </c>
    </row>
    <row r="147" spans="1:27" x14ac:dyDescent="0.25">
      <c r="A147" s="19" t="s">
        <v>283</v>
      </c>
      <c r="B147" s="19" t="s">
        <v>255</v>
      </c>
      <c r="C147" s="19">
        <v>46015</v>
      </c>
      <c r="D147" s="19">
        <v>2.085</v>
      </c>
      <c r="E147" s="19" t="s">
        <v>132</v>
      </c>
      <c r="F147" s="19" t="s">
        <v>133</v>
      </c>
      <c r="G147" s="19" t="s">
        <v>134</v>
      </c>
      <c r="H147" s="19" t="s">
        <v>87</v>
      </c>
      <c r="I147" s="19" t="s">
        <v>135</v>
      </c>
      <c r="J147" s="19">
        <v>11</v>
      </c>
      <c r="K147" s="19">
        <v>4.1700000000000001E-2</v>
      </c>
      <c r="L147" s="19" t="s">
        <v>35</v>
      </c>
      <c r="M147" s="19" t="s">
        <v>103</v>
      </c>
      <c r="N147" s="19">
        <v>50</v>
      </c>
      <c r="O147" s="19">
        <v>50</v>
      </c>
      <c r="P147" s="19">
        <v>0</v>
      </c>
      <c r="Q147" s="19">
        <v>0</v>
      </c>
      <c r="S147" s="19">
        <v>1</v>
      </c>
      <c r="T147" s="19">
        <v>1</v>
      </c>
      <c r="U147" s="19">
        <v>0</v>
      </c>
      <c r="V147" s="19" t="s">
        <v>41</v>
      </c>
      <c r="W147" s="19">
        <v>1</v>
      </c>
      <c r="Y147" s="19" t="s">
        <v>103</v>
      </c>
      <c r="Z147" s="19">
        <v>50</v>
      </c>
      <c r="AA147" s="19">
        <v>50</v>
      </c>
    </row>
    <row r="148" spans="1:27" x14ac:dyDescent="0.25">
      <c r="A148" s="19" t="s">
        <v>284</v>
      </c>
      <c r="B148" s="19" t="s">
        <v>255</v>
      </c>
      <c r="C148" s="19">
        <v>46015</v>
      </c>
      <c r="D148" s="19">
        <v>0.463287</v>
      </c>
      <c r="E148" s="19" t="s">
        <v>137</v>
      </c>
      <c r="F148" s="19" t="s">
        <v>138</v>
      </c>
      <c r="G148" s="19" t="s">
        <v>134</v>
      </c>
      <c r="H148" s="19" t="s">
        <v>87</v>
      </c>
      <c r="I148" s="19" t="s">
        <v>135</v>
      </c>
      <c r="J148" s="19">
        <v>9</v>
      </c>
      <c r="K148" s="19">
        <v>4.1700000000000001E-2</v>
      </c>
      <c r="L148" s="19" t="s">
        <v>35</v>
      </c>
      <c r="M148" s="19" t="s">
        <v>40</v>
      </c>
      <c r="N148" s="19">
        <v>11.11</v>
      </c>
      <c r="O148" s="19">
        <v>11.11</v>
      </c>
      <c r="P148" s="19">
        <v>0</v>
      </c>
      <c r="Q148" s="19">
        <v>0</v>
      </c>
      <c r="S148" s="19">
        <v>1</v>
      </c>
      <c r="T148" s="19">
        <v>1</v>
      </c>
      <c r="U148" s="19">
        <v>0</v>
      </c>
      <c r="W148" s="19">
        <v>0</v>
      </c>
      <c r="X148" s="19">
        <v>1</v>
      </c>
      <c r="Y148" s="19" t="s">
        <v>40</v>
      </c>
      <c r="Z148" s="19">
        <v>33.33</v>
      </c>
      <c r="AA148" s="19">
        <v>11.11</v>
      </c>
    </row>
    <row r="149" spans="1:27" x14ac:dyDescent="0.25">
      <c r="A149" s="19" t="s">
        <v>285</v>
      </c>
      <c r="B149" s="19" t="s">
        <v>255</v>
      </c>
      <c r="C149" s="19">
        <v>46015</v>
      </c>
      <c r="D149" s="19">
        <v>0</v>
      </c>
      <c r="E149" s="19" t="s">
        <v>140</v>
      </c>
      <c r="F149" s="19" t="s">
        <v>141</v>
      </c>
      <c r="G149" s="19" t="s">
        <v>134</v>
      </c>
      <c r="H149" s="19" t="s">
        <v>87</v>
      </c>
      <c r="I149" s="19" t="s">
        <v>135</v>
      </c>
      <c r="J149" s="19">
        <v>10</v>
      </c>
      <c r="K149" s="19">
        <v>4.1700000000000001E-2</v>
      </c>
      <c r="L149" s="19" t="s">
        <v>35</v>
      </c>
      <c r="N149" s="19">
        <v>0</v>
      </c>
      <c r="O149" s="19">
        <v>0</v>
      </c>
      <c r="P149" s="19">
        <v>0</v>
      </c>
      <c r="Q149" s="19">
        <v>0</v>
      </c>
      <c r="S149" s="19">
        <v>1</v>
      </c>
      <c r="T149" s="19">
        <v>1</v>
      </c>
      <c r="U149" s="19">
        <v>0</v>
      </c>
      <c r="W149" s="19">
        <v>0</v>
      </c>
      <c r="X149" s="19">
        <v>0</v>
      </c>
      <c r="Z149" s="19">
        <v>0</v>
      </c>
      <c r="AA149" s="19">
        <v>0</v>
      </c>
    </row>
    <row r="150" spans="1:27" x14ac:dyDescent="0.25">
      <c r="A150" s="19" t="s">
        <v>286</v>
      </c>
      <c r="B150" s="19" t="s">
        <v>255</v>
      </c>
      <c r="C150" s="19">
        <v>46015</v>
      </c>
      <c r="D150" s="19">
        <v>1.25</v>
      </c>
      <c r="E150" s="19" t="s">
        <v>144</v>
      </c>
      <c r="F150" s="19" t="s">
        <v>145</v>
      </c>
      <c r="G150" s="19" t="s">
        <v>134</v>
      </c>
      <c r="H150" s="19" t="s">
        <v>146</v>
      </c>
      <c r="I150" s="19" t="s">
        <v>147</v>
      </c>
      <c r="J150" s="19">
        <v>4</v>
      </c>
      <c r="K150" s="19">
        <v>2.5000000000000001E-2</v>
      </c>
      <c r="L150" s="19" t="s">
        <v>35</v>
      </c>
      <c r="M150" s="19" t="s">
        <v>103</v>
      </c>
      <c r="N150" s="19">
        <v>50</v>
      </c>
      <c r="O150" s="19">
        <v>50</v>
      </c>
      <c r="P150" s="19">
        <v>0</v>
      </c>
      <c r="Q150" s="19">
        <v>0</v>
      </c>
      <c r="S150" s="19">
        <v>1</v>
      </c>
      <c r="T150" s="19">
        <v>1</v>
      </c>
      <c r="U150" s="19">
        <v>0</v>
      </c>
      <c r="V150" s="19" t="s">
        <v>41</v>
      </c>
      <c r="W150" s="19">
        <v>1</v>
      </c>
      <c r="Y150" s="19" t="s">
        <v>103</v>
      </c>
      <c r="Z150" s="19">
        <v>50</v>
      </c>
      <c r="AA150" s="19">
        <v>50</v>
      </c>
    </row>
    <row r="151" spans="1:27" x14ac:dyDescent="0.25">
      <c r="A151" s="19" t="s">
        <v>287</v>
      </c>
      <c r="B151" s="19" t="s">
        <v>255</v>
      </c>
      <c r="C151" s="19">
        <v>46015</v>
      </c>
      <c r="D151" s="19">
        <v>1.25</v>
      </c>
      <c r="E151" s="19" t="s">
        <v>149</v>
      </c>
      <c r="F151" s="19" t="s">
        <v>150</v>
      </c>
      <c r="G151" s="19" t="s">
        <v>134</v>
      </c>
      <c r="H151" s="19" t="s">
        <v>146</v>
      </c>
      <c r="I151" s="19" t="s">
        <v>147</v>
      </c>
      <c r="J151" s="19">
        <v>5</v>
      </c>
      <c r="K151" s="19">
        <v>2.5000000000000001E-2</v>
      </c>
      <c r="L151" s="19" t="s">
        <v>35</v>
      </c>
      <c r="M151" s="19" t="s">
        <v>103</v>
      </c>
      <c r="N151" s="19">
        <v>50</v>
      </c>
      <c r="O151" s="19">
        <v>50</v>
      </c>
      <c r="P151" s="19">
        <v>0</v>
      </c>
      <c r="Q151" s="19">
        <v>0</v>
      </c>
      <c r="S151" s="19">
        <v>1</v>
      </c>
      <c r="T151" s="19">
        <v>1</v>
      </c>
      <c r="U151" s="19">
        <v>0</v>
      </c>
      <c r="V151" s="19" t="s">
        <v>41</v>
      </c>
      <c r="W151" s="19">
        <v>1</v>
      </c>
      <c r="Y151" s="19" t="s">
        <v>103</v>
      </c>
      <c r="Z151" s="19">
        <v>50</v>
      </c>
      <c r="AA151" s="19">
        <v>50</v>
      </c>
    </row>
    <row r="152" spans="1:27" x14ac:dyDescent="0.25">
      <c r="A152" s="19" t="s">
        <v>288</v>
      </c>
      <c r="B152" s="19" t="s">
        <v>255</v>
      </c>
      <c r="C152" s="19">
        <v>46015</v>
      </c>
      <c r="D152" s="19">
        <v>1.25</v>
      </c>
      <c r="E152" s="19" t="s">
        <v>152</v>
      </c>
      <c r="F152" s="19" t="s">
        <v>153</v>
      </c>
      <c r="G152" s="19" t="s">
        <v>134</v>
      </c>
      <c r="H152" s="19" t="s">
        <v>146</v>
      </c>
      <c r="I152" s="19" t="s">
        <v>147</v>
      </c>
      <c r="J152" s="19">
        <v>6</v>
      </c>
      <c r="K152" s="19">
        <v>2.5000000000000001E-2</v>
      </c>
      <c r="L152" s="19" t="s">
        <v>35</v>
      </c>
      <c r="M152" s="19" t="s">
        <v>103</v>
      </c>
      <c r="N152" s="19">
        <v>50</v>
      </c>
      <c r="O152" s="19">
        <v>50</v>
      </c>
      <c r="P152" s="19">
        <v>0</v>
      </c>
      <c r="Q152" s="19">
        <v>0</v>
      </c>
      <c r="S152" s="19">
        <v>1</v>
      </c>
      <c r="T152" s="19">
        <v>1</v>
      </c>
      <c r="U152" s="19">
        <v>0</v>
      </c>
      <c r="V152" s="19" t="s">
        <v>41</v>
      </c>
      <c r="W152" s="19">
        <v>1</v>
      </c>
      <c r="Y152" s="19" t="s">
        <v>103</v>
      </c>
      <c r="Z152" s="19">
        <v>50</v>
      </c>
      <c r="AA152" s="19">
        <v>50</v>
      </c>
    </row>
    <row r="153" spans="1:27" x14ac:dyDescent="0.25">
      <c r="A153" s="19" t="s">
        <v>289</v>
      </c>
      <c r="B153" s="19" t="s">
        <v>255</v>
      </c>
      <c r="C153" s="19">
        <v>46015</v>
      </c>
      <c r="D153" s="19">
        <v>1.25</v>
      </c>
      <c r="E153" s="19" t="s">
        <v>155</v>
      </c>
      <c r="F153" s="19" t="s">
        <v>156</v>
      </c>
      <c r="G153" s="19" t="s">
        <v>134</v>
      </c>
      <c r="H153" s="19" t="s">
        <v>146</v>
      </c>
      <c r="I153" s="19" t="s">
        <v>147</v>
      </c>
      <c r="J153" s="19">
        <v>7</v>
      </c>
      <c r="K153" s="19">
        <v>2.5000000000000001E-2</v>
      </c>
      <c r="L153" s="19" t="s">
        <v>35</v>
      </c>
      <c r="M153" s="19" t="s">
        <v>103</v>
      </c>
      <c r="N153" s="19">
        <v>50</v>
      </c>
      <c r="O153" s="19">
        <v>50</v>
      </c>
      <c r="P153" s="19">
        <v>0</v>
      </c>
      <c r="Q153" s="19">
        <v>0</v>
      </c>
      <c r="S153" s="19">
        <v>1</v>
      </c>
      <c r="T153" s="19">
        <v>1</v>
      </c>
      <c r="U153" s="19">
        <v>0</v>
      </c>
      <c r="V153" s="19" t="s">
        <v>41</v>
      </c>
      <c r="W153" s="19">
        <v>1</v>
      </c>
      <c r="Y153" s="19" t="s">
        <v>103</v>
      </c>
      <c r="Z153" s="19">
        <v>50</v>
      </c>
      <c r="AA153" s="19">
        <v>50</v>
      </c>
    </row>
    <row r="154" spans="1:27" x14ac:dyDescent="0.25">
      <c r="A154" s="19" t="s">
        <v>290</v>
      </c>
      <c r="B154" s="19" t="s">
        <v>255</v>
      </c>
      <c r="C154" s="19">
        <v>46015</v>
      </c>
      <c r="D154" s="19">
        <v>1.25</v>
      </c>
      <c r="E154" s="19" t="s">
        <v>158</v>
      </c>
      <c r="F154" s="19" t="s">
        <v>159</v>
      </c>
      <c r="G154" s="19" t="s">
        <v>134</v>
      </c>
      <c r="H154" s="19" t="s">
        <v>146</v>
      </c>
      <c r="I154" s="19" t="s">
        <v>147</v>
      </c>
      <c r="J154" s="19">
        <v>8</v>
      </c>
      <c r="K154" s="19">
        <v>2.5000000000000001E-2</v>
      </c>
      <c r="L154" s="19" t="s">
        <v>35</v>
      </c>
      <c r="M154" s="19" t="s">
        <v>103</v>
      </c>
      <c r="N154" s="19">
        <v>50</v>
      </c>
      <c r="O154" s="19">
        <v>50</v>
      </c>
      <c r="P154" s="19">
        <v>0</v>
      </c>
      <c r="Q154" s="19">
        <v>0</v>
      </c>
      <c r="S154" s="19">
        <v>1</v>
      </c>
      <c r="T154" s="19">
        <v>1</v>
      </c>
      <c r="U154" s="19">
        <v>0</v>
      </c>
      <c r="V154" s="19" t="s">
        <v>41</v>
      </c>
      <c r="W154" s="19">
        <v>1</v>
      </c>
      <c r="Y154" s="19" t="s">
        <v>103</v>
      </c>
      <c r="Z154" s="19">
        <v>50</v>
      </c>
      <c r="AA154" s="19">
        <v>50</v>
      </c>
    </row>
    <row r="155" spans="1:27" x14ac:dyDescent="0.25">
      <c r="A155" s="19" t="s">
        <v>291</v>
      </c>
      <c r="B155" s="19" t="s">
        <v>255</v>
      </c>
      <c r="C155" s="19">
        <v>46015</v>
      </c>
      <c r="D155" s="19">
        <v>1.1098889999999999</v>
      </c>
      <c r="E155" s="19" t="s">
        <v>161</v>
      </c>
      <c r="F155" s="19" t="s">
        <v>162</v>
      </c>
      <c r="G155" s="19" t="s">
        <v>163</v>
      </c>
      <c r="I155" s="19" t="s">
        <v>164</v>
      </c>
      <c r="J155" s="19">
        <v>1</v>
      </c>
      <c r="K155" s="19">
        <v>3.3300000000000003E-2</v>
      </c>
      <c r="L155" s="19" t="s">
        <v>35</v>
      </c>
      <c r="M155" s="19" t="s">
        <v>165</v>
      </c>
      <c r="N155" s="19">
        <v>33.33</v>
      </c>
      <c r="O155" s="19">
        <v>33.33</v>
      </c>
      <c r="P155" s="19">
        <v>0</v>
      </c>
      <c r="Q155" s="19">
        <v>0</v>
      </c>
      <c r="S155" s="19">
        <v>1</v>
      </c>
      <c r="T155" s="19">
        <v>1</v>
      </c>
      <c r="U155" s="19">
        <v>0</v>
      </c>
      <c r="W155" s="19">
        <v>0</v>
      </c>
      <c r="X155" s="19">
        <v>33.33</v>
      </c>
      <c r="Z155" s="19">
        <v>0</v>
      </c>
      <c r="AA155" s="19">
        <v>33.33</v>
      </c>
    </row>
    <row r="156" spans="1:27" x14ac:dyDescent="0.25">
      <c r="A156" s="19" t="s">
        <v>292</v>
      </c>
      <c r="B156" s="19" t="s">
        <v>255</v>
      </c>
      <c r="C156" s="19">
        <v>46015</v>
      </c>
      <c r="D156" s="19">
        <v>1.1098889999999999</v>
      </c>
      <c r="E156" s="19" t="s">
        <v>167</v>
      </c>
      <c r="F156" s="19" t="s">
        <v>168</v>
      </c>
      <c r="G156" s="19" t="s">
        <v>163</v>
      </c>
      <c r="I156" s="19" t="s">
        <v>164</v>
      </c>
      <c r="J156" s="19">
        <v>3</v>
      </c>
      <c r="K156" s="19">
        <v>3.3300000000000003E-2</v>
      </c>
      <c r="L156" s="19" t="s">
        <v>35</v>
      </c>
      <c r="M156" s="19" t="s">
        <v>165</v>
      </c>
      <c r="N156" s="19">
        <v>33.33</v>
      </c>
      <c r="O156" s="19">
        <v>33.33</v>
      </c>
      <c r="P156" s="19">
        <v>0</v>
      </c>
      <c r="Q156" s="19">
        <v>0</v>
      </c>
      <c r="S156" s="19">
        <v>1</v>
      </c>
      <c r="T156" s="19">
        <v>1</v>
      </c>
      <c r="U156" s="19">
        <v>0</v>
      </c>
      <c r="W156" s="19">
        <v>0</v>
      </c>
      <c r="X156" s="19">
        <v>33.33</v>
      </c>
      <c r="Z156" s="19">
        <v>0</v>
      </c>
      <c r="AA156" s="19">
        <v>33.33</v>
      </c>
    </row>
    <row r="157" spans="1:27" x14ac:dyDescent="0.25">
      <c r="A157" s="19" t="s">
        <v>293</v>
      </c>
      <c r="B157" s="19" t="s">
        <v>255</v>
      </c>
      <c r="C157" s="19">
        <v>46015</v>
      </c>
      <c r="D157" s="19">
        <v>0</v>
      </c>
      <c r="E157" s="19" t="s">
        <v>170</v>
      </c>
      <c r="F157" s="19" t="s">
        <v>171</v>
      </c>
      <c r="G157" s="19" t="s">
        <v>163</v>
      </c>
      <c r="I157" s="19" t="s">
        <v>164</v>
      </c>
      <c r="J157" s="19">
        <v>2</v>
      </c>
      <c r="K157" s="19">
        <v>3.3300000000000003E-2</v>
      </c>
      <c r="L157" s="19" t="s">
        <v>35</v>
      </c>
      <c r="M157" s="19" t="s">
        <v>165</v>
      </c>
      <c r="N157" s="19">
        <v>0</v>
      </c>
      <c r="O157" s="19">
        <v>0</v>
      </c>
      <c r="P157" s="19">
        <v>0</v>
      </c>
      <c r="Q157" s="19">
        <v>0</v>
      </c>
      <c r="S157" s="19">
        <v>1</v>
      </c>
      <c r="T157" s="19">
        <v>1</v>
      </c>
      <c r="U157" s="19">
        <v>0</v>
      </c>
      <c r="W157" s="19">
        <v>0</v>
      </c>
      <c r="X157" s="19">
        <v>0</v>
      </c>
      <c r="Z157" s="19">
        <v>0</v>
      </c>
      <c r="AA157" s="19">
        <v>0</v>
      </c>
    </row>
    <row r="158" spans="1:27" x14ac:dyDescent="0.25">
      <c r="A158" s="19" t="s">
        <v>294</v>
      </c>
      <c r="B158" s="19" t="s">
        <v>295</v>
      </c>
      <c r="C158" s="19">
        <v>42004</v>
      </c>
      <c r="D158" s="19">
        <v>0</v>
      </c>
      <c r="E158" s="19" t="s">
        <v>30</v>
      </c>
      <c r="F158" s="19" t="s">
        <v>31</v>
      </c>
      <c r="G158" s="19" t="s">
        <v>32</v>
      </c>
      <c r="H158" s="19" t="s">
        <v>33</v>
      </c>
      <c r="I158" s="19" t="s">
        <v>34</v>
      </c>
      <c r="J158" s="19">
        <v>17</v>
      </c>
      <c r="K158" s="19">
        <v>1.6299999999999999E-2</v>
      </c>
      <c r="L158" s="19" t="s">
        <v>35</v>
      </c>
      <c r="M158" s="19" t="s">
        <v>142</v>
      </c>
      <c r="N158" s="19">
        <v>0</v>
      </c>
      <c r="O158" s="19">
        <v>0</v>
      </c>
      <c r="P158" s="19">
        <v>0</v>
      </c>
      <c r="Q158" s="19">
        <v>0</v>
      </c>
      <c r="S158" s="19">
        <v>1</v>
      </c>
      <c r="T158" s="19">
        <v>1</v>
      </c>
      <c r="U158" s="19">
        <v>0</v>
      </c>
      <c r="V158" s="19" t="s">
        <v>80</v>
      </c>
      <c r="W158" s="19">
        <v>0</v>
      </c>
      <c r="Y158" s="19" t="s">
        <v>142</v>
      </c>
      <c r="Z158" s="19">
        <v>50</v>
      </c>
      <c r="AA158" s="19">
        <v>0</v>
      </c>
    </row>
    <row r="159" spans="1:27" x14ac:dyDescent="0.25">
      <c r="A159" s="19" t="s">
        <v>296</v>
      </c>
      <c r="B159" s="19" t="s">
        <v>295</v>
      </c>
      <c r="C159" s="19">
        <v>42004</v>
      </c>
      <c r="D159" s="19">
        <v>0.54327899999999996</v>
      </c>
      <c r="E159" s="19" t="s">
        <v>38</v>
      </c>
      <c r="F159" s="19" t="s">
        <v>39</v>
      </c>
      <c r="G159" s="19" t="s">
        <v>32</v>
      </c>
      <c r="H159" s="19" t="s">
        <v>33</v>
      </c>
      <c r="I159" s="19" t="s">
        <v>34</v>
      </c>
      <c r="J159" s="19">
        <v>19</v>
      </c>
      <c r="K159" s="19">
        <v>1.6299999999999999E-2</v>
      </c>
      <c r="L159" s="19" t="s">
        <v>35</v>
      </c>
      <c r="M159" s="19" t="s">
        <v>40</v>
      </c>
      <c r="N159" s="19">
        <v>33.33</v>
      </c>
      <c r="O159" s="19">
        <v>33.33</v>
      </c>
      <c r="P159" s="19">
        <v>0</v>
      </c>
      <c r="Q159" s="19">
        <v>0</v>
      </c>
      <c r="S159" s="19">
        <v>1</v>
      </c>
      <c r="T159" s="19">
        <v>1</v>
      </c>
      <c r="U159" s="19">
        <v>0</v>
      </c>
      <c r="V159" s="19" t="s">
        <v>41</v>
      </c>
      <c r="W159" s="19">
        <v>1</v>
      </c>
      <c r="Y159" s="19" t="s">
        <v>40</v>
      </c>
      <c r="Z159" s="19">
        <v>33.33</v>
      </c>
      <c r="AA159" s="19">
        <v>33.33</v>
      </c>
    </row>
    <row r="160" spans="1:27" x14ac:dyDescent="0.25">
      <c r="A160" s="19" t="s">
        <v>297</v>
      </c>
      <c r="B160" s="19" t="s">
        <v>295</v>
      </c>
      <c r="C160" s="19">
        <v>42004</v>
      </c>
      <c r="D160" s="19">
        <v>0</v>
      </c>
      <c r="E160" s="19" t="s">
        <v>43</v>
      </c>
      <c r="F160" s="19" t="s">
        <v>44</v>
      </c>
      <c r="G160" s="19" t="s">
        <v>32</v>
      </c>
      <c r="H160" s="19" t="s">
        <v>33</v>
      </c>
      <c r="I160" s="19" t="s">
        <v>34</v>
      </c>
      <c r="J160" s="19">
        <v>18</v>
      </c>
      <c r="K160" s="19">
        <v>1.6299999999999999E-2</v>
      </c>
      <c r="L160" s="19" t="s">
        <v>35</v>
      </c>
      <c r="M160" s="19" t="s">
        <v>40</v>
      </c>
      <c r="N160" s="19">
        <v>0</v>
      </c>
      <c r="O160" s="19">
        <v>0</v>
      </c>
      <c r="P160" s="19">
        <v>0</v>
      </c>
      <c r="Q160" s="19">
        <v>0</v>
      </c>
      <c r="S160" s="19">
        <v>1</v>
      </c>
      <c r="T160" s="19">
        <v>1</v>
      </c>
      <c r="U160" s="19">
        <v>0</v>
      </c>
      <c r="V160" s="19" t="s">
        <v>80</v>
      </c>
      <c r="W160" s="19">
        <v>0</v>
      </c>
      <c r="Y160" s="19" t="s">
        <v>40</v>
      </c>
      <c r="Z160" s="19">
        <v>33.33</v>
      </c>
      <c r="AA160" s="19">
        <v>0</v>
      </c>
    </row>
    <row r="161" spans="1:27" x14ac:dyDescent="0.25">
      <c r="A161" s="19" t="s">
        <v>298</v>
      </c>
      <c r="B161" s="19" t="s">
        <v>295</v>
      </c>
      <c r="C161" s="19">
        <v>42004</v>
      </c>
      <c r="D161" s="19">
        <v>0.54327899999999996</v>
      </c>
      <c r="E161" s="19" t="s">
        <v>46</v>
      </c>
      <c r="F161" s="19" t="s">
        <v>47</v>
      </c>
      <c r="G161" s="19" t="s">
        <v>32</v>
      </c>
      <c r="H161" s="19" t="s">
        <v>33</v>
      </c>
      <c r="I161" s="19" t="s">
        <v>34</v>
      </c>
      <c r="J161" s="19">
        <v>15</v>
      </c>
      <c r="K161" s="19">
        <v>1.6299999999999999E-2</v>
      </c>
      <c r="L161" s="19" t="s">
        <v>35</v>
      </c>
      <c r="M161" s="19" t="s">
        <v>40</v>
      </c>
      <c r="N161" s="19">
        <v>33.33</v>
      </c>
      <c r="O161" s="19">
        <v>33.33</v>
      </c>
      <c r="P161" s="19">
        <v>0</v>
      </c>
      <c r="Q161" s="19">
        <v>0</v>
      </c>
      <c r="S161" s="19">
        <v>1</v>
      </c>
      <c r="T161" s="19">
        <v>1</v>
      </c>
      <c r="U161" s="19">
        <v>0</v>
      </c>
      <c r="V161" s="19" t="s">
        <v>41</v>
      </c>
      <c r="W161" s="19">
        <v>1</v>
      </c>
      <c r="Y161" s="19" t="s">
        <v>40</v>
      </c>
      <c r="Z161" s="19">
        <v>33.33</v>
      </c>
      <c r="AA161" s="19">
        <v>33.33</v>
      </c>
    </row>
    <row r="162" spans="1:27" x14ac:dyDescent="0.25">
      <c r="A162" s="19" t="s">
        <v>299</v>
      </c>
      <c r="B162" s="19" t="s">
        <v>295</v>
      </c>
      <c r="C162" s="19">
        <v>42004</v>
      </c>
      <c r="D162" s="19">
        <v>0.54327899999999996</v>
      </c>
      <c r="E162" s="19" t="s">
        <v>49</v>
      </c>
      <c r="F162" s="19" t="s">
        <v>50</v>
      </c>
      <c r="G162" s="19" t="s">
        <v>32</v>
      </c>
      <c r="H162" s="19" t="s">
        <v>33</v>
      </c>
      <c r="I162" s="19" t="s">
        <v>34</v>
      </c>
      <c r="J162" s="19">
        <v>12</v>
      </c>
      <c r="K162" s="19">
        <v>1.6299999999999999E-2</v>
      </c>
      <c r="L162" s="19" t="s">
        <v>35</v>
      </c>
      <c r="M162" s="19" t="s">
        <v>40</v>
      </c>
      <c r="N162" s="19">
        <v>33.33</v>
      </c>
      <c r="O162" s="19">
        <v>33.33</v>
      </c>
      <c r="P162" s="19">
        <v>0</v>
      </c>
      <c r="Q162" s="19">
        <v>0</v>
      </c>
      <c r="S162" s="19">
        <v>1</v>
      </c>
      <c r="T162" s="19">
        <v>1</v>
      </c>
      <c r="U162" s="19">
        <v>0</v>
      </c>
      <c r="V162" s="19" t="s">
        <v>41</v>
      </c>
      <c r="W162" s="19">
        <v>1</v>
      </c>
      <c r="Y162" s="19" t="s">
        <v>40</v>
      </c>
      <c r="Z162" s="19">
        <v>33.33</v>
      </c>
      <c r="AA162" s="19">
        <v>33.33</v>
      </c>
    </row>
    <row r="163" spans="1:27" x14ac:dyDescent="0.25">
      <c r="A163" s="19" t="s">
        <v>300</v>
      </c>
      <c r="B163" s="19" t="s">
        <v>295</v>
      </c>
      <c r="C163" s="19">
        <v>42004</v>
      </c>
      <c r="D163" s="19">
        <v>0</v>
      </c>
      <c r="E163" s="19" t="s">
        <v>52</v>
      </c>
      <c r="F163" s="19" t="s">
        <v>53</v>
      </c>
      <c r="G163" s="19" t="s">
        <v>32</v>
      </c>
      <c r="H163" s="19" t="s">
        <v>33</v>
      </c>
      <c r="I163" s="19" t="s">
        <v>34</v>
      </c>
      <c r="J163" s="19">
        <v>16</v>
      </c>
      <c r="K163" s="19">
        <v>1.6299999999999999E-2</v>
      </c>
      <c r="L163" s="19" t="s">
        <v>35</v>
      </c>
      <c r="M163" s="19" t="s">
        <v>142</v>
      </c>
      <c r="N163" s="19">
        <v>0</v>
      </c>
      <c r="O163" s="19">
        <v>0</v>
      </c>
      <c r="P163" s="19">
        <v>0</v>
      </c>
      <c r="Q163" s="19">
        <v>0</v>
      </c>
      <c r="S163" s="19">
        <v>1</v>
      </c>
      <c r="T163" s="19">
        <v>1</v>
      </c>
      <c r="U163" s="19">
        <v>0</v>
      </c>
      <c r="V163" s="19" t="s">
        <v>80</v>
      </c>
      <c r="W163" s="19">
        <v>0</v>
      </c>
      <c r="Y163" s="19" t="s">
        <v>142</v>
      </c>
      <c r="Z163" s="19">
        <v>50</v>
      </c>
      <c r="AA163" s="19">
        <v>0</v>
      </c>
    </row>
    <row r="164" spans="1:27" x14ac:dyDescent="0.25">
      <c r="A164" s="19" t="s">
        <v>301</v>
      </c>
      <c r="B164" s="19" t="s">
        <v>295</v>
      </c>
      <c r="C164" s="19">
        <v>42004</v>
      </c>
      <c r="D164" s="19">
        <v>0.81499999999999995</v>
      </c>
      <c r="E164" s="19" t="s">
        <v>55</v>
      </c>
      <c r="F164" s="19" t="s">
        <v>56</v>
      </c>
      <c r="G164" s="19" t="s">
        <v>32</v>
      </c>
      <c r="H164" s="19" t="s">
        <v>33</v>
      </c>
      <c r="I164" s="19" t="s">
        <v>34</v>
      </c>
      <c r="J164" s="19">
        <v>14</v>
      </c>
      <c r="K164" s="19">
        <v>1.6299999999999999E-2</v>
      </c>
      <c r="L164" s="19" t="s">
        <v>35</v>
      </c>
      <c r="M164" s="19" t="s">
        <v>142</v>
      </c>
      <c r="N164" s="19">
        <v>50</v>
      </c>
      <c r="O164" s="19">
        <v>50</v>
      </c>
      <c r="P164" s="19">
        <v>0</v>
      </c>
      <c r="Q164" s="19">
        <v>0</v>
      </c>
      <c r="S164" s="19">
        <v>1</v>
      </c>
      <c r="T164" s="19">
        <v>1</v>
      </c>
      <c r="U164" s="19">
        <v>0</v>
      </c>
      <c r="V164" s="19" t="s">
        <v>41</v>
      </c>
      <c r="W164" s="19">
        <v>1</v>
      </c>
      <c r="Y164" s="19" t="s">
        <v>142</v>
      </c>
      <c r="Z164" s="19">
        <v>50</v>
      </c>
      <c r="AA164" s="19">
        <v>50</v>
      </c>
    </row>
    <row r="165" spans="1:27" x14ac:dyDescent="0.25">
      <c r="A165" s="19" t="s">
        <v>302</v>
      </c>
      <c r="B165" s="19" t="s">
        <v>295</v>
      </c>
      <c r="C165" s="19">
        <v>42004</v>
      </c>
      <c r="D165" s="19">
        <v>0.54327899999999996</v>
      </c>
      <c r="E165" s="19" t="s">
        <v>58</v>
      </c>
      <c r="F165" s="19" t="s">
        <v>59</v>
      </c>
      <c r="G165" s="19" t="s">
        <v>32</v>
      </c>
      <c r="H165" s="19" t="s">
        <v>33</v>
      </c>
      <c r="I165" s="19" t="s">
        <v>34</v>
      </c>
      <c r="J165" s="19">
        <v>13</v>
      </c>
      <c r="K165" s="19">
        <v>1.6299999999999999E-2</v>
      </c>
      <c r="L165" s="19" t="s">
        <v>35</v>
      </c>
      <c r="M165" s="19" t="s">
        <v>40</v>
      </c>
      <c r="N165" s="19">
        <v>33.33</v>
      </c>
      <c r="O165" s="19">
        <v>33.33</v>
      </c>
      <c r="P165" s="19">
        <v>0</v>
      </c>
      <c r="Q165" s="19">
        <v>0</v>
      </c>
      <c r="S165" s="19">
        <v>1</v>
      </c>
      <c r="T165" s="19">
        <v>1</v>
      </c>
      <c r="U165" s="19">
        <v>0</v>
      </c>
      <c r="V165" s="19" t="s">
        <v>41</v>
      </c>
      <c r="W165" s="19">
        <v>1</v>
      </c>
      <c r="Y165" s="19" t="s">
        <v>40</v>
      </c>
      <c r="Z165" s="19">
        <v>33.33</v>
      </c>
      <c r="AA165" s="19">
        <v>33.33</v>
      </c>
    </row>
    <row r="166" spans="1:27" x14ac:dyDescent="0.25">
      <c r="A166" s="19" t="s">
        <v>303</v>
      </c>
      <c r="B166" s="19" t="s">
        <v>295</v>
      </c>
      <c r="C166" s="19">
        <v>42004</v>
      </c>
      <c r="D166" s="19">
        <v>0.61993799999999899</v>
      </c>
      <c r="E166" s="19" t="s">
        <v>61</v>
      </c>
      <c r="F166" s="19" t="s">
        <v>62</v>
      </c>
      <c r="G166" s="19" t="s">
        <v>32</v>
      </c>
      <c r="H166" s="19" t="s">
        <v>63</v>
      </c>
      <c r="I166" s="19" t="s">
        <v>64</v>
      </c>
      <c r="J166" s="19">
        <v>22</v>
      </c>
      <c r="K166" s="19">
        <v>1.8599999999999998E-2</v>
      </c>
      <c r="L166" s="19" t="s">
        <v>35</v>
      </c>
      <c r="M166" s="19" t="s">
        <v>40</v>
      </c>
      <c r="N166" s="19">
        <v>33.33</v>
      </c>
      <c r="O166" s="19">
        <v>33.33</v>
      </c>
      <c r="P166" s="19">
        <v>0</v>
      </c>
      <c r="Q166" s="19">
        <v>0</v>
      </c>
      <c r="S166" s="19">
        <v>1</v>
      </c>
      <c r="T166" s="19">
        <v>1</v>
      </c>
      <c r="U166" s="19">
        <v>0</v>
      </c>
      <c r="V166" s="19" t="s">
        <v>41</v>
      </c>
      <c r="W166" s="19">
        <v>1</v>
      </c>
      <c r="Y166" s="19" t="s">
        <v>40</v>
      </c>
      <c r="Z166" s="19">
        <v>33.33</v>
      </c>
      <c r="AA166" s="19">
        <v>33.33</v>
      </c>
    </row>
    <row r="167" spans="1:27" x14ac:dyDescent="0.25">
      <c r="A167" s="19" t="s">
        <v>304</v>
      </c>
      <c r="B167" s="19" t="s">
        <v>295</v>
      </c>
      <c r="C167" s="19">
        <v>42004</v>
      </c>
      <c r="D167" s="19">
        <v>0</v>
      </c>
      <c r="E167" s="19" t="s">
        <v>66</v>
      </c>
      <c r="F167" s="19" t="s">
        <v>67</v>
      </c>
      <c r="G167" s="19" t="s">
        <v>32</v>
      </c>
      <c r="H167" s="19" t="s">
        <v>63</v>
      </c>
      <c r="I167" s="19" t="s">
        <v>64</v>
      </c>
      <c r="J167" s="19">
        <v>20</v>
      </c>
      <c r="K167" s="19">
        <v>1.8599999999999998E-2</v>
      </c>
      <c r="L167" s="19" t="s">
        <v>35</v>
      </c>
      <c r="N167" s="19">
        <v>0</v>
      </c>
      <c r="O167" s="19">
        <v>0</v>
      </c>
      <c r="P167" s="19">
        <v>0</v>
      </c>
      <c r="Q167" s="19">
        <v>0</v>
      </c>
      <c r="S167" s="19">
        <v>1</v>
      </c>
      <c r="T167" s="19">
        <v>1</v>
      </c>
      <c r="U167" s="19">
        <v>0</v>
      </c>
      <c r="V167" s="19" t="s">
        <v>36</v>
      </c>
      <c r="W167" s="19">
        <v>0</v>
      </c>
      <c r="Z167" s="19">
        <v>0</v>
      </c>
      <c r="AA167" s="19">
        <v>0</v>
      </c>
    </row>
    <row r="168" spans="1:27" x14ac:dyDescent="0.25">
      <c r="A168" s="19" t="s">
        <v>305</v>
      </c>
      <c r="B168" s="19" t="s">
        <v>295</v>
      </c>
      <c r="C168" s="19">
        <v>42004</v>
      </c>
      <c r="D168" s="19">
        <v>0.61993799999999899</v>
      </c>
      <c r="E168" s="19" t="s">
        <v>69</v>
      </c>
      <c r="F168" s="19" t="s">
        <v>70</v>
      </c>
      <c r="G168" s="19" t="s">
        <v>32</v>
      </c>
      <c r="H168" s="19" t="s">
        <v>63</v>
      </c>
      <c r="I168" s="19" t="s">
        <v>64</v>
      </c>
      <c r="J168" s="19">
        <v>23</v>
      </c>
      <c r="K168" s="19">
        <v>1.8599999999999998E-2</v>
      </c>
      <c r="L168" s="19" t="s">
        <v>35</v>
      </c>
      <c r="M168" s="19" t="s">
        <v>40</v>
      </c>
      <c r="N168" s="19">
        <v>33.33</v>
      </c>
      <c r="O168" s="19">
        <v>33.33</v>
      </c>
      <c r="P168" s="19">
        <v>0</v>
      </c>
      <c r="Q168" s="19">
        <v>0</v>
      </c>
      <c r="S168" s="19">
        <v>1</v>
      </c>
      <c r="T168" s="19">
        <v>1</v>
      </c>
      <c r="U168" s="19">
        <v>0</v>
      </c>
      <c r="V168" s="19" t="s">
        <v>41</v>
      </c>
      <c r="W168" s="19">
        <v>1</v>
      </c>
      <c r="Y168" s="19" t="s">
        <v>40</v>
      </c>
      <c r="Z168" s="19">
        <v>33.33</v>
      </c>
      <c r="AA168" s="19">
        <v>33.33</v>
      </c>
    </row>
    <row r="169" spans="1:27" x14ac:dyDescent="0.25">
      <c r="A169" s="19" t="s">
        <v>306</v>
      </c>
      <c r="B169" s="19" t="s">
        <v>295</v>
      </c>
      <c r="C169" s="19">
        <v>42004</v>
      </c>
      <c r="D169" s="19">
        <v>0</v>
      </c>
      <c r="E169" s="19" t="s">
        <v>72</v>
      </c>
      <c r="F169" s="19" t="s">
        <v>73</v>
      </c>
      <c r="G169" s="19" t="s">
        <v>32</v>
      </c>
      <c r="H169" s="19" t="s">
        <v>63</v>
      </c>
      <c r="I169" s="19" t="s">
        <v>64</v>
      </c>
      <c r="J169" s="19">
        <v>21</v>
      </c>
      <c r="K169" s="19">
        <v>1.8599999999999998E-2</v>
      </c>
      <c r="L169" s="19" t="s">
        <v>35</v>
      </c>
      <c r="N169" s="19">
        <v>0</v>
      </c>
      <c r="O169" s="19">
        <v>0</v>
      </c>
      <c r="P169" s="19">
        <v>0</v>
      </c>
      <c r="Q169" s="19">
        <v>0</v>
      </c>
      <c r="S169" s="19">
        <v>1</v>
      </c>
      <c r="T169" s="19">
        <v>1</v>
      </c>
      <c r="U169" s="19">
        <v>0</v>
      </c>
      <c r="V169" s="19" t="s">
        <v>36</v>
      </c>
      <c r="W169" s="19">
        <v>0</v>
      </c>
      <c r="Z169" s="19">
        <v>0</v>
      </c>
      <c r="AA169" s="19">
        <v>0</v>
      </c>
    </row>
    <row r="170" spans="1:27" x14ac:dyDescent="0.25">
      <c r="A170" s="19" t="s">
        <v>307</v>
      </c>
      <c r="B170" s="19" t="s">
        <v>295</v>
      </c>
      <c r="C170" s="19">
        <v>42004</v>
      </c>
      <c r="D170" s="19">
        <v>0.92999999999999905</v>
      </c>
      <c r="E170" s="19" t="s">
        <v>75</v>
      </c>
      <c r="F170" s="19" t="s">
        <v>76</v>
      </c>
      <c r="G170" s="19" t="s">
        <v>32</v>
      </c>
      <c r="H170" s="19" t="s">
        <v>63</v>
      </c>
      <c r="I170" s="19" t="s">
        <v>64</v>
      </c>
      <c r="J170" s="19">
        <v>24</v>
      </c>
      <c r="K170" s="19">
        <v>1.8599999999999998E-2</v>
      </c>
      <c r="L170" s="19" t="s">
        <v>35</v>
      </c>
      <c r="M170" s="19" t="s">
        <v>142</v>
      </c>
      <c r="N170" s="19">
        <v>50</v>
      </c>
      <c r="O170" s="19">
        <v>50</v>
      </c>
      <c r="P170" s="19">
        <v>0</v>
      </c>
      <c r="Q170" s="19">
        <v>0</v>
      </c>
      <c r="S170" s="19">
        <v>1</v>
      </c>
      <c r="T170" s="19">
        <v>1</v>
      </c>
      <c r="U170" s="19">
        <v>0</v>
      </c>
      <c r="V170" s="19" t="s">
        <v>41</v>
      </c>
      <c r="W170" s="19">
        <v>1</v>
      </c>
      <c r="Y170" s="19" t="s">
        <v>142</v>
      </c>
      <c r="Z170" s="19">
        <v>50</v>
      </c>
      <c r="AA170" s="19">
        <v>50</v>
      </c>
    </row>
    <row r="171" spans="1:27" x14ac:dyDescent="0.25">
      <c r="A171" s="19" t="s">
        <v>308</v>
      </c>
      <c r="B171" s="19" t="s">
        <v>295</v>
      </c>
      <c r="C171" s="19">
        <v>42004</v>
      </c>
      <c r="D171" s="19">
        <v>0</v>
      </c>
      <c r="E171" s="19" t="s">
        <v>78</v>
      </c>
      <c r="F171" s="19" t="s">
        <v>79</v>
      </c>
      <c r="G171" s="19" t="s">
        <v>32</v>
      </c>
      <c r="H171" s="19" t="s">
        <v>63</v>
      </c>
      <c r="I171" s="19" t="s">
        <v>64</v>
      </c>
      <c r="J171" s="19">
        <v>25</v>
      </c>
      <c r="K171" s="19">
        <v>1.8599999999999998E-2</v>
      </c>
      <c r="L171" s="19" t="s">
        <v>35</v>
      </c>
      <c r="M171" s="19" t="s">
        <v>40</v>
      </c>
      <c r="N171" s="19">
        <v>0</v>
      </c>
      <c r="O171" s="19">
        <v>0</v>
      </c>
      <c r="P171" s="19">
        <v>0</v>
      </c>
      <c r="Q171" s="19">
        <v>0</v>
      </c>
      <c r="S171" s="19">
        <v>1</v>
      </c>
      <c r="T171" s="19">
        <v>1</v>
      </c>
      <c r="U171" s="19">
        <v>0</v>
      </c>
      <c r="V171" s="19" t="s">
        <v>80</v>
      </c>
      <c r="W171" s="19">
        <v>0</v>
      </c>
      <c r="Y171" s="19" t="s">
        <v>40</v>
      </c>
      <c r="Z171" s="19">
        <v>33.33</v>
      </c>
      <c r="AA171" s="19">
        <v>0</v>
      </c>
    </row>
    <row r="172" spans="1:27" x14ac:dyDescent="0.25">
      <c r="A172" s="19" t="s">
        <v>309</v>
      </c>
      <c r="B172" s="19" t="s">
        <v>295</v>
      </c>
      <c r="C172" s="19">
        <v>42004</v>
      </c>
      <c r="D172" s="19">
        <v>0</v>
      </c>
      <c r="E172" s="19" t="s">
        <v>82</v>
      </c>
      <c r="F172" s="19" t="s">
        <v>83</v>
      </c>
      <c r="G172" s="19" t="s">
        <v>32</v>
      </c>
      <c r="H172" s="19" t="s">
        <v>63</v>
      </c>
      <c r="I172" s="19" t="s">
        <v>64</v>
      </c>
      <c r="J172" s="19">
        <v>26</v>
      </c>
      <c r="K172" s="19">
        <v>1.8599999999999998E-2</v>
      </c>
      <c r="L172" s="19" t="s">
        <v>35</v>
      </c>
      <c r="N172" s="19">
        <v>0</v>
      </c>
      <c r="O172" s="19">
        <v>0</v>
      </c>
      <c r="P172" s="19">
        <v>0</v>
      </c>
      <c r="Q172" s="19">
        <v>0</v>
      </c>
      <c r="S172" s="19">
        <v>1</v>
      </c>
      <c r="T172" s="19">
        <v>1</v>
      </c>
      <c r="U172" s="19">
        <v>0</v>
      </c>
      <c r="V172" s="19" t="s">
        <v>36</v>
      </c>
      <c r="W172" s="19">
        <v>0</v>
      </c>
      <c r="Z172" s="19">
        <v>0</v>
      </c>
      <c r="AA172" s="19">
        <v>0</v>
      </c>
    </row>
    <row r="173" spans="1:27" x14ac:dyDescent="0.25">
      <c r="A173" s="19" t="s">
        <v>310</v>
      </c>
      <c r="B173" s="19" t="s">
        <v>295</v>
      </c>
      <c r="C173" s="19">
        <v>42004</v>
      </c>
      <c r="D173" s="19">
        <v>0</v>
      </c>
      <c r="E173" s="19" t="s">
        <v>85</v>
      </c>
      <c r="F173" s="19" t="s">
        <v>86</v>
      </c>
      <c r="G173" s="19" t="s">
        <v>32</v>
      </c>
      <c r="H173" s="19" t="s">
        <v>87</v>
      </c>
      <c r="I173" s="19" t="s">
        <v>88</v>
      </c>
      <c r="J173" s="19">
        <v>35</v>
      </c>
      <c r="K173" s="19">
        <v>3.2500000000000001E-2</v>
      </c>
      <c r="L173" s="19" t="s">
        <v>35</v>
      </c>
      <c r="M173" s="19" t="s">
        <v>40</v>
      </c>
      <c r="N173" s="19">
        <v>0</v>
      </c>
      <c r="O173" s="19">
        <v>0</v>
      </c>
      <c r="P173" s="19">
        <v>0</v>
      </c>
      <c r="Q173" s="19">
        <v>0</v>
      </c>
      <c r="S173" s="19">
        <v>1</v>
      </c>
      <c r="T173" s="19">
        <v>1</v>
      </c>
      <c r="U173" s="19">
        <v>0</v>
      </c>
      <c r="V173" s="19" t="s">
        <v>36</v>
      </c>
      <c r="W173" s="19">
        <v>0</v>
      </c>
      <c r="Y173" s="19" t="s">
        <v>40</v>
      </c>
      <c r="Z173" s="19">
        <v>33.33</v>
      </c>
      <c r="AA173" s="19">
        <v>0</v>
      </c>
    </row>
    <row r="174" spans="1:27" x14ac:dyDescent="0.25">
      <c r="A174" s="19" t="s">
        <v>311</v>
      </c>
      <c r="B174" s="19" t="s">
        <v>295</v>
      </c>
      <c r="C174" s="19">
        <v>42004</v>
      </c>
      <c r="D174" s="19">
        <v>1.625</v>
      </c>
      <c r="E174" s="19" t="s">
        <v>90</v>
      </c>
      <c r="F174" s="19" t="s">
        <v>91</v>
      </c>
      <c r="G174" s="19" t="s">
        <v>32</v>
      </c>
      <c r="H174" s="19" t="s">
        <v>87</v>
      </c>
      <c r="I174" s="19" t="s">
        <v>88</v>
      </c>
      <c r="J174" s="19">
        <v>33</v>
      </c>
      <c r="K174" s="19">
        <v>3.2500000000000001E-2</v>
      </c>
      <c r="L174" s="19" t="s">
        <v>35</v>
      </c>
      <c r="M174" s="19" t="s">
        <v>142</v>
      </c>
      <c r="N174" s="19">
        <v>50</v>
      </c>
      <c r="O174" s="19">
        <v>50</v>
      </c>
      <c r="P174" s="19">
        <v>0</v>
      </c>
      <c r="Q174" s="19">
        <v>0</v>
      </c>
      <c r="S174" s="19">
        <v>1</v>
      </c>
      <c r="T174" s="19">
        <v>1</v>
      </c>
      <c r="U174" s="19">
        <v>0</v>
      </c>
      <c r="V174" s="19" t="s">
        <v>41</v>
      </c>
      <c r="W174" s="19">
        <v>1</v>
      </c>
      <c r="Y174" s="19" t="s">
        <v>142</v>
      </c>
      <c r="Z174" s="19">
        <v>50</v>
      </c>
      <c r="AA174" s="19">
        <v>50</v>
      </c>
    </row>
    <row r="175" spans="1:27" x14ac:dyDescent="0.25">
      <c r="A175" s="19" t="s">
        <v>312</v>
      </c>
      <c r="B175" s="19" t="s">
        <v>295</v>
      </c>
      <c r="C175" s="19">
        <v>42004</v>
      </c>
      <c r="D175" s="19">
        <v>1.625</v>
      </c>
      <c r="E175" s="19" t="s">
        <v>93</v>
      </c>
      <c r="F175" s="19" t="s">
        <v>94</v>
      </c>
      <c r="G175" s="19" t="s">
        <v>32</v>
      </c>
      <c r="H175" s="19" t="s">
        <v>87</v>
      </c>
      <c r="I175" s="19" t="s">
        <v>88</v>
      </c>
      <c r="J175" s="19">
        <v>34</v>
      </c>
      <c r="K175" s="19">
        <v>3.2500000000000001E-2</v>
      </c>
      <c r="L175" s="19" t="s">
        <v>35</v>
      </c>
      <c r="M175" s="19" t="s">
        <v>142</v>
      </c>
      <c r="N175" s="19">
        <v>50</v>
      </c>
      <c r="O175" s="19">
        <v>50</v>
      </c>
      <c r="P175" s="19">
        <v>0</v>
      </c>
      <c r="Q175" s="19">
        <v>0</v>
      </c>
      <c r="S175" s="19">
        <v>1</v>
      </c>
      <c r="T175" s="19">
        <v>1</v>
      </c>
      <c r="U175" s="19">
        <v>0</v>
      </c>
      <c r="V175" s="19" t="s">
        <v>41</v>
      </c>
      <c r="W175" s="19">
        <v>1</v>
      </c>
      <c r="Y175" s="19" t="s">
        <v>142</v>
      </c>
      <c r="Z175" s="19">
        <v>50</v>
      </c>
      <c r="AA175" s="19">
        <v>50</v>
      </c>
    </row>
    <row r="176" spans="1:27" x14ac:dyDescent="0.25">
      <c r="A176" s="19" t="s">
        <v>313</v>
      </c>
      <c r="B176" s="19" t="s">
        <v>295</v>
      </c>
      <c r="C176" s="19">
        <v>42004</v>
      </c>
      <c r="D176" s="19">
        <v>0</v>
      </c>
      <c r="E176" s="19" t="s">
        <v>96</v>
      </c>
      <c r="F176" s="19" t="s">
        <v>97</v>
      </c>
      <c r="G176" s="19" t="s">
        <v>32</v>
      </c>
      <c r="H176" s="19" t="s">
        <v>87</v>
      </c>
      <c r="I176" s="19" t="s">
        <v>88</v>
      </c>
      <c r="J176" s="19">
        <v>36</v>
      </c>
      <c r="K176" s="19">
        <v>3.2500000000000001E-2</v>
      </c>
      <c r="L176" s="19" t="s">
        <v>35</v>
      </c>
      <c r="N176" s="19">
        <v>0</v>
      </c>
      <c r="O176" s="19">
        <v>0</v>
      </c>
      <c r="P176" s="19">
        <v>0</v>
      </c>
      <c r="Q176" s="19">
        <v>0</v>
      </c>
      <c r="S176" s="19">
        <v>1</v>
      </c>
      <c r="T176" s="19">
        <v>1</v>
      </c>
      <c r="U176" s="19">
        <v>0</v>
      </c>
      <c r="V176" s="19" t="s">
        <v>36</v>
      </c>
      <c r="W176" s="19">
        <v>0</v>
      </c>
      <c r="Z176" s="19">
        <v>0</v>
      </c>
      <c r="AA176" s="19">
        <v>0</v>
      </c>
    </row>
    <row r="177" spans="1:27" x14ac:dyDescent="0.25">
      <c r="A177" s="19" t="s">
        <v>314</v>
      </c>
      <c r="B177" s="19" t="s">
        <v>295</v>
      </c>
      <c r="C177" s="19">
        <v>42004</v>
      </c>
      <c r="D177" s="19">
        <v>0</v>
      </c>
      <c r="E177" s="19" t="s">
        <v>99</v>
      </c>
      <c r="F177" s="19" t="s">
        <v>100</v>
      </c>
      <c r="G177" s="19" t="s">
        <v>32</v>
      </c>
      <c r="H177" s="19" t="s">
        <v>101</v>
      </c>
      <c r="I177" s="19" t="s">
        <v>102</v>
      </c>
      <c r="J177" s="19">
        <v>39</v>
      </c>
      <c r="K177" s="19">
        <v>4.3299999999999998E-2</v>
      </c>
      <c r="L177" s="19" t="s">
        <v>35</v>
      </c>
      <c r="M177" s="19" t="s">
        <v>103</v>
      </c>
      <c r="N177" s="19">
        <v>0</v>
      </c>
      <c r="O177" s="19">
        <v>0</v>
      </c>
      <c r="P177" s="19">
        <v>0</v>
      </c>
      <c r="Q177" s="19">
        <v>0</v>
      </c>
      <c r="S177" s="19">
        <v>1</v>
      </c>
      <c r="T177" s="19">
        <v>1</v>
      </c>
      <c r="U177" s="19">
        <v>0</v>
      </c>
      <c r="V177" s="19" t="s">
        <v>80</v>
      </c>
      <c r="W177" s="19">
        <v>0</v>
      </c>
      <c r="Y177" s="19" t="s">
        <v>103</v>
      </c>
      <c r="Z177" s="19">
        <v>50</v>
      </c>
      <c r="AA177" s="19">
        <v>0</v>
      </c>
    </row>
    <row r="178" spans="1:27" x14ac:dyDescent="0.25">
      <c r="A178" s="19" t="s">
        <v>315</v>
      </c>
      <c r="B178" s="19" t="s">
        <v>295</v>
      </c>
      <c r="C178" s="19">
        <v>42004</v>
      </c>
      <c r="D178" s="19">
        <v>0</v>
      </c>
      <c r="E178" s="19" t="s">
        <v>105</v>
      </c>
      <c r="F178" s="19" t="s">
        <v>106</v>
      </c>
      <c r="G178" s="19" t="s">
        <v>32</v>
      </c>
      <c r="H178" s="19" t="s">
        <v>101</v>
      </c>
      <c r="I178" s="19" t="s">
        <v>102</v>
      </c>
      <c r="J178" s="19">
        <v>38</v>
      </c>
      <c r="K178" s="19">
        <v>4.3299999999999998E-2</v>
      </c>
      <c r="L178" s="19" t="s">
        <v>35</v>
      </c>
      <c r="M178" s="19" t="s">
        <v>103</v>
      </c>
      <c r="N178" s="19">
        <v>0</v>
      </c>
      <c r="O178" s="19">
        <v>0</v>
      </c>
      <c r="P178" s="19">
        <v>0</v>
      </c>
      <c r="Q178" s="19">
        <v>0</v>
      </c>
      <c r="S178" s="19">
        <v>1</v>
      </c>
      <c r="T178" s="19">
        <v>1</v>
      </c>
      <c r="U178" s="19">
        <v>0</v>
      </c>
      <c r="V178" s="19" t="s">
        <v>80</v>
      </c>
      <c r="W178" s="19">
        <v>0</v>
      </c>
      <c r="Y178" s="19" t="s">
        <v>103</v>
      </c>
      <c r="Z178" s="19">
        <v>50</v>
      </c>
      <c r="AA178" s="19">
        <v>0</v>
      </c>
    </row>
    <row r="179" spans="1:27" x14ac:dyDescent="0.25">
      <c r="A179" s="19" t="s">
        <v>316</v>
      </c>
      <c r="B179" s="19" t="s">
        <v>295</v>
      </c>
      <c r="C179" s="19">
        <v>42004</v>
      </c>
      <c r="D179" s="19">
        <v>0</v>
      </c>
      <c r="E179" s="19" t="s">
        <v>108</v>
      </c>
      <c r="F179" s="19" t="s">
        <v>109</v>
      </c>
      <c r="G179" s="19" t="s">
        <v>32</v>
      </c>
      <c r="H179" s="19" t="s">
        <v>101</v>
      </c>
      <c r="I179" s="19" t="s">
        <v>102</v>
      </c>
      <c r="J179" s="19">
        <v>37</v>
      </c>
      <c r="K179" s="19">
        <v>4.3299999999999998E-2</v>
      </c>
      <c r="L179" s="19" t="s">
        <v>35</v>
      </c>
      <c r="N179" s="19">
        <v>0</v>
      </c>
      <c r="O179" s="19">
        <v>0</v>
      </c>
      <c r="P179" s="19">
        <v>0</v>
      </c>
      <c r="Q179" s="19">
        <v>0</v>
      </c>
      <c r="S179" s="19">
        <v>1</v>
      </c>
      <c r="T179" s="19">
        <v>1</v>
      </c>
      <c r="U179" s="19">
        <v>0</v>
      </c>
      <c r="V179" s="19" t="s">
        <v>36</v>
      </c>
      <c r="W179" s="19">
        <v>0</v>
      </c>
      <c r="Z179" s="19">
        <v>0</v>
      </c>
      <c r="AA179" s="19">
        <v>0</v>
      </c>
    </row>
    <row r="180" spans="1:27" x14ac:dyDescent="0.25">
      <c r="A180" s="19" t="s">
        <v>317</v>
      </c>
      <c r="B180" s="19" t="s">
        <v>295</v>
      </c>
      <c r="C180" s="19">
        <v>42004</v>
      </c>
      <c r="D180" s="19">
        <v>0</v>
      </c>
      <c r="E180" s="19" t="s">
        <v>112</v>
      </c>
      <c r="F180" s="19" t="s">
        <v>113</v>
      </c>
      <c r="G180" s="19" t="s">
        <v>32</v>
      </c>
      <c r="H180" s="19" t="s">
        <v>114</v>
      </c>
      <c r="I180" s="19" t="s">
        <v>115</v>
      </c>
      <c r="J180" s="19">
        <v>30</v>
      </c>
      <c r="K180" s="19">
        <v>2.1700000000000001E-2</v>
      </c>
      <c r="L180" s="19" t="s">
        <v>35</v>
      </c>
      <c r="M180" s="19" t="s">
        <v>103</v>
      </c>
      <c r="N180" s="19">
        <v>0</v>
      </c>
      <c r="O180" s="19">
        <v>0</v>
      </c>
      <c r="P180" s="19">
        <v>0</v>
      </c>
      <c r="Q180" s="19">
        <v>0</v>
      </c>
      <c r="S180" s="19">
        <v>1</v>
      </c>
      <c r="T180" s="19">
        <v>1</v>
      </c>
      <c r="U180" s="19">
        <v>0</v>
      </c>
      <c r="V180" s="19" t="s">
        <v>36</v>
      </c>
      <c r="W180" s="19">
        <v>0</v>
      </c>
      <c r="Y180" s="19" t="s">
        <v>103</v>
      </c>
      <c r="Z180" s="19">
        <v>50</v>
      </c>
      <c r="AA180" s="19">
        <v>0</v>
      </c>
    </row>
    <row r="181" spans="1:27" x14ac:dyDescent="0.25">
      <c r="A181" s="19" t="s">
        <v>318</v>
      </c>
      <c r="B181" s="19" t="s">
        <v>295</v>
      </c>
      <c r="C181" s="19">
        <v>42004</v>
      </c>
      <c r="D181" s="19">
        <v>1.085</v>
      </c>
      <c r="E181" s="19" t="s">
        <v>117</v>
      </c>
      <c r="F181" s="19" t="s">
        <v>118</v>
      </c>
      <c r="G181" s="19" t="s">
        <v>32</v>
      </c>
      <c r="H181" s="19" t="s">
        <v>114</v>
      </c>
      <c r="I181" s="19" t="s">
        <v>115</v>
      </c>
      <c r="J181" s="19">
        <v>31</v>
      </c>
      <c r="K181" s="19">
        <v>2.1700000000000001E-2</v>
      </c>
      <c r="L181" s="19" t="s">
        <v>35</v>
      </c>
      <c r="M181" s="19" t="s">
        <v>103</v>
      </c>
      <c r="N181" s="19">
        <v>50</v>
      </c>
      <c r="O181" s="19">
        <v>50</v>
      </c>
      <c r="P181" s="19">
        <v>0</v>
      </c>
      <c r="Q181" s="19">
        <v>0</v>
      </c>
      <c r="S181" s="19">
        <v>1</v>
      </c>
      <c r="T181" s="19">
        <v>1</v>
      </c>
      <c r="U181" s="19">
        <v>0</v>
      </c>
      <c r="V181" s="19" t="s">
        <v>41</v>
      </c>
      <c r="W181" s="19">
        <v>1</v>
      </c>
      <c r="Y181" s="19" t="s">
        <v>103</v>
      </c>
      <c r="Z181" s="19">
        <v>50</v>
      </c>
      <c r="AA181" s="19">
        <v>50</v>
      </c>
    </row>
    <row r="182" spans="1:27" x14ac:dyDescent="0.25">
      <c r="A182" s="19" t="s">
        <v>319</v>
      </c>
      <c r="B182" s="19" t="s">
        <v>295</v>
      </c>
      <c r="C182" s="19">
        <v>42004</v>
      </c>
      <c r="D182" s="19">
        <v>0</v>
      </c>
      <c r="E182" s="19" t="s">
        <v>120</v>
      </c>
      <c r="F182" s="19" t="s">
        <v>121</v>
      </c>
      <c r="G182" s="19" t="s">
        <v>32</v>
      </c>
      <c r="H182" s="19" t="s">
        <v>114</v>
      </c>
      <c r="I182" s="19" t="s">
        <v>115</v>
      </c>
      <c r="J182" s="19">
        <v>28</v>
      </c>
      <c r="K182" s="19">
        <v>2.1700000000000001E-2</v>
      </c>
      <c r="L182" s="19" t="s">
        <v>35</v>
      </c>
      <c r="M182" s="19" t="s">
        <v>103</v>
      </c>
      <c r="N182" s="19">
        <v>0</v>
      </c>
      <c r="O182" s="19">
        <v>0</v>
      </c>
      <c r="P182" s="19">
        <v>0</v>
      </c>
      <c r="Q182" s="19">
        <v>0</v>
      </c>
      <c r="S182" s="19">
        <v>1</v>
      </c>
      <c r="T182" s="19">
        <v>1</v>
      </c>
      <c r="U182" s="19">
        <v>0</v>
      </c>
      <c r="V182" s="19" t="s">
        <v>80</v>
      </c>
      <c r="W182" s="19">
        <v>0</v>
      </c>
      <c r="Y182" s="19" t="s">
        <v>103</v>
      </c>
      <c r="Z182" s="19">
        <v>50</v>
      </c>
      <c r="AA182" s="19">
        <v>0</v>
      </c>
    </row>
    <row r="183" spans="1:27" x14ac:dyDescent="0.25">
      <c r="A183" s="19" t="s">
        <v>320</v>
      </c>
      <c r="B183" s="19" t="s">
        <v>295</v>
      </c>
      <c r="C183" s="19">
        <v>42004</v>
      </c>
      <c r="D183" s="19">
        <v>0</v>
      </c>
      <c r="E183" s="19" t="s">
        <v>123</v>
      </c>
      <c r="F183" s="19" t="s">
        <v>124</v>
      </c>
      <c r="G183" s="19" t="s">
        <v>32</v>
      </c>
      <c r="H183" s="19" t="s">
        <v>114</v>
      </c>
      <c r="I183" s="19" t="s">
        <v>115</v>
      </c>
      <c r="J183" s="19">
        <v>27</v>
      </c>
      <c r="K183" s="19">
        <v>2.1700000000000001E-2</v>
      </c>
      <c r="L183" s="19" t="s">
        <v>35</v>
      </c>
      <c r="M183" s="19" t="s">
        <v>103</v>
      </c>
      <c r="N183" s="19">
        <v>0</v>
      </c>
      <c r="O183" s="19">
        <v>0</v>
      </c>
      <c r="P183" s="19">
        <v>0</v>
      </c>
      <c r="Q183" s="19">
        <v>0</v>
      </c>
      <c r="S183" s="19">
        <v>1</v>
      </c>
      <c r="T183" s="19">
        <v>1</v>
      </c>
      <c r="U183" s="19">
        <v>0</v>
      </c>
      <c r="V183" s="19" t="s">
        <v>36</v>
      </c>
      <c r="W183" s="19">
        <v>0</v>
      </c>
      <c r="Y183" s="19" t="s">
        <v>103</v>
      </c>
      <c r="Z183" s="19">
        <v>50</v>
      </c>
      <c r="AA183" s="19">
        <v>0</v>
      </c>
    </row>
    <row r="184" spans="1:27" x14ac:dyDescent="0.25">
      <c r="A184" s="19" t="s">
        <v>321</v>
      </c>
      <c r="B184" s="19" t="s">
        <v>295</v>
      </c>
      <c r="C184" s="19">
        <v>42004</v>
      </c>
      <c r="D184" s="19">
        <v>1.085</v>
      </c>
      <c r="E184" s="19" t="s">
        <v>126</v>
      </c>
      <c r="F184" s="19" t="s">
        <v>127</v>
      </c>
      <c r="G184" s="19" t="s">
        <v>32</v>
      </c>
      <c r="H184" s="19" t="s">
        <v>114</v>
      </c>
      <c r="I184" s="19" t="s">
        <v>115</v>
      </c>
      <c r="J184" s="19">
        <v>29</v>
      </c>
      <c r="K184" s="19">
        <v>2.1700000000000001E-2</v>
      </c>
      <c r="L184" s="19" t="s">
        <v>35</v>
      </c>
      <c r="M184" s="19" t="s">
        <v>103</v>
      </c>
      <c r="N184" s="19">
        <v>50</v>
      </c>
      <c r="O184" s="19">
        <v>50</v>
      </c>
      <c r="P184" s="19">
        <v>0</v>
      </c>
      <c r="Q184" s="19">
        <v>0</v>
      </c>
      <c r="S184" s="19">
        <v>1</v>
      </c>
      <c r="T184" s="19">
        <v>1</v>
      </c>
      <c r="U184" s="19">
        <v>0</v>
      </c>
      <c r="V184" s="19" t="s">
        <v>41</v>
      </c>
      <c r="W184" s="19">
        <v>1</v>
      </c>
      <c r="Y184" s="19" t="s">
        <v>103</v>
      </c>
      <c r="Z184" s="19">
        <v>50</v>
      </c>
      <c r="AA184" s="19">
        <v>50</v>
      </c>
    </row>
    <row r="185" spans="1:27" x14ac:dyDescent="0.25">
      <c r="A185" s="19" t="s">
        <v>322</v>
      </c>
      <c r="B185" s="19" t="s">
        <v>295</v>
      </c>
      <c r="C185" s="19">
        <v>42004</v>
      </c>
      <c r="D185" s="19">
        <v>1.085</v>
      </c>
      <c r="E185" s="19" t="s">
        <v>129</v>
      </c>
      <c r="F185" s="19" t="s">
        <v>130</v>
      </c>
      <c r="G185" s="19" t="s">
        <v>32</v>
      </c>
      <c r="H185" s="19" t="s">
        <v>114</v>
      </c>
      <c r="I185" s="19" t="s">
        <v>115</v>
      </c>
      <c r="J185" s="19">
        <v>32</v>
      </c>
      <c r="K185" s="19">
        <v>2.1700000000000001E-2</v>
      </c>
      <c r="L185" s="19" t="s">
        <v>35</v>
      </c>
      <c r="M185" s="19" t="s">
        <v>103</v>
      </c>
      <c r="N185" s="19">
        <v>50</v>
      </c>
      <c r="O185" s="19">
        <v>50</v>
      </c>
      <c r="P185" s="19">
        <v>0</v>
      </c>
      <c r="Q185" s="19">
        <v>0</v>
      </c>
      <c r="S185" s="19">
        <v>1</v>
      </c>
      <c r="T185" s="19">
        <v>1</v>
      </c>
      <c r="U185" s="19">
        <v>0</v>
      </c>
      <c r="V185" s="19" t="s">
        <v>41</v>
      </c>
      <c r="W185" s="19">
        <v>1</v>
      </c>
      <c r="Y185" s="19" t="s">
        <v>103</v>
      </c>
      <c r="Z185" s="19">
        <v>50</v>
      </c>
      <c r="AA185" s="19">
        <v>50</v>
      </c>
    </row>
    <row r="186" spans="1:27" x14ac:dyDescent="0.25">
      <c r="A186" s="19" t="s">
        <v>323</v>
      </c>
      <c r="B186" s="19" t="s">
        <v>295</v>
      </c>
      <c r="C186" s="19">
        <v>42004</v>
      </c>
      <c r="D186" s="19">
        <v>2.085</v>
      </c>
      <c r="E186" s="19" t="s">
        <v>132</v>
      </c>
      <c r="F186" s="19" t="s">
        <v>133</v>
      </c>
      <c r="G186" s="19" t="s">
        <v>134</v>
      </c>
      <c r="H186" s="19" t="s">
        <v>87</v>
      </c>
      <c r="I186" s="19" t="s">
        <v>135</v>
      </c>
      <c r="J186" s="19">
        <v>11</v>
      </c>
      <c r="K186" s="19">
        <v>4.1700000000000001E-2</v>
      </c>
      <c r="L186" s="19" t="s">
        <v>35</v>
      </c>
      <c r="M186" s="19" t="s">
        <v>103</v>
      </c>
      <c r="N186" s="19">
        <v>50</v>
      </c>
      <c r="O186" s="19">
        <v>50</v>
      </c>
      <c r="P186" s="19">
        <v>0</v>
      </c>
      <c r="Q186" s="19">
        <v>0</v>
      </c>
      <c r="S186" s="19">
        <v>1</v>
      </c>
      <c r="T186" s="19">
        <v>1</v>
      </c>
      <c r="U186" s="19">
        <v>0</v>
      </c>
      <c r="V186" s="19" t="s">
        <v>41</v>
      </c>
      <c r="W186" s="19">
        <v>1</v>
      </c>
      <c r="Y186" s="19" t="s">
        <v>103</v>
      </c>
      <c r="Z186" s="19">
        <v>50</v>
      </c>
      <c r="AA186" s="19">
        <v>50</v>
      </c>
    </row>
    <row r="187" spans="1:27" x14ac:dyDescent="0.25">
      <c r="A187" s="19" t="s">
        <v>324</v>
      </c>
      <c r="B187" s="19" t="s">
        <v>295</v>
      </c>
      <c r="C187" s="19">
        <v>42004</v>
      </c>
      <c r="D187" s="19">
        <v>0.69493050000000001</v>
      </c>
      <c r="E187" s="19" t="s">
        <v>137</v>
      </c>
      <c r="F187" s="19" t="s">
        <v>138</v>
      </c>
      <c r="G187" s="19" t="s">
        <v>134</v>
      </c>
      <c r="H187" s="19" t="s">
        <v>87</v>
      </c>
      <c r="I187" s="19" t="s">
        <v>135</v>
      </c>
      <c r="J187" s="19">
        <v>9</v>
      </c>
      <c r="K187" s="19">
        <v>4.1700000000000001E-2</v>
      </c>
      <c r="L187" s="19" t="s">
        <v>35</v>
      </c>
      <c r="M187" s="19" t="s">
        <v>110</v>
      </c>
      <c r="N187" s="19">
        <v>16.664999999999999</v>
      </c>
      <c r="O187" s="19">
        <v>16.664999999999999</v>
      </c>
      <c r="P187" s="19">
        <v>0</v>
      </c>
      <c r="Q187" s="19">
        <v>0</v>
      </c>
      <c r="S187" s="19">
        <v>1</v>
      </c>
      <c r="T187" s="19">
        <v>1</v>
      </c>
      <c r="U187" s="19">
        <v>0</v>
      </c>
      <c r="W187" s="19">
        <v>0</v>
      </c>
      <c r="X187" s="19">
        <v>3</v>
      </c>
      <c r="Y187" s="19" t="s">
        <v>110</v>
      </c>
      <c r="Z187" s="19">
        <v>16.664999999999999</v>
      </c>
      <c r="AA187" s="19">
        <v>16.664999999999999</v>
      </c>
    </row>
    <row r="188" spans="1:27" x14ac:dyDescent="0.25">
      <c r="A188" s="19" t="s">
        <v>325</v>
      </c>
      <c r="B188" s="19" t="s">
        <v>295</v>
      </c>
      <c r="C188" s="19">
        <v>42004</v>
      </c>
      <c r="D188" s="19">
        <v>0.69493050000000001</v>
      </c>
      <c r="E188" s="19" t="s">
        <v>140</v>
      </c>
      <c r="F188" s="19" t="s">
        <v>141</v>
      </c>
      <c r="G188" s="19" t="s">
        <v>134</v>
      </c>
      <c r="H188" s="19" t="s">
        <v>87</v>
      </c>
      <c r="I188" s="19" t="s">
        <v>135</v>
      </c>
      <c r="J188" s="19">
        <v>10</v>
      </c>
      <c r="K188" s="19">
        <v>4.1700000000000001E-2</v>
      </c>
      <c r="L188" s="19" t="s">
        <v>35</v>
      </c>
      <c r="M188" s="19" t="s">
        <v>110</v>
      </c>
      <c r="N188" s="19">
        <v>16.664999999999999</v>
      </c>
      <c r="O188" s="19">
        <v>16.664999999999999</v>
      </c>
      <c r="P188" s="19">
        <v>0</v>
      </c>
      <c r="Q188" s="19">
        <v>0</v>
      </c>
      <c r="S188" s="19">
        <v>1</v>
      </c>
      <c r="T188" s="19">
        <v>1</v>
      </c>
      <c r="U188" s="19">
        <v>0</v>
      </c>
      <c r="W188" s="19">
        <v>0</v>
      </c>
      <c r="X188" s="19">
        <v>3</v>
      </c>
      <c r="Y188" s="19" t="s">
        <v>110</v>
      </c>
      <c r="Z188" s="19">
        <v>16.664999999999999</v>
      </c>
      <c r="AA188" s="19">
        <v>16.664999999999999</v>
      </c>
    </row>
    <row r="189" spans="1:27" x14ac:dyDescent="0.25">
      <c r="A189" s="19" t="s">
        <v>326</v>
      </c>
      <c r="B189" s="19" t="s">
        <v>295</v>
      </c>
      <c r="C189" s="19">
        <v>42004</v>
      </c>
      <c r="D189" s="19">
        <v>1.25</v>
      </c>
      <c r="E189" s="19" t="s">
        <v>144</v>
      </c>
      <c r="F189" s="19" t="s">
        <v>145</v>
      </c>
      <c r="G189" s="19" t="s">
        <v>134</v>
      </c>
      <c r="H189" s="19" t="s">
        <v>146</v>
      </c>
      <c r="I189" s="19" t="s">
        <v>147</v>
      </c>
      <c r="J189" s="19">
        <v>4</v>
      </c>
      <c r="K189" s="19">
        <v>2.5000000000000001E-2</v>
      </c>
      <c r="L189" s="19" t="s">
        <v>35</v>
      </c>
      <c r="M189" s="19" t="s">
        <v>103</v>
      </c>
      <c r="N189" s="19">
        <v>50</v>
      </c>
      <c r="O189" s="19">
        <v>50</v>
      </c>
      <c r="P189" s="19">
        <v>0</v>
      </c>
      <c r="Q189" s="19">
        <v>0</v>
      </c>
      <c r="S189" s="19">
        <v>1</v>
      </c>
      <c r="T189" s="19">
        <v>1</v>
      </c>
      <c r="U189" s="19">
        <v>0</v>
      </c>
      <c r="V189" s="19" t="s">
        <v>41</v>
      </c>
      <c r="W189" s="19">
        <v>1</v>
      </c>
      <c r="Y189" s="19" t="s">
        <v>103</v>
      </c>
      <c r="Z189" s="19">
        <v>50</v>
      </c>
      <c r="AA189" s="19">
        <v>50</v>
      </c>
    </row>
    <row r="190" spans="1:27" x14ac:dyDescent="0.25">
      <c r="A190" s="19" t="s">
        <v>327</v>
      </c>
      <c r="B190" s="19" t="s">
        <v>295</v>
      </c>
      <c r="C190" s="19">
        <v>42004</v>
      </c>
      <c r="D190" s="19">
        <v>1.25</v>
      </c>
      <c r="E190" s="19" t="s">
        <v>149</v>
      </c>
      <c r="F190" s="19" t="s">
        <v>150</v>
      </c>
      <c r="G190" s="19" t="s">
        <v>134</v>
      </c>
      <c r="H190" s="19" t="s">
        <v>146</v>
      </c>
      <c r="I190" s="19" t="s">
        <v>147</v>
      </c>
      <c r="J190" s="19">
        <v>5</v>
      </c>
      <c r="K190" s="19">
        <v>2.5000000000000001E-2</v>
      </c>
      <c r="L190" s="19" t="s">
        <v>35</v>
      </c>
      <c r="M190" s="19" t="s">
        <v>103</v>
      </c>
      <c r="N190" s="19">
        <v>50</v>
      </c>
      <c r="O190" s="19">
        <v>50</v>
      </c>
      <c r="P190" s="19">
        <v>0</v>
      </c>
      <c r="Q190" s="19">
        <v>0</v>
      </c>
      <c r="S190" s="19">
        <v>1</v>
      </c>
      <c r="T190" s="19">
        <v>1</v>
      </c>
      <c r="U190" s="19">
        <v>0</v>
      </c>
      <c r="V190" s="19" t="s">
        <v>41</v>
      </c>
      <c r="W190" s="19">
        <v>1</v>
      </c>
      <c r="Y190" s="19" t="s">
        <v>103</v>
      </c>
      <c r="Z190" s="19">
        <v>50</v>
      </c>
      <c r="AA190" s="19">
        <v>50</v>
      </c>
    </row>
    <row r="191" spans="1:27" x14ac:dyDescent="0.25">
      <c r="A191" s="19" t="s">
        <v>328</v>
      </c>
      <c r="B191" s="19" t="s">
        <v>295</v>
      </c>
      <c r="C191" s="19">
        <v>42004</v>
      </c>
      <c r="D191" s="19">
        <v>1.25</v>
      </c>
      <c r="E191" s="19" t="s">
        <v>152</v>
      </c>
      <c r="F191" s="19" t="s">
        <v>153</v>
      </c>
      <c r="G191" s="19" t="s">
        <v>134</v>
      </c>
      <c r="H191" s="19" t="s">
        <v>146</v>
      </c>
      <c r="I191" s="19" t="s">
        <v>147</v>
      </c>
      <c r="J191" s="19">
        <v>6</v>
      </c>
      <c r="K191" s="19">
        <v>2.5000000000000001E-2</v>
      </c>
      <c r="L191" s="19" t="s">
        <v>35</v>
      </c>
      <c r="M191" s="19" t="s">
        <v>103</v>
      </c>
      <c r="N191" s="19">
        <v>50</v>
      </c>
      <c r="O191" s="19">
        <v>50</v>
      </c>
      <c r="P191" s="19">
        <v>0</v>
      </c>
      <c r="Q191" s="19">
        <v>0</v>
      </c>
      <c r="S191" s="19">
        <v>1</v>
      </c>
      <c r="T191" s="19">
        <v>1</v>
      </c>
      <c r="U191" s="19">
        <v>0</v>
      </c>
      <c r="V191" s="19" t="s">
        <v>41</v>
      </c>
      <c r="W191" s="19">
        <v>1</v>
      </c>
      <c r="Y191" s="19" t="s">
        <v>103</v>
      </c>
      <c r="Z191" s="19">
        <v>50</v>
      </c>
      <c r="AA191" s="19">
        <v>50</v>
      </c>
    </row>
    <row r="192" spans="1:27" x14ac:dyDescent="0.25">
      <c r="A192" s="19" t="s">
        <v>329</v>
      </c>
      <c r="B192" s="19" t="s">
        <v>295</v>
      </c>
      <c r="C192" s="19">
        <v>42004</v>
      </c>
      <c r="D192" s="19">
        <v>1.25</v>
      </c>
      <c r="E192" s="19" t="s">
        <v>155</v>
      </c>
      <c r="F192" s="19" t="s">
        <v>156</v>
      </c>
      <c r="G192" s="19" t="s">
        <v>134</v>
      </c>
      <c r="H192" s="19" t="s">
        <v>146</v>
      </c>
      <c r="I192" s="19" t="s">
        <v>147</v>
      </c>
      <c r="J192" s="19">
        <v>7</v>
      </c>
      <c r="K192" s="19">
        <v>2.5000000000000001E-2</v>
      </c>
      <c r="L192" s="19" t="s">
        <v>35</v>
      </c>
      <c r="M192" s="19" t="s">
        <v>103</v>
      </c>
      <c r="N192" s="19">
        <v>50</v>
      </c>
      <c r="O192" s="19">
        <v>50</v>
      </c>
      <c r="P192" s="19">
        <v>0</v>
      </c>
      <c r="Q192" s="19">
        <v>0</v>
      </c>
      <c r="S192" s="19">
        <v>1</v>
      </c>
      <c r="T192" s="19">
        <v>1</v>
      </c>
      <c r="U192" s="19">
        <v>0</v>
      </c>
      <c r="V192" s="19" t="s">
        <v>41</v>
      </c>
      <c r="W192" s="19">
        <v>1</v>
      </c>
      <c r="Y192" s="19" t="s">
        <v>103</v>
      </c>
      <c r="Z192" s="19">
        <v>50</v>
      </c>
      <c r="AA192" s="19">
        <v>50</v>
      </c>
    </row>
    <row r="193" spans="1:27" x14ac:dyDescent="0.25">
      <c r="A193" s="19" t="s">
        <v>330</v>
      </c>
      <c r="B193" s="19" t="s">
        <v>295</v>
      </c>
      <c r="C193" s="19">
        <v>42004</v>
      </c>
      <c r="D193" s="19">
        <v>0</v>
      </c>
      <c r="E193" s="19" t="s">
        <v>158</v>
      </c>
      <c r="F193" s="19" t="s">
        <v>159</v>
      </c>
      <c r="G193" s="19" t="s">
        <v>134</v>
      </c>
      <c r="H193" s="19" t="s">
        <v>146</v>
      </c>
      <c r="I193" s="19" t="s">
        <v>147</v>
      </c>
      <c r="J193" s="19">
        <v>8</v>
      </c>
      <c r="K193" s="19">
        <v>2.5000000000000001E-2</v>
      </c>
      <c r="L193" s="19" t="s">
        <v>35</v>
      </c>
      <c r="M193" s="19" t="s">
        <v>103</v>
      </c>
      <c r="N193" s="19">
        <v>0</v>
      </c>
      <c r="O193" s="19">
        <v>0</v>
      </c>
      <c r="P193" s="19">
        <v>0</v>
      </c>
      <c r="Q193" s="19">
        <v>0</v>
      </c>
      <c r="S193" s="19">
        <v>1</v>
      </c>
      <c r="T193" s="19">
        <v>1</v>
      </c>
      <c r="U193" s="19">
        <v>0</v>
      </c>
      <c r="V193" s="19" t="s">
        <v>80</v>
      </c>
      <c r="W193" s="19">
        <v>0</v>
      </c>
      <c r="Y193" s="19" t="s">
        <v>103</v>
      </c>
      <c r="Z193" s="19">
        <v>50</v>
      </c>
      <c r="AA193" s="19">
        <v>0</v>
      </c>
    </row>
    <row r="194" spans="1:27" x14ac:dyDescent="0.25">
      <c r="A194" s="19" t="s">
        <v>331</v>
      </c>
      <c r="B194" s="19" t="s">
        <v>295</v>
      </c>
      <c r="C194" s="19">
        <v>42004</v>
      </c>
      <c r="D194" s="19">
        <v>2.2197779999999998</v>
      </c>
      <c r="E194" s="19" t="s">
        <v>161</v>
      </c>
      <c r="F194" s="19" t="s">
        <v>162</v>
      </c>
      <c r="G194" s="19" t="s">
        <v>163</v>
      </c>
      <c r="I194" s="19" t="s">
        <v>164</v>
      </c>
      <c r="J194" s="19">
        <v>1</v>
      </c>
      <c r="K194" s="19">
        <v>3.3300000000000003E-2</v>
      </c>
      <c r="L194" s="19" t="s">
        <v>35</v>
      </c>
      <c r="M194" s="19" t="s">
        <v>165</v>
      </c>
      <c r="N194" s="19">
        <v>66.66</v>
      </c>
      <c r="O194" s="19">
        <v>66.66</v>
      </c>
      <c r="P194" s="19">
        <v>0</v>
      </c>
      <c r="Q194" s="19">
        <v>0</v>
      </c>
      <c r="S194" s="19">
        <v>1</v>
      </c>
      <c r="T194" s="19">
        <v>1</v>
      </c>
      <c r="U194" s="19">
        <v>0</v>
      </c>
      <c r="W194" s="19">
        <v>0</v>
      </c>
      <c r="X194" s="19">
        <v>66.66</v>
      </c>
      <c r="Z194" s="19">
        <v>0</v>
      </c>
      <c r="AA194" s="19">
        <v>66.66</v>
      </c>
    </row>
    <row r="195" spans="1:27" x14ac:dyDescent="0.25">
      <c r="A195" s="19" t="s">
        <v>332</v>
      </c>
      <c r="B195" s="19" t="s">
        <v>295</v>
      </c>
      <c r="C195" s="19">
        <v>42004</v>
      </c>
      <c r="D195" s="19">
        <v>2.2197779999999998</v>
      </c>
      <c r="E195" s="19" t="s">
        <v>167</v>
      </c>
      <c r="F195" s="19" t="s">
        <v>168</v>
      </c>
      <c r="G195" s="19" t="s">
        <v>163</v>
      </c>
      <c r="I195" s="19" t="s">
        <v>164</v>
      </c>
      <c r="J195" s="19">
        <v>3</v>
      </c>
      <c r="K195" s="19">
        <v>3.3300000000000003E-2</v>
      </c>
      <c r="L195" s="19" t="s">
        <v>35</v>
      </c>
      <c r="M195" s="19" t="s">
        <v>165</v>
      </c>
      <c r="N195" s="19">
        <v>66.66</v>
      </c>
      <c r="O195" s="19">
        <v>66.66</v>
      </c>
      <c r="P195" s="19">
        <v>0</v>
      </c>
      <c r="Q195" s="19">
        <v>0</v>
      </c>
      <c r="S195" s="19">
        <v>1</v>
      </c>
      <c r="T195" s="19">
        <v>1</v>
      </c>
      <c r="U195" s="19">
        <v>0</v>
      </c>
      <c r="W195" s="19">
        <v>0</v>
      </c>
      <c r="X195" s="19">
        <v>66.66</v>
      </c>
      <c r="Z195" s="19">
        <v>0</v>
      </c>
      <c r="AA195" s="19">
        <v>66.66</v>
      </c>
    </row>
    <row r="196" spans="1:27" x14ac:dyDescent="0.25">
      <c r="A196" s="19" t="s">
        <v>333</v>
      </c>
      <c r="B196" s="19" t="s">
        <v>295</v>
      </c>
      <c r="C196" s="19">
        <v>42004</v>
      </c>
      <c r="D196" s="19">
        <v>0</v>
      </c>
      <c r="E196" s="19" t="s">
        <v>170</v>
      </c>
      <c r="F196" s="19" t="s">
        <v>171</v>
      </c>
      <c r="G196" s="19" t="s">
        <v>163</v>
      </c>
      <c r="I196" s="19" t="s">
        <v>164</v>
      </c>
      <c r="J196" s="19">
        <v>2</v>
      </c>
      <c r="K196" s="19">
        <v>3.3300000000000003E-2</v>
      </c>
      <c r="L196" s="19" t="s">
        <v>35</v>
      </c>
      <c r="M196" s="19" t="s">
        <v>165</v>
      </c>
      <c r="N196" s="19">
        <v>0</v>
      </c>
      <c r="O196" s="19">
        <v>0</v>
      </c>
      <c r="P196" s="19">
        <v>0</v>
      </c>
      <c r="Q196" s="19">
        <v>0</v>
      </c>
      <c r="S196" s="19">
        <v>1</v>
      </c>
      <c r="T196" s="19">
        <v>1</v>
      </c>
      <c r="U196" s="19">
        <v>0</v>
      </c>
      <c r="W196" s="19">
        <v>0</v>
      </c>
      <c r="X196" s="19">
        <v>0</v>
      </c>
      <c r="Z196" s="19">
        <v>0</v>
      </c>
      <c r="AA196" s="19">
        <v>0</v>
      </c>
    </row>
    <row r="197" spans="1:27" x14ac:dyDescent="0.25">
      <c r="A197" s="19" t="s">
        <v>334</v>
      </c>
      <c r="B197" s="19" t="s">
        <v>335</v>
      </c>
      <c r="C197" s="19" t="s">
        <v>336</v>
      </c>
      <c r="D197" s="19">
        <v>0</v>
      </c>
      <c r="E197" s="19" t="s">
        <v>30</v>
      </c>
      <c r="F197" s="19" t="s">
        <v>31</v>
      </c>
      <c r="G197" s="19" t="s">
        <v>32</v>
      </c>
      <c r="H197" s="19" t="s">
        <v>33</v>
      </c>
      <c r="I197" s="19" t="s">
        <v>34</v>
      </c>
      <c r="J197" s="19">
        <v>17</v>
      </c>
      <c r="K197" s="19">
        <v>1.6299999999999999E-2</v>
      </c>
      <c r="L197" s="19" t="s">
        <v>35</v>
      </c>
      <c r="N197" s="19">
        <v>0</v>
      </c>
      <c r="O197" s="19">
        <v>0</v>
      </c>
      <c r="P197" s="19">
        <v>0</v>
      </c>
      <c r="Q197" s="19">
        <v>0</v>
      </c>
      <c r="S197" s="19">
        <v>1</v>
      </c>
      <c r="T197" s="19">
        <v>1</v>
      </c>
      <c r="U197" s="19">
        <v>0</v>
      </c>
      <c r="V197" s="19" t="s">
        <v>36</v>
      </c>
      <c r="W197" s="19">
        <v>0</v>
      </c>
      <c r="Z197" s="19">
        <v>0</v>
      </c>
      <c r="AA197" s="19">
        <v>0</v>
      </c>
    </row>
    <row r="198" spans="1:27" x14ac:dyDescent="0.25">
      <c r="A198" s="19" t="s">
        <v>337</v>
      </c>
      <c r="B198" s="19" t="s">
        <v>335</v>
      </c>
      <c r="C198" s="19" t="s">
        <v>336</v>
      </c>
      <c r="D198" s="19">
        <v>0.54327899999999996</v>
      </c>
      <c r="E198" s="19" t="s">
        <v>38</v>
      </c>
      <c r="F198" s="19" t="s">
        <v>39</v>
      </c>
      <c r="G198" s="19" t="s">
        <v>32</v>
      </c>
      <c r="H198" s="19" t="s">
        <v>33</v>
      </c>
      <c r="I198" s="19" t="s">
        <v>34</v>
      </c>
      <c r="J198" s="19">
        <v>19</v>
      </c>
      <c r="K198" s="19">
        <v>1.6299999999999999E-2</v>
      </c>
      <c r="L198" s="19" t="s">
        <v>35</v>
      </c>
      <c r="M198" s="19" t="s">
        <v>40</v>
      </c>
      <c r="N198" s="19">
        <v>33.33</v>
      </c>
      <c r="O198" s="19">
        <v>33.33</v>
      </c>
      <c r="P198" s="19">
        <v>0</v>
      </c>
      <c r="Q198" s="19">
        <v>0</v>
      </c>
      <c r="S198" s="19">
        <v>1</v>
      </c>
      <c r="T198" s="19">
        <v>1</v>
      </c>
      <c r="U198" s="19">
        <v>0</v>
      </c>
      <c r="V198" s="19" t="s">
        <v>41</v>
      </c>
      <c r="W198" s="19">
        <v>1</v>
      </c>
      <c r="Y198" s="19" t="s">
        <v>40</v>
      </c>
      <c r="Z198" s="19">
        <v>33.33</v>
      </c>
      <c r="AA198" s="19">
        <v>33.33</v>
      </c>
    </row>
    <row r="199" spans="1:27" x14ac:dyDescent="0.25">
      <c r="A199" s="19" t="s">
        <v>338</v>
      </c>
      <c r="B199" s="19" t="s">
        <v>335</v>
      </c>
      <c r="C199" s="19" t="s">
        <v>336</v>
      </c>
      <c r="D199" s="19">
        <v>0.81499999999999995</v>
      </c>
      <c r="E199" s="19" t="s">
        <v>43</v>
      </c>
      <c r="F199" s="19" t="s">
        <v>44</v>
      </c>
      <c r="G199" s="19" t="s">
        <v>32</v>
      </c>
      <c r="H199" s="19" t="s">
        <v>33</v>
      </c>
      <c r="I199" s="19" t="s">
        <v>34</v>
      </c>
      <c r="J199" s="19">
        <v>18</v>
      </c>
      <c r="K199" s="19">
        <v>1.6299999999999999E-2</v>
      </c>
      <c r="L199" s="19" t="s">
        <v>35</v>
      </c>
      <c r="M199" s="19" t="s">
        <v>142</v>
      </c>
      <c r="N199" s="19">
        <v>50</v>
      </c>
      <c r="O199" s="19">
        <v>50</v>
      </c>
      <c r="P199" s="19">
        <v>0</v>
      </c>
      <c r="Q199" s="19">
        <v>0</v>
      </c>
      <c r="S199" s="19">
        <v>1</v>
      </c>
      <c r="T199" s="19">
        <v>1</v>
      </c>
      <c r="U199" s="19">
        <v>0</v>
      </c>
      <c r="V199" s="19" t="s">
        <v>41</v>
      </c>
      <c r="W199" s="19">
        <v>1</v>
      </c>
      <c r="Y199" s="19" t="s">
        <v>142</v>
      </c>
      <c r="Z199" s="19">
        <v>50</v>
      </c>
      <c r="AA199" s="19">
        <v>50</v>
      </c>
    </row>
    <row r="200" spans="1:27" x14ac:dyDescent="0.25">
      <c r="A200" s="19" t="s">
        <v>339</v>
      </c>
      <c r="B200" s="19" t="s">
        <v>335</v>
      </c>
      <c r="C200" s="19" t="s">
        <v>336</v>
      </c>
      <c r="D200" s="19">
        <v>0.81499999999999995</v>
      </c>
      <c r="E200" s="19" t="s">
        <v>46</v>
      </c>
      <c r="F200" s="19" t="s">
        <v>47</v>
      </c>
      <c r="G200" s="19" t="s">
        <v>32</v>
      </c>
      <c r="H200" s="19" t="s">
        <v>33</v>
      </c>
      <c r="I200" s="19" t="s">
        <v>34</v>
      </c>
      <c r="J200" s="19">
        <v>15</v>
      </c>
      <c r="K200" s="19">
        <v>1.6299999999999999E-2</v>
      </c>
      <c r="L200" s="19" t="s">
        <v>35</v>
      </c>
      <c r="M200" s="19" t="s">
        <v>142</v>
      </c>
      <c r="N200" s="19">
        <v>50</v>
      </c>
      <c r="O200" s="19">
        <v>50</v>
      </c>
      <c r="P200" s="19">
        <v>0</v>
      </c>
      <c r="Q200" s="19">
        <v>0</v>
      </c>
      <c r="S200" s="19">
        <v>1</v>
      </c>
      <c r="T200" s="19">
        <v>1</v>
      </c>
      <c r="U200" s="19">
        <v>0</v>
      </c>
      <c r="V200" s="19" t="s">
        <v>41</v>
      </c>
      <c r="W200" s="19">
        <v>1</v>
      </c>
      <c r="Y200" s="19" t="s">
        <v>142</v>
      </c>
      <c r="Z200" s="19">
        <v>50</v>
      </c>
      <c r="AA200" s="19">
        <v>50</v>
      </c>
    </row>
    <row r="201" spans="1:27" x14ac:dyDescent="0.25">
      <c r="A201" s="19" t="s">
        <v>340</v>
      </c>
      <c r="B201" s="19" t="s">
        <v>335</v>
      </c>
      <c r="C201" s="19" t="s">
        <v>336</v>
      </c>
      <c r="D201" s="19">
        <v>0.81499999999999995</v>
      </c>
      <c r="E201" s="19" t="s">
        <v>49</v>
      </c>
      <c r="F201" s="19" t="s">
        <v>50</v>
      </c>
      <c r="G201" s="19" t="s">
        <v>32</v>
      </c>
      <c r="H201" s="19" t="s">
        <v>33</v>
      </c>
      <c r="I201" s="19" t="s">
        <v>34</v>
      </c>
      <c r="J201" s="19">
        <v>12</v>
      </c>
      <c r="K201" s="19">
        <v>1.6299999999999999E-2</v>
      </c>
      <c r="L201" s="19" t="s">
        <v>35</v>
      </c>
      <c r="M201" s="19" t="s">
        <v>142</v>
      </c>
      <c r="N201" s="19">
        <v>50</v>
      </c>
      <c r="O201" s="19">
        <v>50</v>
      </c>
      <c r="P201" s="19">
        <v>0</v>
      </c>
      <c r="Q201" s="19">
        <v>0</v>
      </c>
      <c r="S201" s="19">
        <v>1</v>
      </c>
      <c r="T201" s="19">
        <v>1</v>
      </c>
      <c r="U201" s="19">
        <v>0</v>
      </c>
      <c r="V201" s="19" t="s">
        <v>41</v>
      </c>
      <c r="W201" s="19">
        <v>1</v>
      </c>
      <c r="Y201" s="19" t="s">
        <v>142</v>
      </c>
      <c r="Z201" s="19">
        <v>50</v>
      </c>
      <c r="AA201" s="19">
        <v>50</v>
      </c>
    </row>
    <row r="202" spans="1:27" x14ac:dyDescent="0.25">
      <c r="A202" s="19" t="s">
        <v>341</v>
      </c>
      <c r="B202" s="19" t="s">
        <v>335</v>
      </c>
      <c r="C202" s="19" t="s">
        <v>336</v>
      </c>
      <c r="D202" s="19">
        <v>0.81499999999999995</v>
      </c>
      <c r="E202" s="19" t="s">
        <v>52</v>
      </c>
      <c r="F202" s="19" t="s">
        <v>53</v>
      </c>
      <c r="G202" s="19" t="s">
        <v>32</v>
      </c>
      <c r="H202" s="19" t="s">
        <v>33</v>
      </c>
      <c r="I202" s="19" t="s">
        <v>34</v>
      </c>
      <c r="J202" s="19">
        <v>16</v>
      </c>
      <c r="K202" s="19">
        <v>1.6299999999999999E-2</v>
      </c>
      <c r="L202" s="19" t="s">
        <v>35</v>
      </c>
      <c r="M202" s="19" t="s">
        <v>142</v>
      </c>
      <c r="N202" s="19">
        <v>50</v>
      </c>
      <c r="O202" s="19">
        <v>50</v>
      </c>
      <c r="P202" s="19">
        <v>0</v>
      </c>
      <c r="Q202" s="19">
        <v>0</v>
      </c>
      <c r="S202" s="19">
        <v>1</v>
      </c>
      <c r="T202" s="19">
        <v>1</v>
      </c>
      <c r="U202" s="19">
        <v>0</v>
      </c>
      <c r="V202" s="19" t="s">
        <v>41</v>
      </c>
      <c r="W202" s="19">
        <v>1</v>
      </c>
      <c r="Y202" s="19" t="s">
        <v>142</v>
      </c>
      <c r="Z202" s="19">
        <v>50</v>
      </c>
      <c r="AA202" s="19">
        <v>50</v>
      </c>
    </row>
    <row r="203" spans="1:27" x14ac:dyDescent="0.25">
      <c r="A203" s="19" t="s">
        <v>342</v>
      </c>
      <c r="B203" s="19" t="s">
        <v>335</v>
      </c>
      <c r="C203" s="19" t="s">
        <v>336</v>
      </c>
      <c r="D203" s="19">
        <v>0.81499999999999995</v>
      </c>
      <c r="E203" s="19" t="s">
        <v>55</v>
      </c>
      <c r="F203" s="19" t="s">
        <v>56</v>
      </c>
      <c r="G203" s="19" t="s">
        <v>32</v>
      </c>
      <c r="H203" s="19" t="s">
        <v>33</v>
      </c>
      <c r="I203" s="19" t="s">
        <v>34</v>
      </c>
      <c r="J203" s="19">
        <v>14</v>
      </c>
      <c r="K203" s="19">
        <v>1.6299999999999999E-2</v>
      </c>
      <c r="L203" s="19" t="s">
        <v>35</v>
      </c>
      <c r="M203" s="19" t="s">
        <v>142</v>
      </c>
      <c r="N203" s="19">
        <v>50</v>
      </c>
      <c r="O203" s="19">
        <v>50</v>
      </c>
      <c r="P203" s="19">
        <v>0</v>
      </c>
      <c r="Q203" s="19">
        <v>0</v>
      </c>
      <c r="S203" s="19">
        <v>1</v>
      </c>
      <c r="T203" s="19">
        <v>1</v>
      </c>
      <c r="U203" s="19">
        <v>0</v>
      </c>
      <c r="V203" s="19" t="s">
        <v>41</v>
      </c>
      <c r="W203" s="19">
        <v>1</v>
      </c>
      <c r="Y203" s="19" t="s">
        <v>142</v>
      </c>
      <c r="Z203" s="19">
        <v>50</v>
      </c>
      <c r="AA203" s="19">
        <v>50</v>
      </c>
    </row>
    <row r="204" spans="1:27" x14ac:dyDescent="0.25">
      <c r="A204" s="19" t="s">
        <v>343</v>
      </c>
      <c r="B204" s="19" t="s">
        <v>335</v>
      </c>
      <c r="C204" s="19" t="s">
        <v>336</v>
      </c>
      <c r="D204" s="19">
        <v>0.81499999999999995</v>
      </c>
      <c r="E204" s="19" t="s">
        <v>58</v>
      </c>
      <c r="F204" s="19" t="s">
        <v>59</v>
      </c>
      <c r="G204" s="19" t="s">
        <v>32</v>
      </c>
      <c r="H204" s="19" t="s">
        <v>33</v>
      </c>
      <c r="I204" s="19" t="s">
        <v>34</v>
      </c>
      <c r="J204" s="19">
        <v>13</v>
      </c>
      <c r="K204" s="19">
        <v>1.6299999999999999E-2</v>
      </c>
      <c r="L204" s="19" t="s">
        <v>35</v>
      </c>
      <c r="M204" s="19" t="s">
        <v>142</v>
      </c>
      <c r="N204" s="19">
        <v>50</v>
      </c>
      <c r="O204" s="19">
        <v>50</v>
      </c>
      <c r="P204" s="19">
        <v>0</v>
      </c>
      <c r="Q204" s="19">
        <v>0</v>
      </c>
      <c r="S204" s="19">
        <v>1</v>
      </c>
      <c r="T204" s="19">
        <v>1</v>
      </c>
      <c r="U204" s="19">
        <v>0</v>
      </c>
      <c r="V204" s="19" t="s">
        <v>41</v>
      </c>
      <c r="W204" s="19">
        <v>1</v>
      </c>
      <c r="Y204" s="19" t="s">
        <v>142</v>
      </c>
      <c r="Z204" s="19">
        <v>50</v>
      </c>
      <c r="AA204" s="19">
        <v>50</v>
      </c>
    </row>
    <row r="205" spans="1:27" x14ac:dyDescent="0.25">
      <c r="A205" s="19" t="s">
        <v>344</v>
      </c>
      <c r="B205" s="19" t="s">
        <v>335</v>
      </c>
      <c r="C205" s="19" t="s">
        <v>336</v>
      </c>
      <c r="D205" s="19">
        <v>0.92999999999999905</v>
      </c>
      <c r="E205" s="19" t="s">
        <v>61</v>
      </c>
      <c r="F205" s="19" t="s">
        <v>62</v>
      </c>
      <c r="G205" s="19" t="s">
        <v>32</v>
      </c>
      <c r="H205" s="19" t="s">
        <v>63</v>
      </c>
      <c r="I205" s="19" t="s">
        <v>64</v>
      </c>
      <c r="J205" s="19">
        <v>22</v>
      </c>
      <c r="K205" s="19">
        <v>1.8599999999999998E-2</v>
      </c>
      <c r="L205" s="19" t="s">
        <v>35</v>
      </c>
      <c r="M205" s="19" t="s">
        <v>142</v>
      </c>
      <c r="N205" s="19">
        <v>50</v>
      </c>
      <c r="O205" s="19">
        <v>50</v>
      </c>
      <c r="P205" s="19">
        <v>0</v>
      </c>
      <c r="Q205" s="19">
        <v>0</v>
      </c>
      <c r="S205" s="19">
        <v>1</v>
      </c>
      <c r="T205" s="19">
        <v>1</v>
      </c>
      <c r="U205" s="19">
        <v>0</v>
      </c>
      <c r="V205" s="19" t="s">
        <v>41</v>
      </c>
      <c r="W205" s="19">
        <v>1</v>
      </c>
      <c r="Y205" s="19" t="s">
        <v>142</v>
      </c>
      <c r="Z205" s="19">
        <v>50</v>
      </c>
      <c r="AA205" s="19">
        <v>50</v>
      </c>
    </row>
    <row r="206" spans="1:27" x14ac:dyDescent="0.25">
      <c r="A206" s="19" t="s">
        <v>345</v>
      </c>
      <c r="B206" s="19" t="s">
        <v>335</v>
      </c>
      <c r="C206" s="19" t="s">
        <v>336</v>
      </c>
      <c r="D206" s="19">
        <v>0.92999999999999905</v>
      </c>
      <c r="E206" s="19" t="s">
        <v>66</v>
      </c>
      <c r="F206" s="19" t="s">
        <v>67</v>
      </c>
      <c r="G206" s="19" t="s">
        <v>32</v>
      </c>
      <c r="H206" s="19" t="s">
        <v>63</v>
      </c>
      <c r="I206" s="19" t="s">
        <v>64</v>
      </c>
      <c r="J206" s="19">
        <v>20</v>
      </c>
      <c r="K206" s="19">
        <v>1.8599999999999998E-2</v>
      </c>
      <c r="L206" s="19" t="s">
        <v>35</v>
      </c>
      <c r="M206" s="19" t="s">
        <v>142</v>
      </c>
      <c r="N206" s="19">
        <v>50</v>
      </c>
      <c r="O206" s="19">
        <v>50</v>
      </c>
      <c r="P206" s="19">
        <v>0</v>
      </c>
      <c r="Q206" s="19">
        <v>0</v>
      </c>
      <c r="S206" s="19">
        <v>1</v>
      </c>
      <c r="T206" s="19">
        <v>1</v>
      </c>
      <c r="U206" s="19">
        <v>0</v>
      </c>
      <c r="V206" s="19" t="s">
        <v>41</v>
      </c>
      <c r="W206" s="19">
        <v>1</v>
      </c>
      <c r="Y206" s="19" t="s">
        <v>142</v>
      </c>
      <c r="Z206" s="19">
        <v>50</v>
      </c>
      <c r="AA206" s="19">
        <v>50</v>
      </c>
    </row>
    <row r="207" spans="1:27" x14ac:dyDescent="0.25">
      <c r="A207" s="19" t="s">
        <v>346</v>
      </c>
      <c r="B207" s="19" t="s">
        <v>335</v>
      </c>
      <c r="C207" s="19" t="s">
        <v>336</v>
      </c>
      <c r="D207" s="19">
        <v>0.61993799999999899</v>
      </c>
      <c r="E207" s="19" t="s">
        <v>69</v>
      </c>
      <c r="F207" s="19" t="s">
        <v>70</v>
      </c>
      <c r="G207" s="19" t="s">
        <v>32</v>
      </c>
      <c r="H207" s="19" t="s">
        <v>63</v>
      </c>
      <c r="I207" s="19" t="s">
        <v>64</v>
      </c>
      <c r="J207" s="19">
        <v>23</v>
      </c>
      <c r="K207" s="19">
        <v>1.8599999999999998E-2</v>
      </c>
      <c r="L207" s="19" t="s">
        <v>35</v>
      </c>
      <c r="M207" s="19" t="s">
        <v>40</v>
      </c>
      <c r="N207" s="19">
        <v>33.33</v>
      </c>
      <c r="O207" s="19">
        <v>33.33</v>
      </c>
      <c r="P207" s="19">
        <v>0</v>
      </c>
      <c r="Q207" s="19">
        <v>0</v>
      </c>
      <c r="S207" s="19">
        <v>1</v>
      </c>
      <c r="T207" s="19">
        <v>1</v>
      </c>
      <c r="U207" s="19">
        <v>0</v>
      </c>
      <c r="V207" s="19" t="s">
        <v>41</v>
      </c>
      <c r="W207" s="19">
        <v>1</v>
      </c>
      <c r="Y207" s="19" t="s">
        <v>40</v>
      </c>
      <c r="Z207" s="19">
        <v>33.33</v>
      </c>
      <c r="AA207" s="19">
        <v>33.33</v>
      </c>
    </row>
    <row r="208" spans="1:27" x14ac:dyDescent="0.25">
      <c r="A208" s="19" t="s">
        <v>347</v>
      </c>
      <c r="B208" s="19" t="s">
        <v>335</v>
      </c>
      <c r="C208" s="19" t="s">
        <v>336</v>
      </c>
      <c r="D208" s="19">
        <v>0.61993799999999899</v>
      </c>
      <c r="E208" s="19" t="s">
        <v>72</v>
      </c>
      <c r="F208" s="19" t="s">
        <v>73</v>
      </c>
      <c r="G208" s="19" t="s">
        <v>32</v>
      </c>
      <c r="H208" s="19" t="s">
        <v>63</v>
      </c>
      <c r="I208" s="19" t="s">
        <v>64</v>
      </c>
      <c r="J208" s="19">
        <v>21</v>
      </c>
      <c r="K208" s="19">
        <v>1.8599999999999998E-2</v>
      </c>
      <c r="L208" s="19" t="s">
        <v>35</v>
      </c>
      <c r="M208" s="19" t="s">
        <v>40</v>
      </c>
      <c r="N208" s="19">
        <v>33.33</v>
      </c>
      <c r="O208" s="19">
        <v>33.33</v>
      </c>
      <c r="P208" s="19">
        <v>0</v>
      </c>
      <c r="Q208" s="19">
        <v>0</v>
      </c>
      <c r="S208" s="19">
        <v>1</v>
      </c>
      <c r="T208" s="19">
        <v>1</v>
      </c>
      <c r="U208" s="19">
        <v>0</v>
      </c>
      <c r="V208" s="19" t="s">
        <v>41</v>
      </c>
      <c r="W208" s="19">
        <v>1</v>
      </c>
      <c r="Y208" s="19" t="s">
        <v>40</v>
      </c>
      <c r="Z208" s="19">
        <v>33.33</v>
      </c>
      <c r="AA208" s="19">
        <v>33.33</v>
      </c>
    </row>
    <row r="209" spans="1:27" x14ac:dyDescent="0.25">
      <c r="A209" s="19" t="s">
        <v>348</v>
      </c>
      <c r="B209" s="19" t="s">
        <v>335</v>
      </c>
      <c r="C209" s="19" t="s">
        <v>336</v>
      </c>
      <c r="D209" s="19">
        <v>0.92999999999999905</v>
      </c>
      <c r="E209" s="19" t="s">
        <v>75</v>
      </c>
      <c r="F209" s="19" t="s">
        <v>76</v>
      </c>
      <c r="G209" s="19" t="s">
        <v>32</v>
      </c>
      <c r="H209" s="19" t="s">
        <v>63</v>
      </c>
      <c r="I209" s="19" t="s">
        <v>64</v>
      </c>
      <c r="J209" s="19">
        <v>24</v>
      </c>
      <c r="K209" s="19">
        <v>1.8599999999999998E-2</v>
      </c>
      <c r="L209" s="19" t="s">
        <v>35</v>
      </c>
      <c r="M209" s="19" t="s">
        <v>142</v>
      </c>
      <c r="N209" s="19">
        <v>50</v>
      </c>
      <c r="O209" s="19">
        <v>50</v>
      </c>
      <c r="P209" s="19">
        <v>0</v>
      </c>
      <c r="Q209" s="19">
        <v>0</v>
      </c>
      <c r="S209" s="19">
        <v>1</v>
      </c>
      <c r="T209" s="19">
        <v>1</v>
      </c>
      <c r="U209" s="19">
        <v>0</v>
      </c>
      <c r="V209" s="19" t="s">
        <v>41</v>
      </c>
      <c r="W209" s="19">
        <v>1</v>
      </c>
      <c r="Y209" s="19" t="s">
        <v>142</v>
      </c>
      <c r="Z209" s="19">
        <v>50</v>
      </c>
      <c r="AA209" s="19">
        <v>50</v>
      </c>
    </row>
    <row r="210" spans="1:27" x14ac:dyDescent="0.25">
      <c r="A210" s="19" t="s">
        <v>349</v>
      </c>
      <c r="B210" s="19" t="s">
        <v>335</v>
      </c>
      <c r="C210" s="19" t="s">
        <v>336</v>
      </c>
      <c r="D210" s="19">
        <v>0</v>
      </c>
      <c r="E210" s="19" t="s">
        <v>78</v>
      </c>
      <c r="F210" s="19" t="s">
        <v>79</v>
      </c>
      <c r="G210" s="19" t="s">
        <v>32</v>
      </c>
      <c r="H210" s="19" t="s">
        <v>63</v>
      </c>
      <c r="I210" s="19" t="s">
        <v>64</v>
      </c>
      <c r="J210" s="19">
        <v>25</v>
      </c>
      <c r="K210" s="19">
        <v>1.8599999999999998E-2</v>
      </c>
      <c r="L210" s="19" t="s">
        <v>35</v>
      </c>
      <c r="M210" s="19" t="s">
        <v>142</v>
      </c>
      <c r="N210" s="19">
        <v>0</v>
      </c>
      <c r="O210" s="19">
        <v>0</v>
      </c>
      <c r="P210" s="19">
        <v>0</v>
      </c>
      <c r="Q210" s="19">
        <v>0</v>
      </c>
      <c r="S210" s="19">
        <v>1</v>
      </c>
      <c r="T210" s="19">
        <v>1</v>
      </c>
      <c r="U210" s="19">
        <v>0</v>
      </c>
      <c r="V210" s="19" t="s">
        <v>80</v>
      </c>
      <c r="W210" s="19">
        <v>0</v>
      </c>
      <c r="Y210" s="19" t="s">
        <v>142</v>
      </c>
      <c r="Z210" s="19">
        <v>50</v>
      </c>
      <c r="AA210" s="19">
        <v>0</v>
      </c>
    </row>
    <row r="211" spans="1:27" x14ac:dyDescent="0.25">
      <c r="A211" s="19" t="s">
        <v>350</v>
      </c>
      <c r="B211" s="19" t="s">
        <v>335</v>
      </c>
      <c r="C211" s="19" t="s">
        <v>336</v>
      </c>
      <c r="D211" s="19">
        <v>0</v>
      </c>
      <c r="E211" s="19" t="s">
        <v>82</v>
      </c>
      <c r="F211" s="19" t="s">
        <v>83</v>
      </c>
      <c r="G211" s="19" t="s">
        <v>32</v>
      </c>
      <c r="H211" s="19" t="s">
        <v>63</v>
      </c>
      <c r="I211" s="19" t="s">
        <v>64</v>
      </c>
      <c r="J211" s="19">
        <v>26</v>
      </c>
      <c r="K211" s="19">
        <v>1.8599999999999998E-2</v>
      </c>
      <c r="L211" s="19" t="s">
        <v>35</v>
      </c>
      <c r="N211" s="19">
        <v>0</v>
      </c>
      <c r="O211" s="19">
        <v>0</v>
      </c>
      <c r="P211" s="19">
        <v>0</v>
      </c>
      <c r="Q211" s="19">
        <v>0</v>
      </c>
      <c r="S211" s="19">
        <v>1</v>
      </c>
      <c r="T211" s="19">
        <v>1</v>
      </c>
      <c r="U211" s="19">
        <v>0</v>
      </c>
      <c r="V211" s="19" t="s">
        <v>36</v>
      </c>
      <c r="W211" s="19">
        <v>0</v>
      </c>
      <c r="Z211" s="19">
        <v>0</v>
      </c>
      <c r="AA211" s="19">
        <v>0</v>
      </c>
    </row>
    <row r="212" spans="1:27" x14ac:dyDescent="0.25">
      <c r="A212" s="19" t="s">
        <v>351</v>
      </c>
      <c r="B212" s="19" t="s">
        <v>335</v>
      </c>
      <c r="C212" s="19" t="s">
        <v>336</v>
      </c>
      <c r="D212" s="19">
        <v>0</v>
      </c>
      <c r="E212" s="19" t="s">
        <v>85</v>
      </c>
      <c r="F212" s="19" t="s">
        <v>86</v>
      </c>
      <c r="G212" s="19" t="s">
        <v>32</v>
      </c>
      <c r="H212" s="19" t="s">
        <v>87</v>
      </c>
      <c r="I212" s="19" t="s">
        <v>88</v>
      </c>
      <c r="J212" s="19">
        <v>35</v>
      </c>
      <c r="K212" s="19">
        <v>3.2500000000000001E-2</v>
      </c>
      <c r="L212" s="19" t="s">
        <v>35</v>
      </c>
      <c r="N212" s="19">
        <v>0</v>
      </c>
      <c r="O212" s="19">
        <v>0</v>
      </c>
      <c r="P212" s="19">
        <v>0</v>
      </c>
      <c r="Q212" s="19">
        <v>0</v>
      </c>
      <c r="S212" s="19">
        <v>1</v>
      </c>
      <c r="T212" s="19">
        <v>1</v>
      </c>
      <c r="U212" s="19">
        <v>0</v>
      </c>
      <c r="V212" s="19" t="s">
        <v>36</v>
      </c>
      <c r="W212" s="19">
        <v>0</v>
      </c>
      <c r="Z212" s="19">
        <v>0</v>
      </c>
      <c r="AA212" s="19">
        <v>0</v>
      </c>
    </row>
    <row r="213" spans="1:27" x14ac:dyDescent="0.25">
      <c r="A213" s="19" t="s">
        <v>352</v>
      </c>
      <c r="B213" s="19" t="s">
        <v>335</v>
      </c>
      <c r="C213" s="19" t="s">
        <v>336</v>
      </c>
      <c r="D213" s="19">
        <v>1.625</v>
      </c>
      <c r="E213" s="19" t="s">
        <v>90</v>
      </c>
      <c r="F213" s="19" t="s">
        <v>91</v>
      </c>
      <c r="G213" s="19" t="s">
        <v>32</v>
      </c>
      <c r="H213" s="19" t="s">
        <v>87</v>
      </c>
      <c r="I213" s="19" t="s">
        <v>88</v>
      </c>
      <c r="J213" s="19">
        <v>33</v>
      </c>
      <c r="K213" s="19">
        <v>3.2500000000000001E-2</v>
      </c>
      <c r="L213" s="19" t="s">
        <v>35</v>
      </c>
      <c r="M213" s="19" t="s">
        <v>142</v>
      </c>
      <c r="N213" s="19">
        <v>50</v>
      </c>
      <c r="O213" s="19">
        <v>50</v>
      </c>
      <c r="P213" s="19">
        <v>0</v>
      </c>
      <c r="Q213" s="19">
        <v>0</v>
      </c>
      <c r="S213" s="19">
        <v>1</v>
      </c>
      <c r="T213" s="19">
        <v>1</v>
      </c>
      <c r="U213" s="19">
        <v>0</v>
      </c>
      <c r="V213" s="19" t="s">
        <v>41</v>
      </c>
      <c r="W213" s="19">
        <v>1</v>
      </c>
      <c r="Y213" s="19" t="s">
        <v>142</v>
      </c>
      <c r="Z213" s="19">
        <v>50</v>
      </c>
      <c r="AA213" s="19">
        <v>50</v>
      </c>
    </row>
    <row r="214" spans="1:27" x14ac:dyDescent="0.25">
      <c r="A214" s="19" t="s">
        <v>353</v>
      </c>
      <c r="B214" s="19" t="s">
        <v>335</v>
      </c>
      <c r="C214" s="19" t="s">
        <v>336</v>
      </c>
      <c r="D214" s="19">
        <v>1.625</v>
      </c>
      <c r="E214" s="19" t="s">
        <v>93</v>
      </c>
      <c r="F214" s="19" t="s">
        <v>94</v>
      </c>
      <c r="G214" s="19" t="s">
        <v>32</v>
      </c>
      <c r="H214" s="19" t="s">
        <v>87</v>
      </c>
      <c r="I214" s="19" t="s">
        <v>88</v>
      </c>
      <c r="J214" s="19">
        <v>34</v>
      </c>
      <c r="K214" s="19">
        <v>3.2500000000000001E-2</v>
      </c>
      <c r="L214" s="19" t="s">
        <v>35</v>
      </c>
      <c r="M214" s="19" t="s">
        <v>142</v>
      </c>
      <c r="N214" s="19">
        <v>50</v>
      </c>
      <c r="O214" s="19">
        <v>50</v>
      </c>
      <c r="P214" s="19">
        <v>0</v>
      </c>
      <c r="Q214" s="19">
        <v>0</v>
      </c>
      <c r="S214" s="19">
        <v>1</v>
      </c>
      <c r="T214" s="19">
        <v>1</v>
      </c>
      <c r="U214" s="19">
        <v>0</v>
      </c>
      <c r="V214" s="19" t="s">
        <v>41</v>
      </c>
      <c r="W214" s="19">
        <v>1</v>
      </c>
      <c r="Y214" s="19" t="s">
        <v>142</v>
      </c>
      <c r="Z214" s="19">
        <v>50</v>
      </c>
      <c r="AA214" s="19">
        <v>50</v>
      </c>
    </row>
    <row r="215" spans="1:27" x14ac:dyDescent="0.25">
      <c r="A215" s="19" t="s">
        <v>354</v>
      </c>
      <c r="B215" s="19" t="s">
        <v>335</v>
      </c>
      <c r="C215" s="19" t="s">
        <v>336</v>
      </c>
      <c r="D215" s="19">
        <v>0</v>
      </c>
      <c r="E215" s="19" t="s">
        <v>96</v>
      </c>
      <c r="F215" s="19" t="s">
        <v>97</v>
      </c>
      <c r="G215" s="19" t="s">
        <v>32</v>
      </c>
      <c r="H215" s="19" t="s">
        <v>87</v>
      </c>
      <c r="I215" s="19" t="s">
        <v>88</v>
      </c>
      <c r="J215" s="19">
        <v>36</v>
      </c>
      <c r="K215" s="19">
        <v>3.2500000000000001E-2</v>
      </c>
      <c r="L215" s="19" t="s">
        <v>35</v>
      </c>
      <c r="N215" s="19">
        <v>0</v>
      </c>
      <c r="O215" s="19">
        <v>0</v>
      </c>
      <c r="P215" s="19">
        <v>0</v>
      </c>
      <c r="Q215" s="19">
        <v>0</v>
      </c>
      <c r="S215" s="19">
        <v>1</v>
      </c>
      <c r="T215" s="19">
        <v>1</v>
      </c>
      <c r="U215" s="19">
        <v>0</v>
      </c>
      <c r="V215" s="19" t="s">
        <v>36</v>
      </c>
      <c r="W215" s="19">
        <v>0</v>
      </c>
      <c r="Z215" s="19">
        <v>0</v>
      </c>
      <c r="AA215" s="19">
        <v>0</v>
      </c>
    </row>
    <row r="216" spans="1:27" x14ac:dyDescent="0.25">
      <c r="A216" s="19" t="s">
        <v>355</v>
      </c>
      <c r="B216" s="19" t="s">
        <v>335</v>
      </c>
      <c r="C216" s="19" t="s">
        <v>336</v>
      </c>
      <c r="D216" s="19">
        <v>0</v>
      </c>
      <c r="E216" s="19" t="s">
        <v>99</v>
      </c>
      <c r="F216" s="19" t="s">
        <v>100</v>
      </c>
      <c r="G216" s="19" t="s">
        <v>32</v>
      </c>
      <c r="H216" s="19" t="s">
        <v>101</v>
      </c>
      <c r="I216" s="19" t="s">
        <v>102</v>
      </c>
      <c r="J216" s="19">
        <v>39</v>
      </c>
      <c r="K216" s="19">
        <v>4.3299999999999998E-2</v>
      </c>
      <c r="L216" s="19" t="s">
        <v>35</v>
      </c>
      <c r="M216" s="19" t="s">
        <v>103</v>
      </c>
      <c r="N216" s="19">
        <v>0</v>
      </c>
      <c r="O216" s="19">
        <v>0</v>
      </c>
      <c r="P216" s="19">
        <v>0</v>
      </c>
      <c r="Q216" s="19">
        <v>0</v>
      </c>
      <c r="S216" s="19">
        <v>1</v>
      </c>
      <c r="T216" s="19">
        <v>1</v>
      </c>
      <c r="U216" s="19">
        <v>0</v>
      </c>
      <c r="V216" s="19" t="s">
        <v>36</v>
      </c>
      <c r="W216" s="19">
        <v>0</v>
      </c>
      <c r="Y216" s="19" t="s">
        <v>103</v>
      </c>
      <c r="Z216" s="19">
        <v>50</v>
      </c>
      <c r="AA216" s="19">
        <v>0</v>
      </c>
    </row>
    <row r="217" spans="1:27" x14ac:dyDescent="0.25">
      <c r="A217" s="19" t="s">
        <v>356</v>
      </c>
      <c r="B217" s="19" t="s">
        <v>335</v>
      </c>
      <c r="C217" s="19" t="s">
        <v>336</v>
      </c>
      <c r="D217" s="19">
        <v>0</v>
      </c>
      <c r="E217" s="19" t="s">
        <v>105</v>
      </c>
      <c r="F217" s="19" t="s">
        <v>106</v>
      </c>
      <c r="G217" s="19" t="s">
        <v>32</v>
      </c>
      <c r="H217" s="19" t="s">
        <v>101</v>
      </c>
      <c r="I217" s="19" t="s">
        <v>102</v>
      </c>
      <c r="J217" s="19">
        <v>38</v>
      </c>
      <c r="K217" s="19">
        <v>4.3299999999999998E-2</v>
      </c>
      <c r="L217" s="19" t="s">
        <v>35</v>
      </c>
      <c r="M217" s="19" t="s">
        <v>103</v>
      </c>
      <c r="N217" s="19">
        <v>0</v>
      </c>
      <c r="O217" s="19">
        <v>0</v>
      </c>
      <c r="P217" s="19">
        <v>0</v>
      </c>
      <c r="Q217" s="19">
        <v>0</v>
      </c>
      <c r="S217" s="19">
        <v>1</v>
      </c>
      <c r="T217" s="19">
        <v>1</v>
      </c>
      <c r="U217" s="19">
        <v>0</v>
      </c>
      <c r="V217" s="19" t="s">
        <v>36</v>
      </c>
      <c r="W217" s="19">
        <v>0</v>
      </c>
      <c r="Y217" s="19" t="s">
        <v>103</v>
      </c>
      <c r="Z217" s="19">
        <v>50</v>
      </c>
      <c r="AA217" s="19">
        <v>0</v>
      </c>
    </row>
    <row r="218" spans="1:27" x14ac:dyDescent="0.25">
      <c r="A218" s="19" t="s">
        <v>357</v>
      </c>
      <c r="B218" s="19" t="s">
        <v>335</v>
      </c>
      <c r="C218" s="19" t="s">
        <v>336</v>
      </c>
      <c r="D218" s="19">
        <v>0</v>
      </c>
      <c r="E218" s="19" t="s">
        <v>108</v>
      </c>
      <c r="F218" s="19" t="s">
        <v>109</v>
      </c>
      <c r="G218" s="19" t="s">
        <v>32</v>
      </c>
      <c r="H218" s="19" t="s">
        <v>101</v>
      </c>
      <c r="I218" s="19" t="s">
        <v>102</v>
      </c>
      <c r="J218" s="19">
        <v>37</v>
      </c>
      <c r="K218" s="19">
        <v>4.3299999999999998E-2</v>
      </c>
      <c r="L218" s="19" t="s">
        <v>35</v>
      </c>
      <c r="N218" s="19">
        <v>0</v>
      </c>
      <c r="O218" s="19">
        <v>0</v>
      </c>
      <c r="P218" s="19">
        <v>0</v>
      </c>
      <c r="Q218" s="19">
        <v>0</v>
      </c>
      <c r="S218" s="19">
        <v>1</v>
      </c>
      <c r="T218" s="19">
        <v>1</v>
      </c>
      <c r="U218" s="19">
        <v>0</v>
      </c>
      <c r="V218" s="19" t="s">
        <v>36</v>
      </c>
      <c r="W218" s="19">
        <v>0</v>
      </c>
      <c r="Z218" s="19">
        <v>0</v>
      </c>
      <c r="AA218" s="19">
        <v>0</v>
      </c>
    </row>
    <row r="219" spans="1:27" x14ac:dyDescent="0.25">
      <c r="A219" s="19" t="s">
        <v>358</v>
      </c>
      <c r="B219" s="19" t="s">
        <v>335</v>
      </c>
      <c r="C219" s="19" t="s">
        <v>336</v>
      </c>
      <c r="D219" s="19">
        <v>0</v>
      </c>
      <c r="E219" s="19" t="s">
        <v>112</v>
      </c>
      <c r="F219" s="19" t="s">
        <v>113</v>
      </c>
      <c r="G219" s="19" t="s">
        <v>32</v>
      </c>
      <c r="H219" s="19" t="s">
        <v>114</v>
      </c>
      <c r="I219" s="19" t="s">
        <v>115</v>
      </c>
      <c r="J219" s="19">
        <v>30</v>
      </c>
      <c r="K219" s="19">
        <v>2.1700000000000001E-2</v>
      </c>
      <c r="L219" s="19" t="s">
        <v>35</v>
      </c>
      <c r="M219" s="19" t="s">
        <v>103</v>
      </c>
      <c r="N219" s="19">
        <v>0</v>
      </c>
      <c r="O219" s="19">
        <v>0</v>
      </c>
      <c r="P219" s="19">
        <v>0</v>
      </c>
      <c r="Q219" s="19">
        <v>0</v>
      </c>
      <c r="S219" s="19">
        <v>1</v>
      </c>
      <c r="T219" s="19">
        <v>1</v>
      </c>
      <c r="U219" s="19">
        <v>0</v>
      </c>
      <c r="V219" s="19" t="s">
        <v>36</v>
      </c>
      <c r="W219" s="19">
        <v>0</v>
      </c>
      <c r="Y219" s="19" t="s">
        <v>103</v>
      </c>
      <c r="Z219" s="19">
        <v>50</v>
      </c>
      <c r="AA219" s="19">
        <v>0</v>
      </c>
    </row>
    <row r="220" spans="1:27" x14ac:dyDescent="0.25">
      <c r="A220" s="19" t="s">
        <v>359</v>
      </c>
      <c r="B220" s="19" t="s">
        <v>335</v>
      </c>
      <c r="C220" s="19" t="s">
        <v>336</v>
      </c>
      <c r="D220" s="19">
        <v>1.085</v>
      </c>
      <c r="E220" s="19" t="s">
        <v>117</v>
      </c>
      <c r="F220" s="19" t="s">
        <v>118</v>
      </c>
      <c r="G220" s="19" t="s">
        <v>32</v>
      </c>
      <c r="H220" s="19" t="s">
        <v>114</v>
      </c>
      <c r="I220" s="19" t="s">
        <v>115</v>
      </c>
      <c r="J220" s="19">
        <v>31</v>
      </c>
      <c r="K220" s="19">
        <v>2.1700000000000001E-2</v>
      </c>
      <c r="L220" s="19" t="s">
        <v>35</v>
      </c>
      <c r="M220" s="19" t="s">
        <v>103</v>
      </c>
      <c r="N220" s="19">
        <v>50</v>
      </c>
      <c r="O220" s="19">
        <v>50</v>
      </c>
      <c r="P220" s="19">
        <v>0</v>
      </c>
      <c r="Q220" s="19">
        <v>0</v>
      </c>
      <c r="S220" s="19">
        <v>1</v>
      </c>
      <c r="T220" s="19">
        <v>1</v>
      </c>
      <c r="U220" s="19">
        <v>0</v>
      </c>
      <c r="V220" s="19" t="s">
        <v>41</v>
      </c>
      <c r="W220" s="19">
        <v>1</v>
      </c>
      <c r="Y220" s="19" t="s">
        <v>103</v>
      </c>
      <c r="Z220" s="19">
        <v>50</v>
      </c>
      <c r="AA220" s="19">
        <v>50</v>
      </c>
    </row>
    <row r="221" spans="1:27" x14ac:dyDescent="0.25">
      <c r="A221" s="19" t="s">
        <v>360</v>
      </c>
      <c r="B221" s="19" t="s">
        <v>335</v>
      </c>
      <c r="C221" s="19" t="s">
        <v>336</v>
      </c>
      <c r="D221" s="19">
        <v>0</v>
      </c>
      <c r="E221" s="19" t="s">
        <v>120</v>
      </c>
      <c r="F221" s="19" t="s">
        <v>121</v>
      </c>
      <c r="G221" s="19" t="s">
        <v>32</v>
      </c>
      <c r="H221" s="19" t="s">
        <v>114</v>
      </c>
      <c r="I221" s="19" t="s">
        <v>115</v>
      </c>
      <c r="J221" s="19">
        <v>28</v>
      </c>
      <c r="K221" s="19">
        <v>2.1700000000000001E-2</v>
      </c>
      <c r="L221" s="19" t="s">
        <v>35</v>
      </c>
      <c r="M221" s="19" t="s">
        <v>103</v>
      </c>
      <c r="N221" s="19">
        <v>0</v>
      </c>
      <c r="O221" s="19">
        <v>0</v>
      </c>
      <c r="P221" s="19">
        <v>0</v>
      </c>
      <c r="Q221" s="19">
        <v>0</v>
      </c>
      <c r="S221" s="19">
        <v>1</v>
      </c>
      <c r="T221" s="19">
        <v>1</v>
      </c>
      <c r="U221" s="19">
        <v>0</v>
      </c>
      <c r="V221" s="19" t="s">
        <v>36</v>
      </c>
      <c r="W221" s="19">
        <v>0</v>
      </c>
      <c r="Y221" s="19" t="s">
        <v>103</v>
      </c>
      <c r="Z221" s="19">
        <v>50</v>
      </c>
      <c r="AA221" s="19">
        <v>0</v>
      </c>
    </row>
    <row r="222" spans="1:27" x14ac:dyDescent="0.25">
      <c r="A222" s="19" t="s">
        <v>361</v>
      </c>
      <c r="B222" s="19" t="s">
        <v>335</v>
      </c>
      <c r="C222" s="19" t="s">
        <v>336</v>
      </c>
      <c r="D222" s="19">
        <v>0</v>
      </c>
      <c r="E222" s="19" t="s">
        <v>123</v>
      </c>
      <c r="F222" s="19" t="s">
        <v>124</v>
      </c>
      <c r="G222" s="19" t="s">
        <v>32</v>
      </c>
      <c r="H222" s="19" t="s">
        <v>114</v>
      </c>
      <c r="I222" s="19" t="s">
        <v>115</v>
      </c>
      <c r="J222" s="19">
        <v>27</v>
      </c>
      <c r="K222" s="19">
        <v>2.1700000000000001E-2</v>
      </c>
      <c r="L222" s="19" t="s">
        <v>35</v>
      </c>
      <c r="M222" s="19" t="s">
        <v>103</v>
      </c>
      <c r="N222" s="19">
        <v>0</v>
      </c>
      <c r="O222" s="19">
        <v>0</v>
      </c>
      <c r="P222" s="19">
        <v>0</v>
      </c>
      <c r="Q222" s="19">
        <v>0</v>
      </c>
      <c r="S222" s="19">
        <v>1</v>
      </c>
      <c r="T222" s="19">
        <v>1</v>
      </c>
      <c r="U222" s="19">
        <v>0</v>
      </c>
      <c r="V222" s="19" t="s">
        <v>36</v>
      </c>
      <c r="W222" s="19">
        <v>0</v>
      </c>
      <c r="Y222" s="19" t="s">
        <v>103</v>
      </c>
      <c r="Z222" s="19">
        <v>50</v>
      </c>
      <c r="AA222" s="19">
        <v>0</v>
      </c>
    </row>
    <row r="223" spans="1:27" x14ac:dyDescent="0.25">
      <c r="A223" s="19" t="s">
        <v>362</v>
      </c>
      <c r="B223" s="19" t="s">
        <v>335</v>
      </c>
      <c r="C223" s="19" t="s">
        <v>336</v>
      </c>
      <c r="D223" s="19">
        <v>1.085</v>
      </c>
      <c r="E223" s="19" t="s">
        <v>126</v>
      </c>
      <c r="F223" s="19" t="s">
        <v>127</v>
      </c>
      <c r="G223" s="19" t="s">
        <v>32</v>
      </c>
      <c r="H223" s="19" t="s">
        <v>114</v>
      </c>
      <c r="I223" s="19" t="s">
        <v>115</v>
      </c>
      <c r="J223" s="19">
        <v>29</v>
      </c>
      <c r="K223" s="19">
        <v>2.1700000000000001E-2</v>
      </c>
      <c r="L223" s="19" t="s">
        <v>35</v>
      </c>
      <c r="M223" s="19" t="s">
        <v>103</v>
      </c>
      <c r="N223" s="19">
        <v>50</v>
      </c>
      <c r="O223" s="19">
        <v>50</v>
      </c>
      <c r="P223" s="19">
        <v>0</v>
      </c>
      <c r="Q223" s="19">
        <v>0</v>
      </c>
      <c r="S223" s="19">
        <v>1</v>
      </c>
      <c r="T223" s="19">
        <v>1</v>
      </c>
      <c r="U223" s="19">
        <v>0</v>
      </c>
      <c r="V223" s="19" t="s">
        <v>41</v>
      </c>
      <c r="W223" s="19">
        <v>1</v>
      </c>
      <c r="Y223" s="19" t="s">
        <v>103</v>
      </c>
      <c r="Z223" s="19">
        <v>50</v>
      </c>
      <c r="AA223" s="19">
        <v>50</v>
      </c>
    </row>
    <row r="224" spans="1:27" x14ac:dyDescent="0.25">
      <c r="A224" s="19" t="s">
        <v>363</v>
      </c>
      <c r="B224" s="19" t="s">
        <v>335</v>
      </c>
      <c r="C224" s="19" t="s">
        <v>336</v>
      </c>
      <c r="D224" s="19">
        <v>1.085</v>
      </c>
      <c r="E224" s="19" t="s">
        <v>129</v>
      </c>
      <c r="F224" s="19" t="s">
        <v>130</v>
      </c>
      <c r="G224" s="19" t="s">
        <v>32</v>
      </c>
      <c r="H224" s="19" t="s">
        <v>114</v>
      </c>
      <c r="I224" s="19" t="s">
        <v>115</v>
      </c>
      <c r="J224" s="19">
        <v>32</v>
      </c>
      <c r="K224" s="19">
        <v>2.1700000000000001E-2</v>
      </c>
      <c r="L224" s="19" t="s">
        <v>35</v>
      </c>
      <c r="M224" s="19" t="s">
        <v>103</v>
      </c>
      <c r="N224" s="19">
        <v>50</v>
      </c>
      <c r="O224" s="19">
        <v>50</v>
      </c>
      <c r="P224" s="19">
        <v>0</v>
      </c>
      <c r="Q224" s="19">
        <v>0</v>
      </c>
      <c r="S224" s="19">
        <v>1</v>
      </c>
      <c r="T224" s="19">
        <v>1</v>
      </c>
      <c r="U224" s="19">
        <v>0</v>
      </c>
      <c r="V224" s="19" t="s">
        <v>41</v>
      </c>
      <c r="W224" s="19">
        <v>1</v>
      </c>
      <c r="Y224" s="19" t="s">
        <v>103</v>
      </c>
      <c r="Z224" s="19">
        <v>50</v>
      </c>
      <c r="AA224" s="19">
        <v>50</v>
      </c>
    </row>
    <row r="225" spans="1:27" x14ac:dyDescent="0.25">
      <c r="A225" s="19" t="s">
        <v>364</v>
      </c>
      <c r="B225" s="19" t="s">
        <v>335</v>
      </c>
      <c r="C225" s="19" t="s">
        <v>336</v>
      </c>
      <c r="D225" s="19">
        <v>0</v>
      </c>
      <c r="E225" s="19" t="s">
        <v>132</v>
      </c>
      <c r="F225" s="19" t="s">
        <v>133</v>
      </c>
      <c r="G225" s="19" t="s">
        <v>134</v>
      </c>
      <c r="H225" s="19" t="s">
        <v>87</v>
      </c>
      <c r="I225" s="19" t="s">
        <v>135</v>
      </c>
      <c r="J225" s="19">
        <v>11</v>
      </c>
      <c r="K225" s="19">
        <v>4.1700000000000001E-2</v>
      </c>
      <c r="L225" s="19" t="s">
        <v>35</v>
      </c>
      <c r="M225" s="19" t="s">
        <v>103</v>
      </c>
      <c r="N225" s="19">
        <v>0</v>
      </c>
      <c r="O225" s="19">
        <v>0</v>
      </c>
      <c r="P225" s="19">
        <v>0</v>
      </c>
      <c r="Q225" s="19">
        <v>0</v>
      </c>
      <c r="S225" s="19">
        <v>1</v>
      </c>
      <c r="T225" s="19">
        <v>1</v>
      </c>
      <c r="U225" s="19">
        <v>0</v>
      </c>
      <c r="V225" s="19" t="s">
        <v>36</v>
      </c>
      <c r="W225" s="19">
        <v>0</v>
      </c>
      <c r="Y225" s="19" t="s">
        <v>103</v>
      </c>
      <c r="Z225" s="19">
        <v>50</v>
      </c>
      <c r="AA225" s="19">
        <v>0</v>
      </c>
    </row>
    <row r="226" spans="1:27" x14ac:dyDescent="0.25">
      <c r="A226" s="19" t="s">
        <v>365</v>
      </c>
      <c r="B226" s="19" t="s">
        <v>335</v>
      </c>
      <c r="C226" s="19" t="s">
        <v>336</v>
      </c>
      <c r="D226" s="19">
        <v>0.463287</v>
      </c>
      <c r="E226" s="19" t="s">
        <v>137</v>
      </c>
      <c r="F226" s="19" t="s">
        <v>138</v>
      </c>
      <c r="G226" s="19" t="s">
        <v>134</v>
      </c>
      <c r="H226" s="19" t="s">
        <v>87</v>
      </c>
      <c r="I226" s="19" t="s">
        <v>135</v>
      </c>
      <c r="J226" s="19">
        <v>9</v>
      </c>
      <c r="K226" s="19">
        <v>4.1700000000000001E-2</v>
      </c>
      <c r="L226" s="19" t="s">
        <v>35</v>
      </c>
      <c r="M226" s="19" t="s">
        <v>110</v>
      </c>
      <c r="N226" s="19">
        <v>11.11</v>
      </c>
      <c r="O226" s="19">
        <v>11.11</v>
      </c>
      <c r="P226" s="19">
        <v>0</v>
      </c>
      <c r="Q226" s="19">
        <v>0</v>
      </c>
      <c r="S226" s="19">
        <v>1</v>
      </c>
      <c r="T226" s="19">
        <v>1</v>
      </c>
      <c r="U226" s="19">
        <v>0</v>
      </c>
      <c r="W226" s="19">
        <v>0</v>
      </c>
      <c r="X226" s="19">
        <v>2</v>
      </c>
      <c r="Y226" s="19" t="s">
        <v>110</v>
      </c>
      <c r="Z226" s="19">
        <v>16.664999999999999</v>
      </c>
      <c r="AA226" s="19">
        <v>11.11</v>
      </c>
    </row>
    <row r="227" spans="1:27" x14ac:dyDescent="0.25">
      <c r="A227" s="19" t="s">
        <v>366</v>
      </c>
      <c r="B227" s="19" t="s">
        <v>335</v>
      </c>
      <c r="C227" s="19" t="s">
        <v>336</v>
      </c>
      <c r="D227" s="19">
        <v>0</v>
      </c>
      <c r="E227" s="19" t="s">
        <v>140</v>
      </c>
      <c r="F227" s="19" t="s">
        <v>141</v>
      </c>
      <c r="G227" s="19" t="s">
        <v>134</v>
      </c>
      <c r="H227" s="19" t="s">
        <v>87</v>
      </c>
      <c r="I227" s="19" t="s">
        <v>135</v>
      </c>
      <c r="J227" s="19">
        <v>10</v>
      </c>
      <c r="K227" s="19">
        <v>4.1700000000000001E-2</v>
      </c>
      <c r="L227" s="19" t="s">
        <v>35</v>
      </c>
      <c r="N227" s="19">
        <v>0</v>
      </c>
      <c r="O227" s="19">
        <v>0</v>
      </c>
      <c r="P227" s="19">
        <v>0</v>
      </c>
      <c r="Q227" s="19">
        <v>0</v>
      </c>
      <c r="S227" s="19">
        <v>1</v>
      </c>
      <c r="T227" s="19">
        <v>1</v>
      </c>
      <c r="U227" s="19">
        <v>0</v>
      </c>
      <c r="W227" s="19">
        <v>0</v>
      </c>
      <c r="X227" s="19">
        <v>0</v>
      </c>
      <c r="Z227" s="19">
        <v>0</v>
      </c>
      <c r="AA227" s="19">
        <v>0</v>
      </c>
    </row>
    <row r="228" spans="1:27" x14ac:dyDescent="0.25">
      <c r="A228" s="19" t="s">
        <v>367</v>
      </c>
      <c r="B228" s="19" t="s">
        <v>335</v>
      </c>
      <c r="C228" s="19" t="s">
        <v>336</v>
      </c>
      <c r="D228" s="19">
        <v>1.25</v>
      </c>
      <c r="E228" s="19" t="s">
        <v>144</v>
      </c>
      <c r="F228" s="19" t="s">
        <v>145</v>
      </c>
      <c r="G228" s="19" t="s">
        <v>134</v>
      </c>
      <c r="H228" s="19" t="s">
        <v>146</v>
      </c>
      <c r="I228" s="19" t="s">
        <v>147</v>
      </c>
      <c r="J228" s="19">
        <v>4</v>
      </c>
      <c r="K228" s="19">
        <v>2.5000000000000001E-2</v>
      </c>
      <c r="L228" s="19" t="s">
        <v>35</v>
      </c>
      <c r="M228" s="19" t="s">
        <v>103</v>
      </c>
      <c r="N228" s="19">
        <v>50</v>
      </c>
      <c r="O228" s="19">
        <v>50</v>
      </c>
      <c r="P228" s="19">
        <v>0</v>
      </c>
      <c r="Q228" s="19">
        <v>0</v>
      </c>
      <c r="S228" s="19">
        <v>1</v>
      </c>
      <c r="T228" s="19">
        <v>1</v>
      </c>
      <c r="U228" s="19">
        <v>0</v>
      </c>
      <c r="V228" s="19" t="s">
        <v>41</v>
      </c>
      <c r="W228" s="19">
        <v>1</v>
      </c>
      <c r="Y228" s="19" t="s">
        <v>103</v>
      </c>
      <c r="Z228" s="19">
        <v>50</v>
      </c>
      <c r="AA228" s="19">
        <v>50</v>
      </c>
    </row>
    <row r="229" spans="1:27" x14ac:dyDescent="0.25">
      <c r="A229" s="19" t="s">
        <v>368</v>
      </c>
      <c r="B229" s="19" t="s">
        <v>335</v>
      </c>
      <c r="C229" s="19" t="s">
        <v>336</v>
      </c>
      <c r="D229" s="19">
        <v>1.25</v>
      </c>
      <c r="E229" s="19" t="s">
        <v>149</v>
      </c>
      <c r="F229" s="19" t="s">
        <v>150</v>
      </c>
      <c r="G229" s="19" t="s">
        <v>134</v>
      </c>
      <c r="H229" s="19" t="s">
        <v>146</v>
      </c>
      <c r="I229" s="19" t="s">
        <v>147</v>
      </c>
      <c r="J229" s="19">
        <v>5</v>
      </c>
      <c r="K229" s="19">
        <v>2.5000000000000001E-2</v>
      </c>
      <c r="L229" s="19" t="s">
        <v>35</v>
      </c>
      <c r="M229" s="19" t="s">
        <v>103</v>
      </c>
      <c r="N229" s="19">
        <v>50</v>
      </c>
      <c r="O229" s="19">
        <v>50</v>
      </c>
      <c r="P229" s="19">
        <v>0</v>
      </c>
      <c r="Q229" s="19">
        <v>0</v>
      </c>
      <c r="S229" s="19">
        <v>1</v>
      </c>
      <c r="T229" s="19">
        <v>1</v>
      </c>
      <c r="U229" s="19">
        <v>0</v>
      </c>
      <c r="V229" s="19" t="s">
        <v>41</v>
      </c>
      <c r="W229" s="19">
        <v>1</v>
      </c>
      <c r="Y229" s="19" t="s">
        <v>103</v>
      </c>
      <c r="Z229" s="19">
        <v>50</v>
      </c>
      <c r="AA229" s="19">
        <v>50</v>
      </c>
    </row>
    <row r="230" spans="1:27" x14ac:dyDescent="0.25">
      <c r="A230" s="19" t="s">
        <v>369</v>
      </c>
      <c r="B230" s="19" t="s">
        <v>335</v>
      </c>
      <c r="C230" s="19" t="s">
        <v>336</v>
      </c>
      <c r="D230" s="19">
        <v>1.25</v>
      </c>
      <c r="E230" s="19" t="s">
        <v>152</v>
      </c>
      <c r="F230" s="19" t="s">
        <v>153</v>
      </c>
      <c r="G230" s="19" t="s">
        <v>134</v>
      </c>
      <c r="H230" s="19" t="s">
        <v>146</v>
      </c>
      <c r="I230" s="19" t="s">
        <v>147</v>
      </c>
      <c r="J230" s="19">
        <v>6</v>
      </c>
      <c r="K230" s="19">
        <v>2.5000000000000001E-2</v>
      </c>
      <c r="L230" s="19" t="s">
        <v>35</v>
      </c>
      <c r="M230" s="19" t="s">
        <v>103</v>
      </c>
      <c r="N230" s="19">
        <v>50</v>
      </c>
      <c r="O230" s="19">
        <v>50</v>
      </c>
      <c r="P230" s="19">
        <v>0</v>
      </c>
      <c r="Q230" s="19">
        <v>0</v>
      </c>
      <c r="S230" s="19">
        <v>1</v>
      </c>
      <c r="T230" s="19">
        <v>1</v>
      </c>
      <c r="U230" s="19">
        <v>0</v>
      </c>
      <c r="V230" s="19" t="s">
        <v>41</v>
      </c>
      <c r="W230" s="19">
        <v>1</v>
      </c>
      <c r="Y230" s="19" t="s">
        <v>103</v>
      </c>
      <c r="Z230" s="19">
        <v>50</v>
      </c>
      <c r="AA230" s="19">
        <v>50</v>
      </c>
    </row>
    <row r="231" spans="1:27" x14ac:dyDescent="0.25">
      <c r="A231" s="19" t="s">
        <v>370</v>
      </c>
      <c r="B231" s="19" t="s">
        <v>335</v>
      </c>
      <c r="C231" s="19" t="s">
        <v>336</v>
      </c>
      <c r="D231" s="19">
        <v>1.25</v>
      </c>
      <c r="E231" s="19" t="s">
        <v>155</v>
      </c>
      <c r="F231" s="19" t="s">
        <v>156</v>
      </c>
      <c r="G231" s="19" t="s">
        <v>134</v>
      </c>
      <c r="H231" s="19" t="s">
        <v>146</v>
      </c>
      <c r="I231" s="19" t="s">
        <v>147</v>
      </c>
      <c r="J231" s="19">
        <v>7</v>
      </c>
      <c r="K231" s="19">
        <v>2.5000000000000001E-2</v>
      </c>
      <c r="L231" s="19" t="s">
        <v>35</v>
      </c>
      <c r="M231" s="19" t="s">
        <v>103</v>
      </c>
      <c r="N231" s="19">
        <v>50</v>
      </c>
      <c r="O231" s="19">
        <v>50</v>
      </c>
      <c r="P231" s="19">
        <v>0</v>
      </c>
      <c r="Q231" s="19">
        <v>0</v>
      </c>
      <c r="S231" s="19">
        <v>1</v>
      </c>
      <c r="T231" s="19">
        <v>1</v>
      </c>
      <c r="U231" s="19">
        <v>0</v>
      </c>
      <c r="V231" s="19" t="s">
        <v>41</v>
      </c>
      <c r="W231" s="19">
        <v>1</v>
      </c>
      <c r="Y231" s="19" t="s">
        <v>103</v>
      </c>
      <c r="Z231" s="19">
        <v>50</v>
      </c>
      <c r="AA231" s="19">
        <v>50</v>
      </c>
    </row>
    <row r="232" spans="1:27" x14ac:dyDescent="0.25">
      <c r="A232" s="19" t="s">
        <v>371</v>
      </c>
      <c r="B232" s="19" t="s">
        <v>335</v>
      </c>
      <c r="C232" s="19" t="s">
        <v>336</v>
      </c>
      <c r="D232" s="19">
        <v>1.25</v>
      </c>
      <c r="E232" s="19" t="s">
        <v>158</v>
      </c>
      <c r="F232" s="19" t="s">
        <v>159</v>
      </c>
      <c r="G232" s="19" t="s">
        <v>134</v>
      </c>
      <c r="H232" s="19" t="s">
        <v>146</v>
      </c>
      <c r="I232" s="19" t="s">
        <v>147</v>
      </c>
      <c r="J232" s="19">
        <v>8</v>
      </c>
      <c r="K232" s="19">
        <v>2.5000000000000001E-2</v>
      </c>
      <c r="L232" s="19" t="s">
        <v>35</v>
      </c>
      <c r="M232" s="19" t="s">
        <v>103</v>
      </c>
      <c r="N232" s="19">
        <v>50</v>
      </c>
      <c r="O232" s="19">
        <v>50</v>
      </c>
      <c r="P232" s="19">
        <v>0</v>
      </c>
      <c r="Q232" s="19">
        <v>0</v>
      </c>
      <c r="S232" s="19">
        <v>1</v>
      </c>
      <c r="T232" s="19">
        <v>1</v>
      </c>
      <c r="U232" s="19">
        <v>0</v>
      </c>
      <c r="V232" s="19" t="s">
        <v>41</v>
      </c>
      <c r="W232" s="19">
        <v>1</v>
      </c>
      <c r="Y232" s="19" t="s">
        <v>103</v>
      </c>
      <c r="Z232" s="19">
        <v>50</v>
      </c>
      <c r="AA232" s="19">
        <v>50</v>
      </c>
    </row>
    <row r="233" spans="1:27" x14ac:dyDescent="0.25">
      <c r="A233" s="19" t="s">
        <v>372</v>
      </c>
      <c r="B233" s="19" t="s">
        <v>335</v>
      </c>
      <c r="C233" s="19" t="s">
        <v>336</v>
      </c>
      <c r="D233" s="19">
        <v>3.33</v>
      </c>
      <c r="E233" s="19" t="s">
        <v>161</v>
      </c>
      <c r="F233" s="19" t="s">
        <v>162</v>
      </c>
      <c r="G233" s="19" t="s">
        <v>163</v>
      </c>
      <c r="I233" s="19" t="s">
        <v>164</v>
      </c>
      <c r="J233" s="19">
        <v>1</v>
      </c>
      <c r="K233" s="19">
        <v>3.3300000000000003E-2</v>
      </c>
      <c r="L233" s="19" t="s">
        <v>35</v>
      </c>
      <c r="M233" s="19" t="s">
        <v>165</v>
      </c>
      <c r="N233" s="19">
        <v>100</v>
      </c>
      <c r="O233" s="19">
        <v>100</v>
      </c>
      <c r="P233" s="19">
        <v>0</v>
      </c>
      <c r="Q233" s="19">
        <v>0</v>
      </c>
      <c r="S233" s="19">
        <v>1</v>
      </c>
      <c r="T233" s="19">
        <v>1</v>
      </c>
      <c r="U233" s="19">
        <v>0</v>
      </c>
      <c r="W233" s="19">
        <v>0</v>
      </c>
      <c r="X233" s="19">
        <v>100</v>
      </c>
      <c r="Z233" s="19">
        <v>0</v>
      </c>
      <c r="AA233" s="19">
        <v>100</v>
      </c>
    </row>
    <row r="234" spans="1:27" x14ac:dyDescent="0.25">
      <c r="A234" s="19" t="s">
        <v>373</v>
      </c>
      <c r="B234" s="19" t="s">
        <v>335</v>
      </c>
      <c r="C234" s="19" t="s">
        <v>336</v>
      </c>
      <c r="D234" s="19">
        <v>2.2197779999999998</v>
      </c>
      <c r="E234" s="19" t="s">
        <v>167</v>
      </c>
      <c r="F234" s="19" t="s">
        <v>168</v>
      </c>
      <c r="G234" s="19" t="s">
        <v>163</v>
      </c>
      <c r="I234" s="19" t="s">
        <v>164</v>
      </c>
      <c r="J234" s="19">
        <v>3</v>
      </c>
      <c r="K234" s="19">
        <v>3.3300000000000003E-2</v>
      </c>
      <c r="L234" s="19" t="s">
        <v>35</v>
      </c>
      <c r="M234" s="19" t="s">
        <v>165</v>
      </c>
      <c r="N234" s="19">
        <v>66.66</v>
      </c>
      <c r="O234" s="19">
        <v>66.66</v>
      </c>
      <c r="P234" s="19">
        <v>0</v>
      </c>
      <c r="Q234" s="19">
        <v>0</v>
      </c>
      <c r="S234" s="19">
        <v>1</v>
      </c>
      <c r="T234" s="19">
        <v>1</v>
      </c>
      <c r="U234" s="19">
        <v>0</v>
      </c>
      <c r="W234" s="19">
        <v>0</v>
      </c>
      <c r="X234" s="19">
        <v>66.66</v>
      </c>
      <c r="Z234" s="19">
        <v>0</v>
      </c>
      <c r="AA234" s="19">
        <v>66.66</v>
      </c>
    </row>
    <row r="235" spans="1:27" x14ac:dyDescent="0.25">
      <c r="A235" s="19" t="s">
        <v>374</v>
      </c>
      <c r="B235" s="19" t="s">
        <v>335</v>
      </c>
      <c r="C235" s="19" t="s">
        <v>336</v>
      </c>
      <c r="D235" s="19">
        <v>0</v>
      </c>
      <c r="E235" s="19" t="s">
        <v>170</v>
      </c>
      <c r="F235" s="19" t="s">
        <v>171</v>
      </c>
      <c r="G235" s="19" t="s">
        <v>163</v>
      </c>
      <c r="I235" s="19" t="s">
        <v>164</v>
      </c>
      <c r="J235" s="19">
        <v>2</v>
      </c>
      <c r="K235" s="19">
        <v>3.3300000000000003E-2</v>
      </c>
      <c r="L235" s="19" t="s">
        <v>35</v>
      </c>
      <c r="M235" s="19" t="s">
        <v>165</v>
      </c>
      <c r="N235" s="19">
        <v>0</v>
      </c>
      <c r="O235" s="19">
        <v>0</v>
      </c>
      <c r="P235" s="19">
        <v>0</v>
      </c>
      <c r="Q235" s="19">
        <v>0</v>
      </c>
      <c r="S235" s="19">
        <v>1</v>
      </c>
      <c r="T235" s="19">
        <v>1</v>
      </c>
      <c r="U235" s="19">
        <v>0</v>
      </c>
      <c r="W235" s="19">
        <v>0</v>
      </c>
      <c r="X235" s="19">
        <v>0</v>
      </c>
      <c r="Z235" s="19">
        <v>0</v>
      </c>
      <c r="AA235" s="19">
        <v>0</v>
      </c>
    </row>
    <row r="236" spans="1:27" x14ac:dyDescent="0.25">
      <c r="A236" s="19" t="s">
        <v>375</v>
      </c>
      <c r="B236" s="19" t="s">
        <v>376</v>
      </c>
      <c r="C236" s="19" t="s">
        <v>377</v>
      </c>
      <c r="D236" s="19">
        <v>0</v>
      </c>
      <c r="E236" s="19" t="s">
        <v>30</v>
      </c>
      <c r="F236" s="19" t="s">
        <v>31</v>
      </c>
      <c r="G236" s="19" t="s">
        <v>32</v>
      </c>
      <c r="H236" s="19" t="s">
        <v>33</v>
      </c>
      <c r="I236" s="19" t="s">
        <v>34</v>
      </c>
      <c r="J236" s="19">
        <v>17</v>
      </c>
      <c r="K236" s="19">
        <v>1.6299999999999999E-2</v>
      </c>
      <c r="L236" s="19" t="s">
        <v>35</v>
      </c>
      <c r="N236" s="19">
        <v>0</v>
      </c>
      <c r="O236" s="19">
        <v>0</v>
      </c>
      <c r="P236" s="19">
        <v>0</v>
      </c>
      <c r="Q236" s="19">
        <v>0</v>
      </c>
      <c r="S236" s="19">
        <v>1</v>
      </c>
      <c r="T236" s="19">
        <v>1</v>
      </c>
      <c r="U236" s="19">
        <v>0</v>
      </c>
      <c r="V236" s="19" t="s">
        <v>36</v>
      </c>
      <c r="W236" s="19">
        <v>0</v>
      </c>
      <c r="Z236" s="19">
        <v>0</v>
      </c>
      <c r="AA236" s="19">
        <v>0</v>
      </c>
    </row>
    <row r="237" spans="1:27" x14ac:dyDescent="0.25">
      <c r="A237" s="19" t="s">
        <v>378</v>
      </c>
      <c r="B237" s="19" t="s">
        <v>376</v>
      </c>
      <c r="C237" s="19" t="s">
        <v>377</v>
      </c>
      <c r="D237" s="19">
        <v>0</v>
      </c>
      <c r="E237" s="19" t="s">
        <v>38</v>
      </c>
      <c r="F237" s="19" t="s">
        <v>39</v>
      </c>
      <c r="G237" s="19" t="s">
        <v>32</v>
      </c>
      <c r="H237" s="19" t="s">
        <v>33</v>
      </c>
      <c r="I237" s="19" t="s">
        <v>34</v>
      </c>
      <c r="J237" s="19">
        <v>19</v>
      </c>
      <c r="K237" s="19">
        <v>1.6299999999999999E-2</v>
      </c>
      <c r="L237" s="19" t="s">
        <v>35</v>
      </c>
      <c r="N237" s="19">
        <v>0</v>
      </c>
      <c r="O237" s="19">
        <v>0</v>
      </c>
      <c r="P237" s="19">
        <v>0</v>
      </c>
      <c r="Q237" s="19">
        <v>0</v>
      </c>
      <c r="S237" s="19">
        <v>1</v>
      </c>
      <c r="T237" s="19">
        <v>1</v>
      </c>
      <c r="U237" s="19">
        <v>0</v>
      </c>
      <c r="V237" s="19" t="s">
        <v>36</v>
      </c>
      <c r="W237" s="19">
        <v>0</v>
      </c>
      <c r="Z237" s="19">
        <v>0</v>
      </c>
      <c r="AA237" s="19">
        <v>0</v>
      </c>
    </row>
    <row r="238" spans="1:27" x14ac:dyDescent="0.25">
      <c r="A238" s="19" t="s">
        <v>379</v>
      </c>
      <c r="B238" s="19" t="s">
        <v>376</v>
      </c>
      <c r="C238" s="19" t="s">
        <v>377</v>
      </c>
      <c r="D238" s="19">
        <v>0</v>
      </c>
      <c r="E238" s="19" t="s">
        <v>43</v>
      </c>
      <c r="F238" s="19" t="s">
        <v>44</v>
      </c>
      <c r="G238" s="19" t="s">
        <v>32</v>
      </c>
      <c r="H238" s="19" t="s">
        <v>33</v>
      </c>
      <c r="I238" s="19" t="s">
        <v>34</v>
      </c>
      <c r="J238" s="19">
        <v>18</v>
      </c>
      <c r="K238" s="19">
        <v>1.6299999999999999E-2</v>
      </c>
      <c r="L238" s="19" t="s">
        <v>35</v>
      </c>
      <c r="N238" s="19">
        <v>0</v>
      </c>
      <c r="O238" s="19">
        <v>0</v>
      </c>
      <c r="P238" s="19">
        <v>0</v>
      </c>
      <c r="Q238" s="19">
        <v>0</v>
      </c>
      <c r="S238" s="19">
        <v>1</v>
      </c>
      <c r="T238" s="19">
        <v>1</v>
      </c>
      <c r="U238" s="19">
        <v>0</v>
      </c>
      <c r="V238" s="19" t="s">
        <v>36</v>
      </c>
      <c r="W238" s="19">
        <v>0</v>
      </c>
      <c r="Z238" s="19">
        <v>0</v>
      </c>
      <c r="AA238" s="19">
        <v>0</v>
      </c>
    </row>
    <row r="239" spans="1:27" x14ac:dyDescent="0.25">
      <c r="A239" s="19" t="s">
        <v>380</v>
      </c>
      <c r="B239" s="19" t="s">
        <v>376</v>
      </c>
      <c r="C239" s="19" t="s">
        <v>377</v>
      </c>
      <c r="D239" s="19">
        <v>0</v>
      </c>
      <c r="E239" s="19" t="s">
        <v>46</v>
      </c>
      <c r="F239" s="19" t="s">
        <v>47</v>
      </c>
      <c r="G239" s="19" t="s">
        <v>32</v>
      </c>
      <c r="H239" s="19" t="s">
        <v>33</v>
      </c>
      <c r="I239" s="19" t="s">
        <v>34</v>
      </c>
      <c r="J239" s="19">
        <v>15</v>
      </c>
      <c r="K239" s="19">
        <v>1.6299999999999999E-2</v>
      </c>
      <c r="L239" s="19" t="s">
        <v>35</v>
      </c>
      <c r="N239" s="19">
        <v>0</v>
      </c>
      <c r="O239" s="19">
        <v>0</v>
      </c>
      <c r="P239" s="19">
        <v>0</v>
      </c>
      <c r="Q239" s="19">
        <v>0</v>
      </c>
      <c r="S239" s="19">
        <v>1</v>
      </c>
      <c r="T239" s="19">
        <v>1</v>
      </c>
      <c r="U239" s="19">
        <v>0</v>
      </c>
      <c r="V239" s="19" t="s">
        <v>36</v>
      </c>
      <c r="W239" s="19">
        <v>0</v>
      </c>
      <c r="Z239" s="19">
        <v>0</v>
      </c>
      <c r="AA239" s="19">
        <v>0</v>
      </c>
    </row>
    <row r="240" spans="1:27" x14ac:dyDescent="0.25">
      <c r="A240" s="19" t="s">
        <v>381</v>
      </c>
      <c r="B240" s="19" t="s">
        <v>376</v>
      </c>
      <c r="C240" s="19" t="s">
        <v>377</v>
      </c>
      <c r="D240" s="19">
        <v>0</v>
      </c>
      <c r="E240" s="19" t="s">
        <v>49</v>
      </c>
      <c r="F240" s="19" t="s">
        <v>50</v>
      </c>
      <c r="G240" s="19" t="s">
        <v>32</v>
      </c>
      <c r="H240" s="19" t="s">
        <v>33</v>
      </c>
      <c r="I240" s="19" t="s">
        <v>34</v>
      </c>
      <c r="J240" s="19">
        <v>12</v>
      </c>
      <c r="K240" s="19">
        <v>1.6299999999999999E-2</v>
      </c>
      <c r="L240" s="19" t="s">
        <v>35</v>
      </c>
      <c r="N240" s="19">
        <v>0</v>
      </c>
      <c r="O240" s="19">
        <v>0</v>
      </c>
      <c r="P240" s="19">
        <v>0</v>
      </c>
      <c r="Q240" s="19">
        <v>0</v>
      </c>
      <c r="S240" s="19">
        <v>1</v>
      </c>
      <c r="T240" s="19">
        <v>1</v>
      </c>
      <c r="U240" s="19">
        <v>0</v>
      </c>
      <c r="V240" s="19" t="s">
        <v>36</v>
      </c>
      <c r="W240" s="19">
        <v>0</v>
      </c>
      <c r="Z240" s="19">
        <v>0</v>
      </c>
      <c r="AA240" s="19">
        <v>0</v>
      </c>
    </row>
    <row r="241" spans="1:27" x14ac:dyDescent="0.25">
      <c r="A241" s="19" t="s">
        <v>382</v>
      </c>
      <c r="B241" s="19" t="s">
        <v>376</v>
      </c>
      <c r="C241" s="19" t="s">
        <v>377</v>
      </c>
      <c r="D241" s="19">
        <v>0</v>
      </c>
      <c r="E241" s="19" t="s">
        <v>52</v>
      </c>
      <c r="F241" s="19" t="s">
        <v>53</v>
      </c>
      <c r="G241" s="19" t="s">
        <v>32</v>
      </c>
      <c r="H241" s="19" t="s">
        <v>33</v>
      </c>
      <c r="I241" s="19" t="s">
        <v>34</v>
      </c>
      <c r="J241" s="19">
        <v>16</v>
      </c>
      <c r="K241" s="19">
        <v>1.6299999999999999E-2</v>
      </c>
      <c r="L241" s="19" t="s">
        <v>35</v>
      </c>
      <c r="N241" s="19">
        <v>0</v>
      </c>
      <c r="O241" s="19">
        <v>0</v>
      </c>
      <c r="P241" s="19">
        <v>0</v>
      </c>
      <c r="Q241" s="19">
        <v>0</v>
      </c>
      <c r="S241" s="19">
        <v>1</v>
      </c>
      <c r="T241" s="19">
        <v>1</v>
      </c>
      <c r="U241" s="19">
        <v>0</v>
      </c>
      <c r="V241" s="19" t="s">
        <v>36</v>
      </c>
      <c r="W241" s="19">
        <v>0</v>
      </c>
      <c r="Z241" s="19">
        <v>0</v>
      </c>
      <c r="AA241" s="19">
        <v>0</v>
      </c>
    </row>
    <row r="242" spans="1:27" x14ac:dyDescent="0.25">
      <c r="A242" s="19" t="s">
        <v>383</v>
      </c>
      <c r="B242" s="19" t="s">
        <v>376</v>
      </c>
      <c r="C242" s="19" t="s">
        <v>377</v>
      </c>
      <c r="D242" s="19">
        <v>0</v>
      </c>
      <c r="E242" s="19" t="s">
        <v>55</v>
      </c>
      <c r="F242" s="19" t="s">
        <v>56</v>
      </c>
      <c r="G242" s="19" t="s">
        <v>32</v>
      </c>
      <c r="H242" s="19" t="s">
        <v>33</v>
      </c>
      <c r="I242" s="19" t="s">
        <v>34</v>
      </c>
      <c r="J242" s="19">
        <v>14</v>
      </c>
      <c r="K242" s="19">
        <v>1.6299999999999999E-2</v>
      </c>
      <c r="L242" s="19" t="s">
        <v>35</v>
      </c>
      <c r="N242" s="19">
        <v>0</v>
      </c>
      <c r="O242" s="19">
        <v>0</v>
      </c>
      <c r="P242" s="19">
        <v>0</v>
      </c>
      <c r="Q242" s="19">
        <v>0</v>
      </c>
      <c r="S242" s="19">
        <v>1</v>
      </c>
      <c r="T242" s="19">
        <v>1</v>
      </c>
      <c r="U242" s="19">
        <v>0</v>
      </c>
      <c r="V242" s="19" t="s">
        <v>36</v>
      </c>
      <c r="W242" s="19">
        <v>0</v>
      </c>
      <c r="Z242" s="19">
        <v>0</v>
      </c>
      <c r="AA242" s="19">
        <v>0</v>
      </c>
    </row>
    <row r="243" spans="1:27" x14ac:dyDescent="0.25">
      <c r="A243" s="19" t="s">
        <v>384</v>
      </c>
      <c r="B243" s="19" t="s">
        <v>376</v>
      </c>
      <c r="C243" s="19" t="s">
        <v>377</v>
      </c>
      <c r="D243" s="19">
        <v>0</v>
      </c>
      <c r="E243" s="19" t="s">
        <v>58</v>
      </c>
      <c r="F243" s="19" t="s">
        <v>59</v>
      </c>
      <c r="G243" s="19" t="s">
        <v>32</v>
      </c>
      <c r="H243" s="19" t="s">
        <v>33</v>
      </c>
      <c r="I243" s="19" t="s">
        <v>34</v>
      </c>
      <c r="J243" s="19">
        <v>13</v>
      </c>
      <c r="K243" s="19">
        <v>1.6299999999999999E-2</v>
      </c>
      <c r="L243" s="19" t="s">
        <v>35</v>
      </c>
      <c r="N243" s="19">
        <v>0</v>
      </c>
      <c r="O243" s="19">
        <v>0</v>
      </c>
      <c r="P243" s="19">
        <v>0</v>
      </c>
      <c r="Q243" s="19">
        <v>0</v>
      </c>
      <c r="S243" s="19">
        <v>1</v>
      </c>
      <c r="T243" s="19">
        <v>1</v>
      </c>
      <c r="U243" s="19">
        <v>0</v>
      </c>
      <c r="V243" s="19" t="s">
        <v>36</v>
      </c>
      <c r="W243" s="19">
        <v>0</v>
      </c>
      <c r="Z243" s="19">
        <v>0</v>
      </c>
      <c r="AA243" s="19">
        <v>0</v>
      </c>
    </row>
    <row r="244" spans="1:27" x14ac:dyDescent="0.25">
      <c r="A244" s="19" t="s">
        <v>385</v>
      </c>
      <c r="B244" s="19" t="s">
        <v>376</v>
      </c>
      <c r="C244" s="19" t="s">
        <v>377</v>
      </c>
      <c r="D244" s="19">
        <v>0</v>
      </c>
      <c r="E244" s="19" t="s">
        <v>61</v>
      </c>
      <c r="F244" s="19" t="s">
        <v>62</v>
      </c>
      <c r="G244" s="19" t="s">
        <v>32</v>
      </c>
      <c r="H244" s="19" t="s">
        <v>63</v>
      </c>
      <c r="I244" s="19" t="s">
        <v>64</v>
      </c>
      <c r="J244" s="19">
        <v>22</v>
      </c>
      <c r="K244" s="19">
        <v>1.8599999999999998E-2</v>
      </c>
      <c r="L244" s="19" t="s">
        <v>35</v>
      </c>
      <c r="N244" s="19">
        <v>0</v>
      </c>
      <c r="O244" s="19">
        <v>0</v>
      </c>
      <c r="P244" s="19">
        <v>0</v>
      </c>
      <c r="Q244" s="19">
        <v>0</v>
      </c>
      <c r="S244" s="19">
        <v>1</v>
      </c>
      <c r="T244" s="19">
        <v>1</v>
      </c>
      <c r="U244" s="19">
        <v>0</v>
      </c>
      <c r="V244" s="19" t="s">
        <v>36</v>
      </c>
      <c r="W244" s="19">
        <v>0</v>
      </c>
      <c r="Z244" s="19">
        <v>0</v>
      </c>
      <c r="AA244" s="19">
        <v>0</v>
      </c>
    </row>
    <row r="245" spans="1:27" x14ac:dyDescent="0.25">
      <c r="A245" s="19" t="s">
        <v>386</v>
      </c>
      <c r="B245" s="19" t="s">
        <v>376</v>
      </c>
      <c r="C245" s="19" t="s">
        <v>377</v>
      </c>
      <c r="D245" s="19">
        <v>0</v>
      </c>
      <c r="E245" s="19" t="s">
        <v>66</v>
      </c>
      <c r="F245" s="19" t="s">
        <v>67</v>
      </c>
      <c r="G245" s="19" t="s">
        <v>32</v>
      </c>
      <c r="H245" s="19" t="s">
        <v>63</v>
      </c>
      <c r="I245" s="19" t="s">
        <v>64</v>
      </c>
      <c r="J245" s="19">
        <v>20</v>
      </c>
      <c r="K245" s="19">
        <v>1.8599999999999998E-2</v>
      </c>
      <c r="L245" s="19" t="s">
        <v>35</v>
      </c>
      <c r="N245" s="19">
        <v>0</v>
      </c>
      <c r="O245" s="19">
        <v>0</v>
      </c>
      <c r="P245" s="19">
        <v>0</v>
      </c>
      <c r="Q245" s="19">
        <v>0</v>
      </c>
      <c r="S245" s="19">
        <v>1</v>
      </c>
      <c r="T245" s="19">
        <v>1</v>
      </c>
      <c r="U245" s="19">
        <v>0</v>
      </c>
      <c r="V245" s="19" t="s">
        <v>36</v>
      </c>
      <c r="W245" s="19">
        <v>0</v>
      </c>
      <c r="Z245" s="19">
        <v>0</v>
      </c>
      <c r="AA245" s="19">
        <v>0</v>
      </c>
    </row>
    <row r="246" spans="1:27" x14ac:dyDescent="0.25">
      <c r="A246" s="19" t="s">
        <v>387</v>
      </c>
      <c r="B246" s="19" t="s">
        <v>376</v>
      </c>
      <c r="C246" s="19" t="s">
        <v>377</v>
      </c>
      <c r="D246" s="19">
        <v>0</v>
      </c>
      <c r="E246" s="19" t="s">
        <v>69</v>
      </c>
      <c r="F246" s="19" t="s">
        <v>70</v>
      </c>
      <c r="G246" s="19" t="s">
        <v>32</v>
      </c>
      <c r="H246" s="19" t="s">
        <v>63</v>
      </c>
      <c r="I246" s="19" t="s">
        <v>64</v>
      </c>
      <c r="J246" s="19">
        <v>23</v>
      </c>
      <c r="K246" s="19">
        <v>1.8599999999999998E-2</v>
      </c>
      <c r="L246" s="19" t="s">
        <v>35</v>
      </c>
      <c r="N246" s="19">
        <v>0</v>
      </c>
      <c r="O246" s="19">
        <v>0</v>
      </c>
      <c r="P246" s="19">
        <v>0</v>
      </c>
      <c r="Q246" s="19">
        <v>0</v>
      </c>
      <c r="S246" s="19">
        <v>1</v>
      </c>
      <c r="T246" s="19">
        <v>1</v>
      </c>
      <c r="U246" s="19">
        <v>0</v>
      </c>
      <c r="V246" s="19" t="s">
        <v>36</v>
      </c>
      <c r="W246" s="19">
        <v>0</v>
      </c>
      <c r="Z246" s="19">
        <v>0</v>
      </c>
      <c r="AA246" s="19">
        <v>0</v>
      </c>
    </row>
    <row r="247" spans="1:27" x14ac:dyDescent="0.25">
      <c r="A247" s="19" t="s">
        <v>388</v>
      </c>
      <c r="B247" s="19" t="s">
        <v>376</v>
      </c>
      <c r="C247" s="19" t="s">
        <v>377</v>
      </c>
      <c r="D247" s="19">
        <v>0</v>
      </c>
      <c r="E247" s="19" t="s">
        <v>72</v>
      </c>
      <c r="F247" s="19" t="s">
        <v>73</v>
      </c>
      <c r="G247" s="19" t="s">
        <v>32</v>
      </c>
      <c r="H247" s="19" t="s">
        <v>63</v>
      </c>
      <c r="I247" s="19" t="s">
        <v>64</v>
      </c>
      <c r="J247" s="19">
        <v>21</v>
      </c>
      <c r="K247" s="19">
        <v>1.8599999999999998E-2</v>
      </c>
      <c r="L247" s="19" t="s">
        <v>35</v>
      </c>
      <c r="N247" s="19">
        <v>0</v>
      </c>
      <c r="O247" s="19">
        <v>0</v>
      </c>
      <c r="P247" s="19">
        <v>0</v>
      </c>
      <c r="Q247" s="19">
        <v>0</v>
      </c>
      <c r="S247" s="19">
        <v>1</v>
      </c>
      <c r="T247" s="19">
        <v>1</v>
      </c>
      <c r="U247" s="19">
        <v>0</v>
      </c>
      <c r="V247" s="19" t="s">
        <v>36</v>
      </c>
      <c r="W247" s="19">
        <v>0</v>
      </c>
      <c r="Z247" s="19">
        <v>0</v>
      </c>
      <c r="AA247" s="19">
        <v>0</v>
      </c>
    </row>
    <row r="248" spans="1:27" x14ac:dyDescent="0.25">
      <c r="A248" s="19" t="s">
        <v>389</v>
      </c>
      <c r="B248" s="19" t="s">
        <v>376</v>
      </c>
      <c r="C248" s="19" t="s">
        <v>377</v>
      </c>
      <c r="D248" s="19">
        <v>0</v>
      </c>
      <c r="E248" s="19" t="s">
        <v>75</v>
      </c>
      <c r="F248" s="19" t="s">
        <v>76</v>
      </c>
      <c r="G248" s="19" t="s">
        <v>32</v>
      </c>
      <c r="H248" s="19" t="s">
        <v>63</v>
      </c>
      <c r="I248" s="19" t="s">
        <v>64</v>
      </c>
      <c r="J248" s="19">
        <v>24</v>
      </c>
      <c r="K248" s="19">
        <v>1.8599999999999998E-2</v>
      </c>
      <c r="L248" s="19" t="s">
        <v>35</v>
      </c>
      <c r="N248" s="19">
        <v>0</v>
      </c>
      <c r="O248" s="19">
        <v>0</v>
      </c>
      <c r="P248" s="19">
        <v>0</v>
      </c>
      <c r="Q248" s="19">
        <v>0</v>
      </c>
      <c r="S248" s="19">
        <v>1</v>
      </c>
      <c r="T248" s="19">
        <v>1</v>
      </c>
      <c r="U248" s="19">
        <v>0</v>
      </c>
      <c r="V248" s="19" t="s">
        <v>36</v>
      </c>
      <c r="W248" s="19">
        <v>0</v>
      </c>
      <c r="Z248" s="19">
        <v>0</v>
      </c>
      <c r="AA248" s="19">
        <v>0</v>
      </c>
    </row>
    <row r="249" spans="1:27" x14ac:dyDescent="0.25">
      <c r="A249" s="19" t="s">
        <v>390</v>
      </c>
      <c r="B249" s="19" t="s">
        <v>376</v>
      </c>
      <c r="C249" s="19" t="s">
        <v>377</v>
      </c>
      <c r="D249" s="19">
        <v>0</v>
      </c>
      <c r="E249" s="19" t="s">
        <v>78</v>
      </c>
      <c r="F249" s="19" t="s">
        <v>79</v>
      </c>
      <c r="G249" s="19" t="s">
        <v>32</v>
      </c>
      <c r="H249" s="19" t="s">
        <v>63</v>
      </c>
      <c r="I249" s="19" t="s">
        <v>64</v>
      </c>
      <c r="J249" s="19">
        <v>25</v>
      </c>
      <c r="K249" s="19">
        <v>1.8599999999999998E-2</v>
      </c>
      <c r="L249" s="19" t="s">
        <v>35</v>
      </c>
      <c r="N249" s="19">
        <v>0</v>
      </c>
      <c r="O249" s="19">
        <v>0</v>
      </c>
      <c r="P249" s="19">
        <v>0</v>
      </c>
      <c r="Q249" s="19">
        <v>0</v>
      </c>
      <c r="S249" s="19">
        <v>1</v>
      </c>
      <c r="T249" s="19">
        <v>1</v>
      </c>
      <c r="U249" s="19">
        <v>0</v>
      </c>
      <c r="V249" s="19" t="s">
        <v>36</v>
      </c>
      <c r="W249" s="19">
        <v>0</v>
      </c>
      <c r="Z249" s="19">
        <v>0</v>
      </c>
      <c r="AA249" s="19">
        <v>0</v>
      </c>
    </row>
    <row r="250" spans="1:27" x14ac:dyDescent="0.25">
      <c r="A250" s="19" t="s">
        <v>391</v>
      </c>
      <c r="B250" s="19" t="s">
        <v>376</v>
      </c>
      <c r="C250" s="19" t="s">
        <v>377</v>
      </c>
      <c r="D250" s="19">
        <v>0</v>
      </c>
      <c r="E250" s="19" t="s">
        <v>82</v>
      </c>
      <c r="F250" s="19" t="s">
        <v>83</v>
      </c>
      <c r="G250" s="19" t="s">
        <v>32</v>
      </c>
      <c r="H250" s="19" t="s">
        <v>63</v>
      </c>
      <c r="I250" s="19" t="s">
        <v>64</v>
      </c>
      <c r="J250" s="19">
        <v>26</v>
      </c>
      <c r="K250" s="19">
        <v>1.8599999999999998E-2</v>
      </c>
      <c r="L250" s="19" t="s">
        <v>35</v>
      </c>
      <c r="N250" s="19">
        <v>0</v>
      </c>
      <c r="O250" s="19">
        <v>0</v>
      </c>
      <c r="P250" s="19">
        <v>0</v>
      </c>
      <c r="Q250" s="19">
        <v>0</v>
      </c>
      <c r="S250" s="19">
        <v>1</v>
      </c>
      <c r="T250" s="19">
        <v>1</v>
      </c>
      <c r="U250" s="19">
        <v>0</v>
      </c>
      <c r="V250" s="19" t="s">
        <v>36</v>
      </c>
      <c r="W250" s="19">
        <v>0</v>
      </c>
      <c r="Z250" s="19">
        <v>0</v>
      </c>
      <c r="AA250" s="19">
        <v>0</v>
      </c>
    </row>
    <row r="251" spans="1:27" x14ac:dyDescent="0.25">
      <c r="A251" s="19" t="s">
        <v>392</v>
      </c>
      <c r="B251" s="19" t="s">
        <v>376</v>
      </c>
      <c r="C251" s="19" t="s">
        <v>377</v>
      </c>
      <c r="D251" s="19">
        <v>0</v>
      </c>
      <c r="E251" s="19" t="s">
        <v>85</v>
      </c>
      <c r="F251" s="19" t="s">
        <v>86</v>
      </c>
      <c r="G251" s="19" t="s">
        <v>32</v>
      </c>
      <c r="H251" s="19" t="s">
        <v>87</v>
      </c>
      <c r="I251" s="19" t="s">
        <v>88</v>
      </c>
      <c r="J251" s="19">
        <v>35</v>
      </c>
      <c r="K251" s="19">
        <v>3.2500000000000001E-2</v>
      </c>
      <c r="L251" s="19" t="s">
        <v>35</v>
      </c>
      <c r="N251" s="19">
        <v>0</v>
      </c>
      <c r="O251" s="19">
        <v>0</v>
      </c>
      <c r="P251" s="19">
        <v>0</v>
      </c>
      <c r="Q251" s="19">
        <v>0</v>
      </c>
      <c r="S251" s="19">
        <v>1</v>
      </c>
      <c r="T251" s="19">
        <v>1</v>
      </c>
      <c r="U251" s="19">
        <v>0</v>
      </c>
      <c r="V251" s="19" t="s">
        <v>36</v>
      </c>
      <c r="W251" s="19">
        <v>0</v>
      </c>
      <c r="Z251" s="19">
        <v>0</v>
      </c>
      <c r="AA251" s="19">
        <v>0</v>
      </c>
    </row>
    <row r="252" spans="1:27" x14ac:dyDescent="0.25">
      <c r="A252" s="19" t="s">
        <v>393</v>
      </c>
      <c r="B252" s="19" t="s">
        <v>376</v>
      </c>
      <c r="C252" s="19" t="s">
        <v>377</v>
      </c>
      <c r="D252" s="19">
        <v>0</v>
      </c>
      <c r="E252" s="19" t="s">
        <v>90</v>
      </c>
      <c r="F252" s="19" t="s">
        <v>91</v>
      </c>
      <c r="G252" s="19" t="s">
        <v>32</v>
      </c>
      <c r="H252" s="19" t="s">
        <v>87</v>
      </c>
      <c r="I252" s="19" t="s">
        <v>88</v>
      </c>
      <c r="J252" s="19">
        <v>33</v>
      </c>
      <c r="K252" s="19">
        <v>3.2500000000000001E-2</v>
      </c>
      <c r="L252" s="19" t="s">
        <v>35</v>
      </c>
      <c r="N252" s="19">
        <v>0</v>
      </c>
      <c r="O252" s="19">
        <v>0</v>
      </c>
      <c r="P252" s="19">
        <v>0</v>
      </c>
      <c r="Q252" s="19">
        <v>0</v>
      </c>
      <c r="S252" s="19">
        <v>1</v>
      </c>
      <c r="T252" s="19">
        <v>1</v>
      </c>
      <c r="U252" s="19">
        <v>0</v>
      </c>
      <c r="V252" s="19" t="s">
        <v>36</v>
      </c>
      <c r="W252" s="19">
        <v>0</v>
      </c>
      <c r="Z252" s="19">
        <v>0</v>
      </c>
      <c r="AA252" s="19">
        <v>0</v>
      </c>
    </row>
    <row r="253" spans="1:27" x14ac:dyDescent="0.25">
      <c r="A253" s="19" t="s">
        <v>394</v>
      </c>
      <c r="B253" s="19" t="s">
        <v>376</v>
      </c>
      <c r="C253" s="19" t="s">
        <v>377</v>
      </c>
      <c r="D253" s="19">
        <v>0</v>
      </c>
      <c r="E253" s="19" t="s">
        <v>93</v>
      </c>
      <c r="F253" s="19" t="s">
        <v>94</v>
      </c>
      <c r="G253" s="19" t="s">
        <v>32</v>
      </c>
      <c r="H253" s="19" t="s">
        <v>87</v>
      </c>
      <c r="I253" s="19" t="s">
        <v>88</v>
      </c>
      <c r="J253" s="19">
        <v>34</v>
      </c>
      <c r="K253" s="19">
        <v>3.2500000000000001E-2</v>
      </c>
      <c r="L253" s="19" t="s">
        <v>35</v>
      </c>
      <c r="N253" s="19">
        <v>0</v>
      </c>
      <c r="O253" s="19">
        <v>0</v>
      </c>
      <c r="P253" s="19">
        <v>0</v>
      </c>
      <c r="Q253" s="19">
        <v>0</v>
      </c>
      <c r="S253" s="19">
        <v>1</v>
      </c>
      <c r="T253" s="19">
        <v>1</v>
      </c>
      <c r="U253" s="19">
        <v>0</v>
      </c>
      <c r="V253" s="19" t="s">
        <v>36</v>
      </c>
      <c r="W253" s="19">
        <v>0</v>
      </c>
      <c r="Z253" s="19">
        <v>0</v>
      </c>
      <c r="AA253" s="19">
        <v>0</v>
      </c>
    </row>
    <row r="254" spans="1:27" x14ac:dyDescent="0.25">
      <c r="A254" s="19" t="s">
        <v>395</v>
      </c>
      <c r="B254" s="19" t="s">
        <v>376</v>
      </c>
      <c r="C254" s="19" t="s">
        <v>377</v>
      </c>
      <c r="D254" s="19">
        <v>0</v>
      </c>
      <c r="E254" s="19" t="s">
        <v>96</v>
      </c>
      <c r="F254" s="19" t="s">
        <v>97</v>
      </c>
      <c r="G254" s="19" t="s">
        <v>32</v>
      </c>
      <c r="H254" s="19" t="s">
        <v>87</v>
      </c>
      <c r="I254" s="19" t="s">
        <v>88</v>
      </c>
      <c r="J254" s="19">
        <v>36</v>
      </c>
      <c r="K254" s="19">
        <v>3.2500000000000001E-2</v>
      </c>
      <c r="L254" s="19" t="s">
        <v>35</v>
      </c>
      <c r="N254" s="19">
        <v>0</v>
      </c>
      <c r="O254" s="19">
        <v>0</v>
      </c>
      <c r="P254" s="19">
        <v>0</v>
      </c>
      <c r="Q254" s="19">
        <v>0</v>
      </c>
      <c r="S254" s="19">
        <v>1</v>
      </c>
      <c r="T254" s="19">
        <v>1</v>
      </c>
      <c r="U254" s="19">
        <v>0</v>
      </c>
      <c r="V254" s="19" t="s">
        <v>36</v>
      </c>
      <c r="W254" s="19">
        <v>0</v>
      </c>
      <c r="Z254" s="19">
        <v>0</v>
      </c>
      <c r="AA254" s="19">
        <v>0</v>
      </c>
    </row>
    <row r="255" spans="1:27" x14ac:dyDescent="0.25">
      <c r="A255" s="19" t="s">
        <v>396</v>
      </c>
      <c r="B255" s="19" t="s">
        <v>376</v>
      </c>
      <c r="C255" s="19" t="s">
        <v>377</v>
      </c>
      <c r="D255" s="19">
        <v>0</v>
      </c>
      <c r="E255" s="19" t="s">
        <v>99</v>
      </c>
      <c r="F255" s="19" t="s">
        <v>100</v>
      </c>
      <c r="G255" s="19" t="s">
        <v>32</v>
      </c>
      <c r="H255" s="19" t="s">
        <v>101</v>
      </c>
      <c r="I255" s="19" t="s">
        <v>102</v>
      </c>
      <c r="J255" s="19">
        <v>39</v>
      </c>
      <c r="K255" s="19">
        <v>4.3299999999999998E-2</v>
      </c>
      <c r="L255" s="19" t="s">
        <v>35</v>
      </c>
      <c r="M255" s="19" t="s">
        <v>103</v>
      </c>
      <c r="N255" s="19">
        <v>0</v>
      </c>
      <c r="O255" s="19">
        <v>0</v>
      </c>
      <c r="P255" s="19">
        <v>0</v>
      </c>
      <c r="Q255" s="19">
        <v>0</v>
      </c>
      <c r="S255" s="19">
        <v>1</v>
      </c>
      <c r="T255" s="19">
        <v>1</v>
      </c>
      <c r="U255" s="19">
        <v>0</v>
      </c>
      <c r="V255" s="19" t="s">
        <v>36</v>
      </c>
      <c r="W255" s="19">
        <v>0</v>
      </c>
      <c r="Y255" s="19" t="s">
        <v>103</v>
      </c>
      <c r="Z255" s="19">
        <v>50</v>
      </c>
      <c r="AA255" s="19">
        <v>0</v>
      </c>
    </row>
    <row r="256" spans="1:27" x14ac:dyDescent="0.25">
      <c r="A256" s="19" t="s">
        <v>397</v>
      </c>
      <c r="B256" s="19" t="s">
        <v>376</v>
      </c>
      <c r="C256" s="19" t="s">
        <v>377</v>
      </c>
      <c r="D256" s="19">
        <v>0</v>
      </c>
      <c r="E256" s="19" t="s">
        <v>105</v>
      </c>
      <c r="F256" s="19" t="s">
        <v>106</v>
      </c>
      <c r="G256" s="19" t="s">
        <v>32</v>
      </c>
      <c r="H256" s="19" t="s">
        <v>101</v>
      </c>
      <c r="I256" s="19" t="s">
        <v>102</v>
      </c>
      <c r="J256" s="19">
        <v>38</v>
      </c>
      <c r="K256" s="19">
        <v>4.3299999999999998E-2</v>
      </c>
      <c r="L256" s="19" t="s">
        <v>35</v>
      </c>
      <c r="M256" s="19" t="s">
        <v>103</v>
      </c>
      <c r="N256" s="19">
        <v>0</v>
      </c>
      <c r="O256" s="19">
        <v>0</v>
      </c>
      <c r="P256" s="19">
        <v>0</v>
      </c>
      <c r="Q256" s="19">
        <v>0</v>
      </c>
      <c r="S256" s="19">
        <v>1</v>
      </c>
      <c r="T256" s="19">
        <v>1</v>
      </c>
      <c r="U256" s="19">
        <v>0</v>
      </c>
      <c r="V256" s="19" t="s">
        <v>36</v>
      </c>
      <c r="W256" s="19">
        <v>0</v>
      </c>
      <c r="Y256" s="19" t="s">
        <v>103</v>
      </c>
      <c r="Z256" s="19">
        <v>50</v>
      </c>
      <c r="AA256" s="19">
        <v>0</v>
      </c>
    </row>
    <row r="257" spans="1:27" x14ac:dyDescent="0.25">
      <c r="A257" s="19" t="s">
        <v>398</v>
      </c>
      <c r="B257" s="19" t="s">
        <v>376</v>
      </c>
      <c r="C257" s="19" t="s">
        <v>377</v>
      </c>
      <c r="D257" s="19">
        <v>0</v>
      </c>
      <c r="E257" s="19" t="s">
        <v>108</v>
      </c>
      <c r="F257" s="19" t="s">
        <v>109</v>
      </c>
      <c r="G257" s="19" t="s">
        <v>32</v>
      </c>
      <c r="H257" s="19" t="s">
        <v>101</v>
      </c>
      <c r="I257" s="19" t="s">
        <v>102</v>
      </c>
      <c r="J257" s="19">
        <v>37</v>
      </c>
      <c r="K257" s="19">
        <v>4.3299999999999998E-2</v>
      </c>
      <c r="L257" s="19" t="s">
        <v>35</v>
      </c>
      <c r="N257" s="19">
        <v>0</v>
      </c>
      <c r="O257" s="19">
        <v>0</v>
      </c>
      <c r="P257" s="19">
        <v>0</v>
      </c>
      <c r="Q257" s="19">
        <v>0</v>
      </c>
      <c r="S257" s="19">
        <v>1</v>
      </c>
      <c r="T257" s="19">
        <v>1</v>
      </c>
      <c r="U257" s="19">
        <v>0</v>
      </c>
      <c r="V257" s="19" t="s">
        <v>36</v>
      </c>
      <c r="W257" s="19">
        <v>0</v>
      </c>
      <c r="Z257" s="19">
        <v>0</v>
      </c>
      <c r="AA257" s="19">
        <v>0</v>
      </c>
    </row>
    <row r="258" spans="1:27" x14ac:dyDescent="0.25">
      <c r="A258" s="19" t="s">
        <v>399</v>
      </c>
      <c r="B258" s="19" t="s">
        <v>376</v>
      </c>
      <c r="C258" s="19" t="s">
        <v>377</v>
      </c>
      <c r="D258" s="19">
        <v>0</v>
      </c>
      <c r="E258" s="19" t="s">
        <v>112</v>
      </c>
      <c r="F258" s="19" t="s">
        <v>113</v>
      </c>
      <c r="G258" s="19" t="s">
        <v>32</v>
      </c>
      <c r="H258" s="19" t="s">
        <v>114</v>
      </c>
      <c r="I258" s="19" t="s">
        <v>115</v>
      </c>
      <c r="J258" s="19">
        <v>30</v>
      </c>
      <c r="K258" s="19">
        <v>2.1700000000000001E-2</v>
      </c>
      <c r="L258" s="19" t="s">
        <v>35</v>
      </c>
      <c r="M258" s="19" t="s">
        <v>103</v>
      </c>
      <c r="N258" s="19">
        <v>0</v>
      </c>
      <c r="O258" s="19">
        <v>0</v>
      </c>
      <c r="P258" s="19">
        <v>0</v>
      </c>
      <c r="Q258" s="19">
        <v>0</v>
      </c>
      <c r="S258" s="19">
        <v>1</v>
      </c>
      <c r="T258" s="19">
        <v>1</v>
      </c>
      <c r="U258" s="19">
        <v>0</v>
      </c>
      <c r="V258" s="19" t="s">
        <v>36</v>
      </c>
      <c r="W258" s="19">
        <v>0</v>
      </c>
      <c r="Y258" s="19" t="s">
        <v>103</v>
      </c>
      <c r="Z258" s="19">
        <v>50</v>
      </c>
      <c r="AA258" s="19">
        <v>0</v>
      </c>
    </row>
    <row r="259" spans="1:27" x14ac:dyDescent="0.25">
      <c r="A259" s="19" t="s">
        <v>400</v>
      </c>
      <c r="B259" s="19" t="s">
        <v>376</v>
      </c>
      <c r="C259" s="19" t="s">
        <v>377</v>
      </c>
      <c r="D259" s="19">
        <v>1.085</v>
      </c>
      <c r="E259" s="19" t="s">
        <v>117</v>
      </c>
      <c r="F259" s="19" t="s">
        <v>118</v>
      </c>
      <c r="G259" s="19" t="s">
        <v>32</v>
      </c>
      <c r="H259" s="19" t="s">
        <v>114</v>
      </c>
      <c r="I259" s="19" t="s">
        <v>115</v>
      </c>
      <c r="J259" s="19">
        <v>31</v>
      </c>
      <c r="K259" s="19">
        <v>2.1700000000000001E-2</v>
      </c>
      <c r="L259" s="19" t="s">
        <v>35</v>
      </c>
      <c r="M259" s="19" t="s">
        <v>103</v>
      </c>
      <c r="N259" s="19">
        <v>50</v>
      </c>
      <c r="O259" s="19">
        <v>50</v>
      </c>
      <c r="P259" s="19">
        <v>0</v>
      </c>
      <c r="Q259" s="19">
        <v>0</v>
      </c>
      <c r="S259" s="19">
        <v>1</v>
      </c>
      <c r="T259" s="19">
        <v>1</v>
      </c>
      <c r="U259" s="19">
        <v>0</v>
      </c>
      <c r="V259" s="19" t="s">
        <v>41</v>
      </c>
      <c r="W259" s="19">
        <v>1</v>
      </c>
      <c r="Y259" s="19" t="s">
        <v>103</v>
      </c>
      <c r="Z259" s="19">
        <v>50</v>
      </c>
      <c r="AA259" s="19">
        <v>50</v>
      </c>
    </row>
    <row r="260" spans="1:27" x14ac:dyDescent="0.25">
      <c r="A260" s="19" t="s">
        <v>401</v>
      </c>
      <c r="B260" s="19" t="s">
        <v>376</v>
      </c>
      <c r="C260" s="19" t="s">
        <v>377</v>
      </c>
      <c r="D260" s="19">
        <v>0</v>
      </c>
      <c r="E260" s="19" t="s">
        <v>120</v>
      </c>
      <c r="F260" s="19" t="s">
        <v>121</v>
      </c>
      <c r="G260" s="19" t="s">
        <v>32</v>
      </c>
      <c r="H260" s="19" t="s">
        <v>114</v>
      </c>
      <c r="I260" s="19" t="s">
        <v>115</v>
      </c>
      <c r="J260" s="19">
        <v>28</v>
      </c>
      <c r="K260" s="19">
        <v>2.1700000000000001E-2</v>
      </c>
      <c r="L260" s="19" t="s">
        <v>35</v>
      </c>
      <c r="M260" s="19" t="s">
        <v>103</v>
      </c>
      <c r="N260" s="19">
        <v>0</v>
      </c>
      <c r="O260" s="19">
        <v>0</v>
      </c>
      <c r="P260" s="19">
        <v>0</v>
      </c>
      <c r="Q260" s="19">
        <v>0</v>
      </c>
      <c r="S260" s="19">
        <v>1</v>
      </c>
      <c r="T260" s="19">
        <v>1</v>
      </c>
      <c r="U260" s="19">
        <v>0</v>
      </c>
      <c r="V260" s="19" t="s">
        <v>80</v>
      </c>
      <c r="W260" s="19">
        <v>0</v>
      </c>
      <c r="Y260" s="19" t="s">
        <v>103</v>
      </c>
      <c r="Z260" s="19">
        <v>50</v>
      </c>
      <c r="AA260" s="19">
        <v>0</v>
      </c>
    </row>
    <row r="261" spans="1:27" x14ac:dyDescent="0.25">
      <c r="A261" s="19" t="s">
        <v>402</v>
      </c>
      <c r="B261" s="19" t="s">
        <v>376</v>
      </c>
      <c r="C261" s="19" t="s">
        <v>377</v>
      </c>
      <c r="D261" s="19">
        <v>0</v>
      </c>
      <c r="E261" s="19" t="s">
        <v>123</v>
      </c>
      <c r="F261" s="19" t="s">
        <v>124</v>
      </c>
      <c r="G261" s="19" t="s">
        <v>32</v>
      </c>
      <c r="H261" s="19" t="s">
        <v>114</v>
      </c>
      <c r="I261" s="19" t="s">
        <v>115</v>
      </c>
      <c r="J261" s="19">
        <v>27</v>
      </c>
      <c r="K261" s="19">
        <v>2.1700000000000001E-2</v>
      </c>
      <c r="L261" s="19" t="s">
        <v>35</v>
      </c>
      <c r="M261" s="19" t="s">
        <v>103</v>
      </c>
      <c r="N261" s="19">
        <v>0</v>
      </c>
      <c r="O261" s="19">
        <v>0</v>
      </c>
      <c r="P261" s="19">
        <v>0</v>
      </c>
      <c r="Q261" s="19">
        <v>0</v>
      </c>
      <c r="S261" s="19">
        <v>1</v>
      </c>
      <c r="T261" s="19">
        <v>1</v>
      </c>
      <c r="U261" s="19">
        <v>0</v>
      </c>
      <c r="V261" s="19" t="s">
        <v>36</v>
      </c>
      <c r="W261" s="19">
        <v>0</v>
      </c>
      <c r="Y261" s="19" t="s">
        <v>103</v>
      </c>
      <c r="Z261" s="19">
        <v>50</v>
      </c>
      <c r="AA261" s="19">
        <v>0</v>
      </c>
    </row>
    <row r="262" spans="1:27" x14ac:dyDescent="0.25">
      <c r="A262" s="19" t="s">
        <v>403</v>
      </c>
      <c r="B262" s="19" t="s">
        <v>376</v>
      </c>
      <c r="C262" s="19" t="s">
        <v>377</v>
      </c>
      <c r="D262" s="19">
        <v>0</v>
      </c>
      <c r="E262" s="19" t="s">
        <v>126</v>
      </c>
      <c r="F262" s="19" t="s">
        <v>127</v>
      </c>
      <c r="G262" s="19" t="s">
        <v>32</v>
      </c>
      <c r="H262" s="19" t="s">
        <v>114</v>
      </c>
      <c r="I262" s="19" t="s">
        <v>115</v>
      </c>
      <c r="J262" s="19">
        <v>29</v>
      </c>
      <c r="K262" s="19">
        <v>2.1700000000000001E-2</v>
      </c>
      <c r="L262" s="19" t="s">
        <v>35</v>
      </c>
      <c r="M262" s="19" t="s">
        <v>103</v>
      </c>
      <c r="N262" s="19">
        <v>0</v>
      </c>
      <c r="O262" s="19">
        <v>0</v>
      </c>
      <c r="P262" s="19">
        <v>0</v>
      </c>
      <c r="Q262" s="19">
        <v>0</v>
      </c>
      <c r="S262" s="19">
        <v>1</v>
      </c>
      <c r="T262" s="19">
        <v>1</v>
      </c>
      <c r="U262" s="19">
        <v>0</v>
      </c>
      <c r="V262" s="19" t="s">
        <v>36</v>
      </c>
      <c r="W262" s="19">
        <v>0</v>
      </c>
      <c r="Y262" s="19" t="s">
        <v>103</v>
      </c>
      <c r="Z262" s="19">
        <v>50</v>
      </c>
      <c r="AA262" s="19">
        <v>0</v>
      </c>
    </row>
    <row r="263" spans="1:27" x14ac:dyDescent="0.25">
      <c r="A263" s="19" t="s">
        <v>404</v>
      </c>
      <c r="B263" s="19" t="s">
        <v>376</v>
      </c>
      <c r="C263" s="19" t="s">
        <v>377</v>
      </c>
      <c r="D263" s="19">
        <v>1.085</v>
      </c>
      <c r="E263" s="19" t="s">
        <v>129</v>
      </c>
      <c r="F263" s="19" t="s">
        <v>130</v>
      </c>
      <c r="G263" s="19" t="s">
        <v>32</v>
      </c>
      <c r="H263" s="19" t="s">
        <v>114</v>
      </c>
      <c r="I263" s="19" t="s">
        <v>115</v>
      </c>
      <c r="J263" s="19">
        <v>32</v>
      </c>
      <c r="K263" s="19">
        <v>2.1700000000000001E-2</v>
      </c>
      <c r="L263" s="19" t="s">
        <v>35</v>
      </c>
      <c r="M263" s="19" t="s">
        <v>103</v>
      </c>
      <c r="N263" s="19">
        <v>50</v>
      </c>
      <c r="O263" s="19">
        <v>50</v>
      </c>
      <c r="P263" s="19">
        <v>0</v>
      </c>
      <c r="Q263" s="19">
        <v>0</v>
      </c>
      <c r="S263" s="19">
        <v>1</v>
      </c>
      <c r="T263" s="19">
        <v>1</v>
      </c>
      <c r="U263" s="19">
        <v>0</v>
      </c>
      <c r="V263" s="19" t="s">
        <v>41</v>
      </c>
      <c r="W263" s="19">
        <v>1</v>
      </c>
      <c r="Y263" s="19" t="s">
        <v>103</v>
      </c>
      <c r="Z263" s="19">
        <v>50</v>
      </c>
      <c r="AA263" s="19">
        <v>50</v>
      </c>
    </row>
    <row r="264" spans="1:27" x14ac:dyDescent="0.25">
      <c r="A264" s="19" t="s">
        <v>405</v>
      </c>
      <c r="B264" s="19" t="s">
        <v>376</v>
      </c>
      <c r="C264" s="19" t="s">
        <v>377</v>
      </c>
      <c r="D264" s="19">
        <v>0</v>
      </c>
      <c r="E264" s="19" t="s">
        <v>132</v>
      </c>
      <c r="F264" s="19" t="s">
        <v>133</v>
      </c>
      <c r="G264" s="19" t="s">
        <v>134</v>
      </c>
      <c r="H264" s="19" t="s">
        <v>87</v>
      </c>
      <c r="I264" s="19" t="s">
        <v>135</v>
      </c>
      <c r="J264" s="19">
        <v>11</v>
      </c>
      <c r="K264" s="19">
        <v>4.1700000000000001E-2</v>
      </c>
      <c r="L264" s="19" t="s">
        <v>35</v>
      </c>
      <c r="M264" s="19" t="s">
        <v>103</v>
      </c>
      <c r="N264" s="19">
        <v>0</v>
      </c>
      <c r="O264" s="19">
        <v>0</v>
      </c>
      <c r="P264" s="19">
        <v>0</v>
      </c>
      <c r="Q264" s="19">
        <v>0</v>
      </c>
      <c r="S264" s="19">
        <v>1</v>
      </c>
      <c r="T264" s="19">
        <v>1</v>
      </c>
      <c r="U264" s="19">
        <v>0</v>
      </c>
      <c r="V264" s="19" t="s">
        <v>80</v>
      </c>
      <c r="W264" s="19">
        <v>0</v>
      </c>
      <c r="Y264" s="19" t="s">
        <v>103</v>
      </c>
      <c r="Z264" s="19">
        <v>50</v>
      </c>
      <c r="AA264" s="19">
        <v>0</v>
      </c>
    </row>
    <row r="265" spans="1:27" x14ac:dyDescent="0.25">
      <c r="A265" s="19" t="s">
        <v>406</v>
      </c>
      <c r="B265" s="19" t="s">
        <v>376</v>
      </c>
      <c r="C265" s="19" t="s">
        <v>377</v>
      </c>
      <c r="D265" s="19">
        <v>0.69493050000000001</v>
      </c>
      <c r="E265" s="19" t="s">
        <v>137</v>
      </c>
      <c r="F265" s="19" t="s">
        <v>138</v>
      </c>
      <c r="G265" s="19" t="s">
        <v>134</v>
      </c>
      <c r="H265" s="19" t="s">
        <v>87</v>
      </c>
      <c r="I265" s="19" t="s">
        <v>135</v>
      </c>
      <c r="J265" s="19">
        <v>9</v>
      </c>
      <c r="K265" s="19">
        <v>4.1700000000000001E-2</v>
      </c>
      <c r="L265" s="19" t="s">
        <v>35</v>
      </c>
      <c r="M265" s="19" t="s">
        <v>110</v>
      </c>
      <c r="N265" s="19">
        <v>16.664999999999999</v>
      </c>
      <c r="O265" s="19">
        <v>16.664999999999999</v>
      </c>
      <c r="P265" s="19">
        <v>0</v>
      </c>
      <c r="Q265" s="19">
        <v>0</v>
      </c>
      <c r="S265" s="19">
        <v>1</v>
      </c>
      <c r="T265" s="19">
        <v>1</v>
      </c>
      <c r="U265" s="19">
        <v>0</v>
      </c>
      <c r="W265" s="19">
        <v>0</v>
      </c>
      <c r="X265" s="19">
        <v>3</v>
      </c>
      <c r="Y265" s="19" t="s">
        <v>110</v>
      </c>
      <c r="Z265" s="19">
        <v>16.664999999999999</v>
      </c>
      <c r="AA265" s="19">
        <v>16.664999999999999</v>
      </c>
    </row>
    <row r="266" spans="1:27" x14ac:dyDescent="0.25">
      <c r="A266" s="19" t="s">
        <v>407</v>
      </c>
      <c r="B266" s="19" t="s">
        <v>376</v>
      </c>
      <c r="C266" s="19" t="s">
        <v>377</v>
      </c>
      <c r="D266" s="19">
        <v>0</v>
      </c>
      <c r="E266" s="19" t="s">
        <v>140</v>
      </c>
      <c r="F266" s="19" t="s">
        <v>141</v>
      </c>
      <c r="G266" s="19" t="s">
        <v>134</v>
      </c>
      <c r="H266" s="19" t="s">
        <v>87</v>
      </c>
      <c r="I266" s="19" t="s">
        <v>135</v>
      </c>
      <c r="J266" s="19">
        <v>10</v>
      </c>
      <c r="K266" s="19">
        <v>4.1700000000000001E-2</v>
      </c>
      <c r="L266" s="19" t="s">
        <v>35</v>
      </c>
      <c r="N266" s="19">
        <v>0</v>
      </c>
      <c r="O266" s="19">
        <v>0</v>
      </c>
      <c r="P266" s="19">
        <v>0</v>
      </c>
      <c r="Q266" s="19">
        <v>0</v>
      </c>
      <c r="S266" s="19">
        <v>1</v>
      </c>
      <c r="T266" s="19">
        <v>1</v>
      </c>
      <c r="U266" s="19">
        <v>0</v>
      </c>
      <c r="W266" s="19">
        <v>0</v>
      </c>
      <c r="X266" s="19">
        <v>0</v>
      </c>
      <c r="Z266" s="19">
        <v>0</v>
      </c>
      <c r="AA266" s="19">
        <v>0</v>
      </c>
    </row>
    <row r="267" spans="1:27" x14ac:dyDescent="0.25">
      <c r="A267" s="19" t="s">
        <v>408</v>
      </c>
      <c r="B267" s="19" t="s">
        <v>376</v>
      </c>
      <c r="C267" s="19" t="s">
        <v>377</v>
      </c>
      <c r="D267" s="19">
        <v>1.25</v>
      </c>
      <c r="E267" s="19" t="s">
        <v>144</v>
      </c>
      <c r="F267" s="19" t="s">
        <v>145</v>
      </c>
      <c r="G267" s="19" t="s">
        <v>134</v>
      </c>
      <c r="H267" s="19" t="s">
        <v>146</v>
      </c>
      <c r="I267" s="19" t="s">
        <v>147</v>
      </c>
      <c r="J267" s="19">
        <v>4</v>
      </c>
      <c r="K267" s="19">
        <v>2.5000000000000001E-2</v>
      </c>
      <c r="L267" s="19" t="s">
        <v>35</v>
      </c>
      <c r="M267" s="19" t="s">
        <v>103</v>
      </c>
      <c r="N267" s="19">
        <v>50</v>
      </c>
      <c r="O267" s="19">
        <v>50</v>
      </c>
      <c r="P267" s="19">
        <v>0</v>
      </c>
      <c r="Q267" s="19">
        <v>0</v>
      </c>
      <c r="S267" s="19">
        <v>1</v>
      </c>
      <c r="T267" s="19">
        <v>1</v>
      </c>
      <c r="U267" s="19">
        <v>0</v>
      </c>
      <c r="V267" s="19" t="s">
        <v>41</v>
      </c>
      <c r="W267" s="19">
        <v>1</v>
      </c>
      <c r="Y267" s="19" t="s">
        <v>103</v>
      </c>
      <c r="Z267" s="19">
        <v>50</v>
      </c>
      <c r="AA267" s="19">
        <v>50</v>
      </c>
    </row>
    <row r="268" spans="1:27" x14ac:dyDescent="0.25">
      <c r="A268" s="19" t="s">
        <v>409</v>
      </c>
      <c r="B268" s="19" t="s">
        <v>376</v>
      </c>
      <c r="C268" s="19" t="s">
        <v>377</v>
      </c>
      <c r="D268" s="19">
        <v>1.25</v>
      </c>
      <c r="E268" s="19" t="s">
        <v>149</v>
      </c>
      <c r="F268" s="19" t="s">
        <v>150</v>
      </c>
      <c r="G268" s="19" t="s">
        <v>134</v>
      </c>
      <c r="H268" s="19" t="s">
        <v>146</v>
      </c>
      <c r="I268" s="19" t="s">
        <v>147</v>
      </c>
      <c r="J268" s="19">
        <v>5</v>
      </c>
      <c r="K268" s="19">
        <v>2.5000000000000001E-2</v>
      </c>
      <c r="L268" s="19" t="s">
        <v>35</v>
      </c>
      <c r="M268" s="19" t="s">
        <v>103</v>
      </c>
      <c r="N268" s="19">
        <v>50</v>
      </c>
      <c r="O268" s="19">
        <v>50</v>
      </c>
      <c r="P268" s="19">
        <v>0</v>
      </c>
      <c r="Q268" s="19">
        <v>0</v>
      </c>
      <c r="S268" s="19">
        <v>1</v>
      </c>
      <c r="T268" s="19">
        <v>1</v>
      </c>
      <c r="U268" s="19">
        <v>0</v>
      </c>
      <c r="V268" s="19" t="s">
        <v>41</v>
      </c>
      <c r="W268" s="19">
        <v>1</v>
      </c>
      <c r="Y268" s="19" t="s">
        <v>103</v>
      </c>
      <c r="Z268" s="19">
        <v>50</v>
      </c>
      <c r="AA268" s="19">
        <v>50</v>
      </c>
    </row>
    <row r="269" spans="1:27" x14ac:dyDescent="0.25">
      <c r="A269" s="19" t="s">
        <v>410</v>
      </c>
      <c r="B269" s="19" t="s">
        <v>376</v>
      </c>
      <c r="C269" s="19" t="s">
        <v>377</v>
      </c>
      <c r="D269" s="19">
        <v>1.25</v>
      </c>
      <c r="E269" s="19" t="s">
        <v>152</v>
      </c>
      <c r="F269" s="19" t="s">
        <v>153</v>
      </c>
      <c r="G269" s="19" t="s">
        <v>134</v>
      </c>
      <c r="H269" s="19" t="s">
        <v>146</v>
      </c>
      <c r="I269" s="19" t="s">
        <v>147</v>
      </c>
      <c r="J269" s="19">
        <v>6</v>
      </c>
      <c r="K269" s="19">
        <v>2.5000000000000001E-2</v>
      </c>
      <c r="L269" s="19" t="s">
        <v>35</v>
      </c>
      <c r="M269" s="19" t="s">
        <v>103</v>
      </c>
      <c r="N269" s="19">
        <v>50</v>
      </c>
      <c r="O269" s="19">
        <v>50</v>
      </c>
      <c r="P269" s="19">
        <v>0</v>
      </c>
      <c r="Q269" s="19">
        <v>0</v>
      </c>
      <c r="S269" s="19">
        <v>1</v>
      </c>
      <c r="T269" s="19">
        <v>1</v>
      </c>
      <c r="U269" s="19">
        <v>0</v>
      </c>
      <c r="V269" s="19" t="s">
        <v>41</v>
      </c>
      <c r="W269" s="19">
        <v>1</v>
      </c>
      <c r="Y269" s="19" t="s">
        <v>103</v>
      </c>
      <c r="Z269" s="19">
        <v>50</v>
      </c>
      <c r="AA269" s="19">
        <v>50</v>
      </c>
    </row>
    <row r="270" spans="1:27" x14ac:dyDescent="0.25">
      <c r="A270" s="19" t="s">
        <v>411</v>
      </c>
      <c r="B270" s="19" t="s">
        <v>376</v>
      </c>
      <c r="C270" s="19" t="s">
        <v>377</v>
      </c>
      <c r="D270" s="19">
        <v>1.25</v>
      </c>
      <c r="E270" s="19" t="s">
        <v>155</v>
      </c>
      <c r="F270" s="19" t="s">
        <v>156</v>
      </c>
      <c r="G270" s="19" t="s">
        <v>134</v>
      </c>
      <c r="H270" s="19" t="s">
        <v>146</v>
      </c>
      <c r="I270" s="19" t="s">
        <v>147</v>
      </c>
      <c r="J270" s="19">
        <v>7</v>
      </c>
      <c r="K270" s="19">
        <v>2.5000000000000001E-2</v>
      </c>
      <c r="L270" s="19" t="s">
        <v>35</v>
      </c>
      <c r="M270" s="19" t="s">
        <v>103</v>
      </c>
      <c r="N270" s="19">
        <v>50</v>
      </c>
      <c r="O270" s="19">
        <v>50</v>
      </c>
      <c r="P270" s="19">
        <v>0</v>
      </c>
      <c r="Q270" s="19">
        <v>0</v>
      </c>
      <c r="S270" s="19">
        <v>1</v>
      </c>
      <c r="T270" s="19">
        <v>1</v>
      </c>
      <c r="U270" s="19">
        <v>0</v>
      </c>
      <c r="V270" s="19" t="s">
        <v>41</v>
      </c>
      <c r="W270" s="19">
        <v>1</v>
      </c>
      <c r="Y270" s="19" t="s">
        <v>103</v>
      </c>
      <c r="Z270" s="19">
        <v>50</v>
      </c>
      <c r="AA270" s="19">
        <v>50</v>
      </c>
    </row>
    <row r="271" spans="1:27" x14ac:dyDescent="0.25">
      <c r="A271" s="19" t="s">
        <v>412</v>
      </c>
      <c r="B271" s="19" t="s">
        <v>376</v>
      </c>
      <c r="C271" s="19" t="s">
        <v>377</v>
      </c>
      <c r="D271" s="19">
        <v>0</v>
      </c>
      <c r="E271" s="19" t="s">
        <v>158</v>
      </c>
      <c r="F271" s="19" t="s">
        <v>159</v>
      </c>
      <c r="G271" s="19" t="s">
        <v>134</v>
      </c>
      <c r="H271" s="19" t="s">
        <v>146</v>
      </c>
      <c r="I271" s="19" t="s">
        <v>147</v>
      </c>
      <c r="J271" s="19">
        <v>8</v>
      </c>
      <c r="K271" s="19">
        <v>2.5000000000000001E-2</v>
      </c>
      <c r="L271" s="19" t="s">
        <v>35</v>
      </c>
      <c r="M271" s="19" t="s">
        <v>103</v>
      </c>
      <c r="N271" s="19">
        <v>0</v>
      </c>
      <c r="O271" s="19">
        <v>0</v>
      </c>
      <c r="P271" s="19">
        <v>0</v>
      </c>
      <c r="Q271" s="19">
        <v>0</v>
      </c>
      <c r="S271" s="19">
        <v>1</v>
      </c>
      <c r="T271" s="19">
        <v>1</v>
      </c>
      <c r="U271" s="19">
        <v>0</v>
      </c>
      <c r="V271" s="19" t="s">
        <v>36</v>
      </c>
      <c r="W271" s="19">
        <v>0</v>
      </c>
      <c r="Y271" s="19" t="s">
        <v>103</v>
      </c>
      <c r="Z271" s="19">
        <v>50</v>
      </c>
      <c r="AA271" s="19">
        <v>0</v>
      </c>
    </row>
    <row r="272" spans="1:27" x14ac:dyDescent="0.25">
      <c r="A272" s="19" t="s">
        <v>413</v>
      </c>
      <c r="B272" s="19" t="s">
        <v>376</v>
      </c>
      <c r="C272" s="19" t="s">
        <v>377</v>
      </c>
      <c r="D272" s="19">
        <v>2.2197779999999998</v>
      </c>
      <c r="E272" s="19" t="s">
        <v>161</v>
      </c>
      <c r="F272" s="19" t="s">
        <v>162</v>
      </c>
      <c r="G272" s="19" t="s">
        <v>163</v>
      </c>
      <c r="I272" s="19" t="s">
        <v>164</v>
      </c>
      <c r="J272" s="19">
        <v>1</v>
      </c>
      <c r="K272" s="19">
        <v>3.3300000000000003E-2</v>
      </c>
      <c r="L272" s="19" t="s">
        <v>35</v>
      </c>
      <c r="M272" s="19" t="s">
        <v>165</v>
      </c>
      <c r="N272" s="19">
        <v>66.66</v>
      </c>
      <c r="O272" s="19">
        <v>66.66</v>
      </c>
      <c r="P272" s="19">
        <v>0</v>
      </c>
      <c r="Q272" s="19">
        <v>0</v>
      </c>
      <c r="S272" s="19">
        <v>1</v>
      </c>
      <c r="T272" s="19">
        <v>1</v>
      </c>
      <c r="U272" s="19">
        <v>0</v>
      </c>
      <c r="W272" s="19">
        <v>0</v>
      </c>
      <c r="X272" s="19">
        <v>66.66</v>
      </c>
      <c r="Z272" s="19">
        <v>0</v>
      </c>
      <c r="AA272" s="19">
        <v>66.66</v>
      </c>
    </row>
    <row r="273" spans="1:27" x14ac:dyDescent="0.25">
      <c r="A273" s="19" t="s">
        <v>414</v>
      </c>
      <c r="B273" s="19" t="s">
        <v>376</v>
      </c>
      <c r="C273" s="19" t="s">
        <v>377</v>
      </c>
      <c r="D273" s="19">
        <v>0</v>
      </c>
      <c r="E273" s="19" t="s">
        <v>167</v>
      </c>
      <c r="F273" s="19" t="s">
        <v>168</v>
      </c>
      <c r="G273" s="19" t="s">
        <v>163</v>
      </c>
      <c r="I273" s="19" t="s">
        <v>164</v>
      </c>
      <c r="J273" s="19">
        <v>3</v>
      </c>
      <c r="K273" s="19">
        <v>3.3300000000000003E-2</v>
      </c>
      <c r="L273" s="19" t="s">
        <v>35</v>
      </c>
      <c r="M273" s="19" t="s">
        <v>165</v>
      </c>
      <c r="N273" s="19">
        <v>0</v>
      </c>
      <c r="O273" s="19">
        <v>0</v>
      </c>
      <c r="P273" s="19">
        <v>0</v>
      </c>
      <c r="Q273" s="19">
        <v>0</v>
      </c>
      <c r="S273" s="19">
        <v>1</v>
      </c>
      <c r="T273" s="19">
        <v>1</v>
      </c>
      <c r="U273" s="19">
        <v>0</v>
      </c>
      <c r="W273" s="19">
        <v>0</v>
      </c>
      <c r="X273" s="19">
        <v>0</v>
      </c>
      <c r="Z273" s="19">
        <v>0</v>
      </c>
      <c r="AA273" s="19">
        <v>0</v>
      </c>
    </row>
    <row r="274" spans="1:27" x14ac:dyDescent="0.25">
      <c r="A274" s="19" t="s">
        <v>415</v>
      </c>
      <c r="B274" s="19" t="s">
        <v>376</v>
      </c>
      <c r="C274" s="19" t="s">
        <v>377</v>
      </c>
      <c r="D274" s="19">
        <v>0.21645</v>
      </c>
      <c r="E274" s="19" t="s">
        <v>170</v>
      </c>
      <c r="F274" s="19" t="s">
        <v>171</v>
      </c>
      <c r="G274" s="19" t="s">
        <v>163</v>
      </c>
      <c r="I274" s="19" t="s">
        <v>164</v>
      </c>
      <c r="J274" s="19">
        <v>2</v>
      </c>
      <c r="K274" s="19">
        <v>3.3300000000000003E-2</v>
      </c>
      <c r="L274" s="19" t="s">
        <v>35</v>
      </c>
      <c r="M274" s="19" t="s">
        <v>165</v>
      </c>
      <c r="N274" s="19">
        <v>6.5</v>
      </c>
      <c r="O274" s="19">
        <v>6.5</v>
      </c>
      <c r="P274" s="19">
        <v>0</v>
      </c>
      <c r="Q274" s="19">
        <v>0</v>
      </c>
      <c r="S274" s="19">
        <v>1</v>
      </c>
      <c r="T274" s="19">
        <v>1</v>
      </c>
      <c r="U274" s="19">
        <v>0</v>
      </c>
      <c r="W274" s="19">
        <v>0</v>
      </c>
      <c r="X274" s="19">
        <v>6.5</v>
      </c>
      <c r="Z274" s="19">
        <v>0</v>
      </c>
      <c r="AA274" s="19">
        <v>6.5</v>
      </c>
    </row>
    <row r="275" spans="1:27" x14ac:dyDescent="0.25">
      <c r="A275" s="19" t="s">
        <v>416</v>
      </c>
      <c r="B275" s="19" t="s">
        <v>417</v>
      </c>
      <c r="C275" s="19" t="s">
        <v>418</v>
      </c>
      <c r="D275" s="19">
        <v>0</v>
      </c>
      <c r="E275" s="19" t="s">
        <v>30</v>
      </c>
      <c r="F275" s="19" t="s">
        <v>31</v>
      </c>
      <c r="G275" s="19" t="s">
        <v>32</v>
      </c>
      <c r="H275" s="19" t="s">
        <v>33</v>
      </c>
      <c r="I275" s="19" t="s">
        <v>34</v>
      </c>
      <c r="J275" s="19">
        <v>17</v>
      </c>
      <c r="K275" s="19">
        <v>1.6299999999999999E-2</v>
      </c>
      <c r="L275" s="19" t="s">
        <v>35</v>
      </c>
      <c r="N275" s="19">
        <v>0</v>
      </c>
      <c r="O275" s="19">
        <v>0</v>
      </c>
      <c r="P275" s="19">
        <v>0</v>
      </c>
      <c r="Q275" s="19">
        <v>0</v>
      </c>
      <c r="S275" s="19">
        <v>1</v>
      </c>
      <c r="T275" s="19">
        <v>1</v>
      </c>
      <c r="U275" s="19">
        <v>0</v>
      </c>
      <c r="V275" s="19" t="s">
        <v>36</v>
      </c>
      <c r="W275" s="19">
        <v>0</v>
      </c>
      <c r="Z275" s="19">
        <v>0</v>
      </c>
      <c r="AA275" s="19">
        <v>0</v>
      </c>
    </row>
    <row r="276" spans="1:27" x14ac:dyDescent="0.25">
      <c r="A276" s="19" t="s">
        <v>419</v>
      </c>
      <c r="B276" s="19" t="s">
        <v>417</v>
      </c>
      <c r="C276" s="19" t="s">
        <v>418</v>
      </c>
      <c r="D276" s="19">
        <v>0</v>
      </c>
      <c r="E276" s="19" t="s">
        <v>38</v>
      </c>
      <c r="F276" s="19" t="s">
        <v>39</v>
      </c>
      <c r="G276" s="19" t="s">
        <v>32</v>
      </c>
      <c r="H276" s="19" t="s">
        <v>33</v>
      </c>
      <c r="I276" s="19" t="s">
        <v>34</v>
      </c>
      <c r="J276" s="19">
        <v>19</v>
      </c>
      <c r="K276" s="19">
        <v>1.6299999999999999E-2</v>
      </c>
      <c r="L276" s="19" t="s">
        <v>35</v>
      </c>
      <c r="N276" s="19">
        <v>0</v>
      </c>
      <c r="O276" s="19">
        <v>0</v>
      </c>
      <c r="P276" s="19">
        <v>0</v>
      </c>
      <c r="Q276" s="19">
        <v>0</v>
      </c>
      <c r="S276" s="19">
        <v>1</v>
      </c>
      <c r="T276" s="19">
        <v>1</v>
      </c>
      <c r="U276" s="19">
        <v>0</v>
      </c>
      <c r="V276" s="19" t="s">
        <v>36</v>
      </c>
      <c r="W276" s="19">
        <v>0</v>
      </c>
      <c r="Z276" s="19">
        <v>0</v>
      </c>
      <c r="AA276" s="19">
        <v>0</v>
      </c>
    </row>
    <row r="277" spans="1:27" x14ac:dyDescent="0.25">
      <c r="A277" s="19" t="s">
        <v>420</v>
      </c>
      <c r="B277" s="19" t="s">
        <v>417</v>
      </c>
      <c r="C277" s="19" t="s">
        <v>418</v>
      </c>
      <c r="D277" s="19">
        <v>0</v>
      </c>
      <c r="E277" s="19" t="s">
        <v>43</v>
      </c>
      <c r="F277" s="19" t="s">
        <v>44</v>
      </c>
      <c r="G277" s="19" t="s">
        <v>32</v>
      </c>
      <c r="H277" s="19" t="s">
        <v>33</v>
      </c>
      <c r="I277" s="19" t="s">
        <v>34</v>
      </c>
      <c r="J277" s="19">
        <v>18</v>
      </c>
      <c r="K277" s="19">
        <v>1.6299999999999999E-2</v>
      </c>
      <c r="L277" s="19" t="s">
        <v>35</v>
      </c>
      <c r="N277" s="19">
        <v>0</v>
      </c>
      <c r="O277" s="19">
        <v>0</v>
      </c>
      <c r="P277" s="19">
        <v>0</v>
      </c>
      <c r="Q277" s="19">
        <v>0</v>
      </c>
      <c r="S277" s="19">
        <v>1</v>
      </c>
      <c r="T277" s="19">
        <v>1</v>
      </c>
      <c r="U277" s="19">
        <v>0</v>
      </c>
      <c r="V277" s="19" t="s">
        <v>36</v>
      </c>
      <c r="W277" s="19">
        <v>0</v>
      </c>
      <c r="Z277" s="19">
        <v>0</v>
      </c>
      <c r="AA277" s="19">
        <v>0</v>
      </c>
    </row>
    <row r="278" spans="1:27" x14ac:dyDescent="0.25">
      <c r="A278" s="19" t="s">
        <v>421</v>
      </c>
      <c r="B278" s="19" t="s">
        <v>417</v>
      </c>
      <c r="C278" s="19" t="s">
        <v>418</v>
      </c>
      <c r="D278" s="19">
        <v>0</v>
      </c>
      <c r="E278" s="19" t="s">
        <v>46</v>
      </c>
      <c r="F278" s="19" t="s">
        <v>47</v>
      </c>
      <c r="G278" s="19" t="s">
        <v>32</v>
      </c>
      <c r="H278" s="19" t="s">
        <v>33</v>
      </c>
      <c r="I278" s="19" t="s">
        <v>34</v>
      </c>
      <c r="J278" s="19">
        <v>15</v>
      </c>
      <c r="K278" s="19">
        <v>1.6299999999999999E-2</v>
      </c>
      <c r="L278" s="19" t="s">
        <v>35</v>
      </c>
      <c r="N278" s="19">
        <v>0</v>
      </c>
      <c r="O278" s="19">
        <v>0</v>
      </c>
      <c r="P278" s="19">
        <v>0</v>
      </c>
      <c r="Q278" s="19">
        <v>0</v>
      </c>
      <c r="S278" s="19">
        <v>1</v>
      </c>
      <c r="T278" s="19">
        <v>1</v>
      </c>
      <c r="U278" s="19">
        <v>0</v>
      </c>
      <c r="V278" s="19" t="s">
        <v>36</v>
      </c>
      <c r="W278" s="19">
        <v>0</v>
      </c>
      <c r="Z278" s="19">
        <v>0</v>
      </c>
      <c r="AA278" s="19">
        <v>0</v>
      </c>
    </row>
    <row r="279" spans="1:27" x14ac:dyDescent="0.25">
      <c r="A279" s="19" t="s">
        <v>422</v>
      </c>
      <c r="B279" s="19" t="s">
        <v>417</v>
      </c>
      <c r="C279" s="19" t="s">
        <v>418</v>
      </c>
      <c r="D279" s="19">
        <v>0</v>
      </c>
      <c r="E279" s="19" t="s">
        <v>49</v>
      </c>
      <c r="F279" s="19" t="s">
        <v>50</v>
      </c>
      <c r="G279" s="19" t="s">
        <v>32</v>
      </c>
      <c r="H279" s="19" t="s">
        <v>33</v>
      </c>
      <c r="I279" s="19" t="s">
        <v>34</v>
      </c>
      <c r="J279" s="19">
        <v>12</v>
      </c>
      <c r="K279" s="19">
        <v>1.6299999999999999E-2</v>
      </c>
      <c r="L279" s="19" t="s">
        <v>35</v>
      </c>
      <c r="N279" s="19">
        <v>0</v>
      </c>
      <c r="O279" s="19">
        <v>0</v>
      </c>
      <c r="P279" s="19">
        <v>0</v>
      </c>
      <c r="Q279" s="19">
        <v>0</v>
      </c>
      <c r="S279" s="19">
        <v>1</v>
      </c>
      <c r="T279" s="19">
        <v>1</v>
      </c>
      <c r="U279" s="19">
        <v>0</v>
      </c>
      <c r="V279" s="19" t="s">
        <v>36</v>
      </c>
      <c r="W279" s="19">
        <v>0</v>
      </c>
      <c r="Z279" s="19">
        <v>0</v>
      </c>
      <c r="AA279" s="19">
        <v>0</v>
      </c>
    </row>
    <row r="280" spans="1:27" x14ac:dyDescent="0.25">
      <c r="A280" s="19" t="s">
        <v>423</v>
      </c>
      <c r="B280" s="19" t="s">
        <v>417</v>
      </c>
      <c r="C280" s="19" t="s">
        <v>418</v>
      </c>
      <c r="D280" s="19">
        <v>0</v>
      </c>
      <c r="E280" s="19" t="s">
        <v>52</v>
      </c>
      <c r="F280" s="19" t="s">
        <v>53</v>
      </c>
      <c r="G280" s="19" t="s">
        <v>32</v>
      </c>
      <c r="H280" s="19" t="s">
        <v>33</v>
      </c>
      <c r="I280" s="19" t="s">
        <v>34</v>
      </c>
      <c r="J280" s="19">
        <v>16</v>
      </c>
      <c r="K280" s="19">
        <v>1.6299999999999999E-2</v>
      </c>
      <c r="L280" s="19" t="s">
        <v>35</v>
      </c>
      <c r="N280" s="19">
        <v>0</v>
      </c>
      <c r="O280" s="19">
        <v>0</v>
      </c>
      <c r="P280" s="19">
        <v>0</v>
      </c>
      <c r="Q280" s="19">
        <v>0</v>
      </c>
      <c r="S280" s="19">
        <v>1</v>
      </c>
      <c r="T280" s="19">
        <v>1</v>
      </c>
      <c r="U280" s="19">
        <v>0</v>
      </c>
      <c r="V280" s="19" t="s">
        <v>36</v>
      </c>
      <c r="W280" s="19">
        <v>0</v>
      </c>
      <c r="Z280" s="19">
        <v>0</v>
      </c>
      <c r="AA280" s="19">
        <v>0</v>
      </c>
    </row>
    <row r="281" spans="1:27" x14ac:dyDescent="0.25">
      <c r="A281" s="19" t="s">
        <v>424</v>
      </c>
      <c r="B281" s="19" t="s">
        <v>417</v>
      </c>
      <c r="C281" s="19" t="s">
        <v>418</v>
      </c>
      <c r="D281" s="19">
        <v>0</v>
      </c>
      <c r="E281" s="19" t="s">
        <v>55</v>
      </c>
      <c r="F281" s="19" t="s">
        <v>56</v>
      </c>
      <c r="G281" s="19" t="s">
        <v>32</v>
      </c>
      <c r="H281" s="19" t="s">
        <v>33</v>
      </c>
      <c r="I281" s="19" t="s">
        <v>34</v>
      </c>
      <c r="J281" s="19">
        <v>14</v>
      </c>
      <c r="K281" s="19">
        <v>1.6299999999999999E-2</v>
      </c>
      <c r="L281" s="19" t="s">
        <v>35</v>
      </c>
      <c r="N281" s="19">
        <v>0</v>
      </c>
      <c r="O281" s="19">
        <v>0</v>
      </c>
      <c r="P281" s="19">
        <v>0</v>
      </c>
      <c r="Q281" s="19">
        <v>0</v>
      </c>
      <c r="S281" s="19">
        <v>1</v>
      </c>
      <c r="T281" s="19">
        <v>1</v>
      </c>
      <c r="U281" s="19">
        <v>0</v>
      </c>
      <c r="V281" s="19" t="s">
        <v>36</v>
      </c>
      <c r="W281" s="19">
        <v>0</v>
      </c>
      <c r="Z281" s="19">
        <v>0</v>
      </c>
      <c r="AA281" s="19">
        <v>0</v>
      </c>
    </row>
    <row r="282" spans="1:27" x14ac:dyDescent="0.25">
      <c r="A282" s="19" t="s">
        <v>425</v>
      </c>
      <c r="B282" s="19" t="s">
        <v>417</v>
      </c>
      <c r="C282" s="19" t="s">
        <v>418</v>
      </c>
      <c r="D282" s="19">
        <v>0</v>
      </c>
      <c r="E282" s="19" t="s">
        <v>58</v>
      </c>
      <c r="F282" s="19" t="s">
        <v>59</v>
      </c>
      <c r="G282" s="19" t="s">
        <v>32</v>
      </c>
      <c r="H282" s="19" t="s">
        <v>33</v>
      </c>
      <c r="I282" s="19" t="s">
        <v>34</v>
      </c>
      <c r="J282" s="19">
        <v>13</v>
      </c>
      <c r="K282" s="19">
        <v>1.6299999999999999E-2</v>
      </c>
      <c r="L282" s="19" t="s">
        <v>35</v>
      </c>
      <c r="N282" s="19">
        <v>0</v>
      </c>
      <c r="O282" s="19">
        <v>0</v>
      </c>
      <c r="P282" s="19">
        <v>0</v>
      </c>
      <c r="Q282" s="19">
        <v>0</v>
      </c>
      <c r="S282" s="19">
        <v>1</v>
      </c>
      <c r="T282" s="19">
        <v>1</v>
      </c>
      <c r="U282" s="19">
        <v>0</v>
      </c>
      <c r="V282" s="19" t="s">
        <v>36</v>
      </c>
      <c r="W282" s="19">
        <v>0</v>
      </c>
      <c r="Z282" s="19">
        <v>0</v>
      </c>
      <c r="AA282" s="19">
        <v>0</v>
      </c>
    </row>
    <row r="283" spans="1:27" x14ac:dyDescent="0.25">
      <c r="A283" s="19" t="s">
        <v>426</v>
      </c>
      <c r="B283" s="19" t="s">
        <v>417</v>
      </c>
      <c r="C283" s="19" t="s">
        <v>418</v>
      </c>
      <c r="D283" s="19">
        <v>0</v>
      </c>
      <c r="E283" s="19" t="s">
        <v>61</v>
      </c>
      <c r="F283" s="19" t="s">
        <v>62</v>
      </c>
      <c r="G283" s="19" t="s">
        <v>32</v>
      </c>
      <c r="H283" s="19" t="s">
        <v>63</v>
      </c>
      <c r="I283" s="19" t="s">
        <v>64</v>
      </c>
      <c r="J283" s="19">
        <v>22</v>
      </c>
      <c r="K283" s="19">
        <v>1.8599999999999998E-2</v>
      </c>
      <c r="L283" s="19" t="s">
        <v>35</v>
      </c>
      <c r="N283" s="19">
        <v>0</v>
      </c>
      <c r="O283" s="19">
        <v>0</v>
      </c>
      <c r="P283" s="19">
        <v>0</v>
      </c>
      <c r="Q283" s="19">
        <v>0</v>
      </c>
      <c r="S283" s="19">
        <v>1</v>
      </c>
      <c r="T283" s="19">
        <v>1</v>
      </c>
      <c r="U283" s="19">
        <v>0</v>
      </c>
      <c r="V283" s="19" t="s">
        <v>36</v>
      </c>
      <c r="W283" s="19">
        <v>0</v>
      </c>
      <c r="Z283" s="19">
        <v>0</v>
      </c>
      <c r="AA283" s="19">
        <v>0</v>
      </c>
    </row>
    <row r="284" spans="1:27" x14ac:dyDescent="0.25">
      <c r="A284" s="19" t="s">
        <v>427</v>
      </c>
      <c r="B284" s="19" t="s">
        <v>417</v>
      </c>
      <c r="C284" s="19" t="s">
        <v>418</v>
      </c>
      <c r="D284" s="19">
        <v>0</v>
      </c>
      <c r="E284" s="19" t="s">
        <v>66</v>
      </c>
      <c r="F284" s="19" t="s">
        <v>67</v>
      </c>
      <c r="G284" s="19" t="s">
        <v>32</v>
      </c>
      <c r="H284" s="19" t="s">
        <v>63</v>
      </c>
      <c r="I284" s="19" t="s">
        <v>64</v>
      </c>
      <c r="J284" s="19">
        <v>20</v>
      </c>
      <c r="K284" s="19">
        <v>1.8599999999999998E-2</v>
      </c>
      <c r="L284" s="19" t="s">
        <v>35</v>
      </c>
      <c r="N284" s="19">
        <v>0</v>
      </c>
      <c r="O284" s="19">
        <v>0</v>
      </c>
      <c r="P284" s="19">
        <v>0</v>
      </c>
      <c r="Q284" s="19">
        <v>0</v>
      </c>
      <c r="S284" s="19">
        <v>1</v>
      </c>
      <c r="T284" s="19">
        <v>1</v>
      </c>
      <c r="U284" s="19">
        <v>0</v>
      </c>
      <c r="V284" s="19" t="s">
        <v>36</v>
      </c>
      <c r="W284" s="19">
        <v>0</v>
      </c>
      <c r="Z284" s="19">
        <v>0</v>
      </c>
      <c r="AA284" s="19">
        <v>0</v>
      </c>
    </row>
    <row r="285" spans="1:27" x14ac:dyDescent="0.25">
      <c r="A285" s="19" t="s">
        <v>428</v>
      </c>
      <c r="B285" s="19" t="s">
        <v>417</v>
      </c>
      <c r="C285" s="19" t="s">
        <v>418</v>
      </c>
      <c r="D285" s="19">
        <v>0</v>
      </c>
      <c r="E285" s="19" t="s">
        <v>69</v>
      </c>
      <c r="F285" s="19" t="s">
        <v>70</v>
      </c>
      <c r="G285" s="19" t="s">
        <v>32</v>
      </c>
      <c r="H285" s="19" t="s">
        <v>63</v>
      </c>
      <c r="I285" s="19" t="s">
        <v>64</v>
      </c>
      <c r="J285" s="19">
        <v>23</v>
      </c>
      <c r="K285" s="19">
        <v>1.8599999999999998E-2</v>
      </c>
      <c r="L285" s="19" t="s">
        <v>35</v>
      </c>
      <c r="N285" s="19">
        <v>0</v>
      </c>
      <c r="O285" s="19">
        <v>0</v>
      </c>
      <c r="P285" s="19">
        <v>0</v>
      </c>
      <c r="Q285" s="19">
        <v>0</v>
      </c>
      <c r="S285" s="19">
        <v>1</v>
      </c>
      <c r="T285" s="19">
        <v>1</v>
      </c>
      <c r="U285" s="19">
        <v>0</v>
      </c>
      <c r="V285" s="19" t="s">
        <v>36</v>
      </c>
      <c r="W285" s="19">
        <v>0</v>
      </c>
      <c r="Z285" s="19">
        <v>0</v>
      </c>
      <c r="AA285" s="19">
        <v>0</v>
      </c>
    </row>
    <row r="286" spans="1:27" x14ac:dyDescent="0.25">
      <c r="A286" s="19" t="s">
        <v>429</v>
      </c>
      <c r="B286" s="19" t="s">
        <v>417</v>
      </c>
      <c r="C286" s="19" t="s">
        <v>418</v>
      </c>
      <c r="D286" s="19">
        <v>0</v>
      </c>
      <c r="E286" s="19" t="s">
        <v>72</v>
      </c>
      <c r="F286" s="19" t="s">
        <v>73</v>
      </c>
      <c r="G286" s="19" t="s">
        <v>32</v>
      </c>
      <c r="H286" s="19" t="s">
        <v>63</v>
      </c>
      <c r="I286" s="19" t="s">
        <v>64</v>
      </c>
      <c r="J286" s="19">
        <v>21</v>
      </c>
      <c r="K286" s="19">
        <v>1.8599999999999998E-2</v>
      </c>
      <c r="L286" s="19" t="s">
        <v>35</v>
      </c>
      <c r="N286" s="19">
        <v>0</v>
      </c>
      <c r="O286" s="19">
        <v>0</v>
      </c>
      <c r="P286" s="19">
        <v>0</v>
      </c>
      <c r="Q286" s="19">
        <v>0</v>
      </c>
      <c r="S286" s="19">
        <v>1</v>
      </c>
      <c r="T286" s="19">
        <v>1</v>
      </c>
      <c r="U286" s="19">
        <v>0</v>
      </c>
      <c r="V286" s="19" t="s">
        <v>36</v>
      </c>
      <c r="W286" s="19">
        <v>0</v>
      </c>
      <c r="Z286" s="19">
        <v>0</v>
      </c>
      <c r="AA286" s="19">
        <v>0</v>
      </c>
    </row>
    <row r="287" spans="1:27" x14ac:dyDescent="0.25">
      <c r="A287" s="19" t="s">
        <v>430</v>
      </c>
      <c r="B287" s="19" t="s">
        <v>417</v>
      </c>
      <c r="C287" s="19" t="s">
        <v>418</v>
      </c>
      <c r="D287" s="19">
        <v>0</v>
      </c>
      <c r="E287" s="19" t="s">
        <v>75</v>
      </c>
      <c r="F287" s="19" t="s">
        <v>76</v>
      </c>
      <c r="G287" s="19" t="s">
        <v>32</v>
      </c>
      <c r="H287" s="19" t="s">
        <v>63</v>
      </c>
      <c r="I287" s="19" t="s">
        <v>64</v>
      </c>
      <c r="J287" s="19">
        <v>24</v>
      </c>
      <c r="K287" s="19">
        <v>1.8599999999999998E-2</v>
      </c>
      <c r="L287" s="19" t="s">
        <v>35</v>
      </c>
      <c r="N287" s="19">
        <v>0</v>
      </c>
      <c r="O287" s="19">
        <v>0</v>
      </c>
      <c r="P287" s="19">
        <v>0</v>
      </c>
      <c r="Q287" s="19">
        <v>0</v>
      </c>
      <c r="S287" s="19">
        <v>1</v>
      </c>
      <c r="T287" s="19">
        <v>1</v>
      </c>
      <c r="U287" s="19">
        <v>0</v>
      </c>
      <c r="V287" s="19" t="s">
        <v>36</v>
      </c>
      <c r="W287" s="19">
        <v>0</v>
      </c>
      <c r="Z287" s="19">
        <v>0</v>
      </c>
      <c r="AA287" s="19">
        <v>0</v>
      </c>
    </row>
    <row r="288" spans="1:27" x14ac:dyDescent="0.25">
      <c r="A288" s="19" t="s">
        <v>431</v>
      </c>
      <c r="B288" s="19" t="s">
        <v>417</v>
      </c>
      <c r="C288" s="19" t="s">
        <v>418</v>
      </c>
      <c r="D288" s="19">
        <v>0</v>
      </c>
      <c r="E288" s="19" t="s">
        <v>78</v>
      </c>
      <c r="F288" s="19" t="s">
        <v>79</v>
      </c>
      <c r="G288" s="19" t="s">
        <v>32</v>
      </c>
      <c r="H288" s="19" t="s">
        <v>63</v>
      </c>
      <c r="I288" s="19" t="s">
        <v>64</v>
      </c>
      <c r="J288" s="19">
        <v>25</v>
      </c>
      <c r="K288" s="19">
        <v>1.8599999999999998E-2</v>
      </c>
      <c r="L288" s="19" t="s">
        <v>35</v>
      </c>
      <c r="N288" s="19">
        <v>0</v>
      </c>
      <c r="O288" s="19">
        <v>0</v>
      </c>
      <c r="P288" s="19">
        <v>0</v>
      </c>
      <c r="Q288" s="19">
        <v>0</v>
      </c>
      <c r="S288" s="19">
        <v>1</v>
      </c>
      <c r="T288" s="19">
        <v>1</v>
      </c>
      <c r="U288" s="19">
        <v>0</v>
      </c>
      <c r="V288" s="19" t="s">
        <v>36</v>
      </c>
      <c r="W288" s="19">
        <v>0</v>
      </c>
      <c r="Z288" s="19">
        <v>0</v>
      </c>
      <c r="AA288" s="19">
        <v>0</v>
      </c>
    </row>
    <row r="289" spans="1:27" x14ac:dyDescent="0.25">
      <c r="A289" s="19" t="s">
        <v>432</v>
      </c>
      <c r="B289" s="19" t="s">
        <v>417</v>
      </c>
      <c r="C289" s="19" t="s">
        <v>418</v>
      </c>
      <c r="D289" s="19">
        <v>0</v>
      </c>
      <c r="E289" s="19" t="s">
        <v>82</v>
      </c>
      <c r="F289" s="19" t="s">
        <v>83</v>
      </c>
      <c r="G289" s="19" t="s">
        <v>32</v>
      </c>
      <c r="H289" s="19" t="s">
        <v>63</v>
      </c>
      <c r="I289" s="19" t="s">
        <v>64</v>
      </c>
      <c r="J289" s="19">
        <v>26</v>
      </c>
      <c r="K289" s="19">
        <v>1.8599999999999998E-2</v>
      </c>
      <c r="L289" s="19" t="s">
        <v>35</v>
      </c>
      <c r="N289" s="19">
        <v>0</v>
      </c>
      <c r="O289" s="19">
        <v>0</v>
      </c>
      <c r="P289" s="19">
        <v>0</v>
      </c>
      <c r="Q289" s="19">
        <v>0</v>
      </c>
      <c r="S289" s="19">
        <v>1</v>
      </c>
      <c r="T289" s="19">
        <v>1</v>
      </c>
      <c r="U289" s="19">
        <v>0</v>
      </c>
      <c r="V289" s="19" t="s">
        <v>36</v>
      </c>
      <c r="W289" s="19">
        <v>0</v>
      </c>
      <c r="Z289" s="19">
        <v>0</v>
      </c>
      <c r="AA289" s="19">
        <v>0</v>
      </c>
    </row>
    <row r="290" spans="1:27" x14ac:dyDescent="0.25">
      <c r="A290" s="19" t="s">
        <v>433</v>
      </c>
      <c r="B290" s="19" t="s">
        <v>417</v>
      </c>
      <c r="C290" s="19" t="s">
        <v>418</v>
      </c>
      <c r="D290" s="19">
        <v>0</v>
      </c>
      <c r="E290" s="19" t="s">
        <v>85</v>
      </c>
      <c r="F290" s="19" t="s">
        <v>86</v>
      </c>
      <c r="G290" s="19" t="s">
        <v>32</v>
      </c>
      <c r="H290" s="19" t="s">
        <v>87</v>
      </c>
      <c r="I290" s="19" t="s">
        <v>88</v>
      </c>
      <c r="J290" s="19">
        <v>35</v>
      </c>
      <c r="K290" s="19">
        <v>3.2500000000000001E-2</v>
      </c>
      <c r="L290" s="19" t="s">
        <v>35</v>
      </c>
      <c r="N290" s="19">
        <v>0</v>
      </c>
      <c r="O290" s="19">
        <v>0</v>
      </c>
      <c r="P290" s="19">
        <v>0</v>
      </c>
      <c r="Q290" s="19">
        <v>0</v>
      </c>
      <c r="S290" s="19">
        <v>1</v>
      </c>
      <c r="T290" s="19">
        <v>1</v>
      </c>
      <c r="U290" s="19">
        <v>0</v>
      </c>
      <c r="V290" s="19" t="s">
        <v>36</v>
      </c>
      <c r="W290" s="19">
        <v>0</v>
      </c>
      <c r="Z290" s="19">
        <v>0</v>
      </c>
      <c r="AA290" s="19">
        <v>0</v>
      </c>
    </row>
    <row r="291" spans="1:27" x14ac:dyDescent="0.25">
      <c r="A291" s="19" t="s">
        <v>434</v>
      </c>
      <c r="B291" s="19" t="s">
        <v>417</v>
      </c>
      <c r="C291" s="19" t="s">
        <v>418</v>
      </c>
      <c r="D291" s="19">
        <v>0</v>
      </c>
      <c r="E291" s="19" t="s">
        <v>90</v>
      </c>
      <c r="F291" s="19" t="s">
        <v>91</v>
      </c>
      <c r="G291" s="19" t="s">
        <v>32</v>
      </c>
      <c r="H291" s="19" t="s">
        <v>87</v>
      </c>
      <c r="I291" s="19" t="s">
        <v>88</v>
      </c>
      <c r="J291" s="19">
        <v>33</v>
      </c>
      <c r="K291" s="19">
        <v>3.2500000000000001E-2</v>
      </c>
      <c r="L291" s="19" t="s">
        <v>35</v>
      </c>
      <c r="N291" s="19">
        <v>0</v>
      </c>
      <c r="O291" s="19">
        <v>0</v>
      </c>
      <c r="P291" s="19">
        <v>0</v>
      </c>
      <c r="Q291" s="19">
        <v>0</v>
      </c>
      <c r="S291" s="19">
        <v>1</v>
      </c>
      <c r="T291" s="19">
        <v>1</v>
      </c>
      <c r="U291" s="19">
        <v>0</v>
      </c>
      <c r="V291" s="19" t="s">
        <v>36</v>
      </c>
      <c r="W291" s="19">
        <v>0</v>
      </c>
      <c r="Z291" s="19">
        <v>0</v>
      </c>
      <c r="AA291" s="19">
        <v>0</v>
      </c>
    </row>
    <row r="292" spans="1:27" x14ac:dyDescent="0.25">
      <c r="A292" s="19" t="s">
        <v>435</v>
      </c>
      <c r="B292" s="19" t="s">
        <v>417</v>
      </c>
      <c r="C292" s="19" t="s">
        <v>418</v>
      </c>
      <c r="D292" s="19">
        <v>0</v>
      </c>
      <c r="E292" s="19" t="s">
        <v>93</v>
      </c>
      <c r="F292" s="19" t="s">
        <v>94</v>
      </c>
      <c r="G292" s="19" t="s">
        <v>32</v>
      </c>
      <c r="H292" s="19" t="s">
        <v>87</v>
      </c>
      <c r="I292" s="19" t="s">
        <v>88</v>
      </c>
      <c r="J292" s="19">
        <v>34</v>
      </c>
      <c r="K292" s="19">
        <v>3.2500000000000001E-2</v>
      </c>
      <c r="L292" s="19" t="s">
        <v>35</v>
      </c>
      <c r="N292" s="19">
        <v>0</v>
      </c>
      <c r="O292" s="19">
        <v>0</v>
      </c>
      <c r="P292" s="19">
        <v>0</v>
      </c>
      <c r="Q292" s="19">
        <v>0</v>
      </c>
      <c r="S292" s="19">
        <v>1</v>
      </c>
      <c r="T292" s="19">
        <v>1</v>
      </c>
      <c r="U292" s="19">
        <v>0</v>
      </c>
      <c r="V292" s="19" t="s">
        <v>36</v>
      </c>
      <c r="W292" s="19">
        <v>0</v>
      </c>
      <c r="Z292" s="19">
        <v>0</v>
      </c>
      <c r="AA292" s="19">
        <v>0</v>
      </c>
    </row>
    <row r="293" spans="1:27" x14ac:dyDescent="0.25">
      <c r="A293" s="19" t="s">
        <v>436</v>
      </c>
      <c r="B293" s="19" t="s">
        <v>417</v>
      </c>
      <c r="C293" s="19" t="s">
        <v>418</v>
      </c>
      <c r="D293" s="19">
        <v>0</v>
      </c>
      <c r="E293" s="19" t="s">
        <v>96</v>
      </c>
      <c r="F293" s="19" t="s">
        <v>97</v>
      </c>
      <c r="G293" s="19" t="s">
        <v>32</v>
      </c>
      <c r="H293" s="19" t="s">
        <v>87</v>
      </c>
      <c r="I293" s="19" t="s">
        <v>88</v>
      </c>
      <c r="J293" s="19">
        <v>36</v>
      </c>
      <c r="K293" s="19">
        <v>3.2500000000000001E-2</v>
      </c>
      <c r="L293" s="19" t="s">
        <v>35</v>
      </c>
      <c r="N293" s="19">
        <v>0</v>
      </c>
      <c r="O293" s="19">
        <v>0</v>
      </c>
      <c r="P293" s="19">
        <v>0</v>
      </c>
      <c r="Q293" s="19">
        <v>0</v>
      </c>
      <c r="S293" s="19">
        <v>1</v>
      </c>
      <c r="T293" s="19">
        <v>1</v>
      </c>
      <c r="U293" s="19">
        <v>0</v>
      </c>
      <c r="V293" s="19" t="s">
        <v>36</v>
      </c>
      <c r="W293" s="19">
        <v>0</v>
      </c>
      <c r="Z293" s="19">
        <v>0</v>
      </c>
      <c r="AA293" s="19">
        <v>0</v>
      </c>
    </row>
    <row r="294" spans="1:27" x14ac:dyDescent="0.25">
      <c r="A294" s="19" t="s">
        <v>437</v>
      </c>
      <c r="B294" s="19" t="s">
        <v>417</v>
      </c>
      <c r="C294" s="19" t="s">
        <v>418</v>
      </c>
      <c r="D294" s="19">
        <v>0</v>
      </c>
      <c r="E294" s="19" t="s">
        <v>99</v>
      </c>
      <c r="F294" s="19" t="s">
        <v>100</v>
      </c>
      <c r="G294" s="19" t="s">
        <v>32</v>
      </c>
      <c r="H294" s="19" t="s">
        <v>101</v>
      </c>
      <c r="I294" s="19" t="s">
        <v>102</v>
      </c>
      <c r="J294" s="19">
        <v>39</v>
      </c>
      <c r="K294" s="19">
        <v>4.3299999999999998E-2</v>
      </c>
      <c r="L294" s="19" t="s">
        <v>35</v>
      </c>
      <c r="M294" s="19" t="s">
        <v>103</v>
      </c>
      <c r="N294" s="19">
        <v>0</v>
      </c>
      <c r="O294" s="19">
        <v>0</v>
      </c>
      <c r="P294" s="19">
        <v>0</v>
      </c>
      <c r="Q294" s="19">
        <v>0</v>
      </c>
      <c r="S294" s="19">
        <v>1</v>
      </c>
      <c r="T294" s="19">
        <v>1</v>
      </c>
      <c r="U294" s="19">
        <v>0</v>
      </c>
      <c r="V294" s="19" t="s">
        <v>36</v>
      </c>
      <c r="W294" s="19">
        <v>0</v>
      </c>
      <c r="Y294" s="19" t="s">
        <v>103</v>
      </c>
      <c r="Z294" s="19">
        <v>50</v>
      </c>
      <c r="AA294" s="19">
        <v>0</v>
      </c>
    </row>
    <row r="295" spans="1:27" x14ac:dyDescent="0.25">
      <c r="A295" s="19" t="s">
        <v>438</v>
      </c>
      <c r="B295" s="19" t="s">
        <v>417</v>
      </c>
      <c r="C295" s="19" t="s">
        <v>418</v>
      </c>
      <c r="D295" s="19">
        <v>0</v>
      </c>
      <c r="E295" s="19" t="s">
        <v>105</v>
      </c>
      <c r="F295" s="19" t="s">
        <v>106</v>
      </c>
      <c r="G295" s="19" t="s">
        <v>32</v>
      </c>
      <c r="H295" s="19" t="s">
        <v>101</v>
      </c>
      <c r="I295" s="19" t="s">
        <v>102</v>
      </c>
      <c r="J295" s="19">
        <v>38</v>
      </c>
      <c r="K295" s="19">
        <v>4.3299999999999998E-2</v>
      </c>
      <c r="L295" s="19" t="s">
        <v>35</v>
      </c>
      <c r="M295" s="19" t="s">
        <v>103</v>
      </c>
      <c r="N295" s="19">
        <v>0</v>
      </c>
      <c r="O295" s="19">
        <v>0</v>
      </c>
      <c r="P295" s="19">
        <v>0</v>
      </c>
      <c r="Q295" s="19">
        <v>0</v>
      </c>
      <c r="S295" s="19">
        <v>1</v>
      </c>
      <c r="T295" s="19">
        <v>1</v>
      </c>
      <c r="U295" s="19">
        <v>0</v>
      </c>
      <c r="V295" s="19" t="s">
        <v>36</v>
      </c>
      <c r="W295" s="19">
        <v>0</v>
      </c>
      <c r="Y295" s="19" t="s">
        <v>103</v>
      </c>
      <c r="Z295" s="19">
        <v>50</v>
      </c>
      <c r="AA295" s="19">
        <v>0</v>
      </c>
    </row>
    <row r="296" spans="1:27" x14ac:dyDescent="0.25">
      <c r="A296" s="19" t="s">
        <v>439</v>
      </c>
      <c r="B296" s="19" t="s">
        <v>417</v>
      </c>
      <c r="C296" s="19" t="s">
        <v>418</v>
      </c>
      <c r="D296" s="19">
        <v>0</v>
      </c>
      <c r="E296" s="19" t="s">
        <v>108</v>
      </c>
      <c r="F296" s="19" t="s">
        <v>109</v>
      </c>
      <c r="G296" s="19" t="s">
        <v>32</v>
      </c>
      <c r="H296" s="19" t="s">
        <v>101</v>
      </c>
      <c r="I296" s="19" t="s">
        <v>102</v>
      </c>
      <c r="J296" s="19">
        <v>37</v>
      </c>
      <c r="K296" s="19">
        <v>4.3299999999999998E-2</v>
      </c>
      <c r="L296" s="19" t="s">
        <v>35</v>
      </c>
      <c r="N296" s="19">
        <v>0</v>
      </c>
      <c r="O296" s="19">
        <v>0</v>
      </c>
      <c r="P296" s="19">
        <v>0</v>
      </c>
      <c r="Q296" s="19">
        <v>0</v>
      </c>
      <c r="S296" s="19">
        <v>1</v>
      </c>
      <c r="T296" s="19">
        <v>1</v>
      </c>
      <c r="U296" s="19">
        <v>0</v>
      </c>
      <c r="V296" s="19" t="s">
        <v>36</v>
      </c>
      <c r="W296" s="19">
        <v>0</v>
      </c>
      <c r="Z296" s="19">
        <v>0</v>
      </c>
      <c r="AA296" s="19">
        <v>0</v>
      </c>
    </row>
    <row r="297" spans="1:27" x14ac:dyDescent="0.25">
      <c r="A297" s="19" t="s">
        <v>440</v>
      </c>
      <c r="B297" s="19" t="s">
        <v>417</v>
      </c>
      <c r="C297" s="19" t="s">
        <v>418</v>
      </c>
      <c r="D297" s="19">
        <v>0</v>
      </c>
      <c r="E297" s="19" t="s">
        <v>112</v>
      </c>
      <c r="F297" s="19" t="s">
        <v>113</v>
      </c>
      <c r="G297" s="19" t="s">
        <v>32</v>
      </c>
      <c r="H297" s="19" t="s">
        <v>114</v>
      </c>
      <c r="I297" s="19" t="s">
        <v>115</v>
      </c>
      <c r="J297" s="19">
        <v>30</v>
      </c>
      <c r="K297" s="19">
        <v>2.1700000000000001E-2</v>
      </c>
      <c r="L297" s="19" t="s">
        <v>35</v>
      </c>
      <c r="M297" s="19" t="s">
        <v>103</v>
      </c>
      <c r="N297" s="19">
        <v>0</v>
      </c>
      <c r="O297" s="19">
        <v>0</v>
      </c>
      <c r="P297" s="19">
        <v>0</v>
      </c>
      <c r="Q297" s="19">
        <v>0</v>
      </c>
      <c r="S297" s="19">
        <v>1</v>
      </c>
      <c r="T297" s="19">
        <v>1</v>
      </c>
      <c r="U297" s="19">
        <v>0</v>
      </c>
      <c r="V297" s="19" t="s">
        <v>36</v>
      </c>
      <c r="W297" s="19">
        <v>0</v>
      </c>
      <c r="Y297" s="19" t="s">
        <v>103</v>
      </c>
      <c r="Z297" s="19">
        <v>50</v>
      </c>
      <c r="AA297" s="19">
        <v>0</v>
      </c>
    </row>
    <row r="298" spans="1:27" x14ac:dyDescent="0.25">
      <c r="A298" s="19" t="s">
        <v>441</v>
      </c>
      <c r="B298" s="19" t="s">
        <v>417</v>
      </c>
      <c r="C298" s="19" t="s">
        <v>418</v>
      </c>
      <c r="D298" s="19">
        <v>0</v>
      </c>
      <c r="E298" s="19" t="s">
        <v>117</v>
      </c>
      <c r="F298" s="19" t="s">
        <v>118</v>
      </c>
      <c r="G298" s="19" t="s">
        <v>32</v>
      </c>
      <c r="H298" s="19" t="s">
        <v>114</v>
      </c>
      <c r="I298" s="19" t="s">
        <v>115</v>
      </c>
      <c r="J298" s="19">
        <v>31</v>
      </c>
      <c r="K298" s="19">
        <v>2.1700000000000001E-2</v>
      </c>
      <c r="L298" s="19" t="s">
        <v>35</v>
      </c>
      <c r="M298" s="19" t="s">
        <v>103</v>
      </c>
      <c r="N298" s="19">
        <v>0</v>
      </c>
      <c r="O298" s="19">
        <v>0</v>
      </c>
      <c r="P298" s="19">
        <v>0</v>
      </c>
      <c r="Q298" s="19">
        <v>0</v>
      </c>
      <c r="S298" s="19">
        <v>1</v>
      </c>
      <c r="T298" s="19">
        <v>1</v>
      </c>
      <c r="U298" s="19">
        <v>0</v>
      </c>
      <c r="V298" s="19" t="s">
        <v>80</v>
      </c>
      <c r="W298" s="19">
        <v>0</v>
      </c>
      <c r="Y298" s="19" t="s">
        <v>103</v>
      </c>
      <c r="Z298" s="19">
        <v>50</v>
      </c>
      <c r="AA298" s="19">
        <v>0</v>
      </c>
    </row>
    <row r="299" spans="1:27" x14ac:dyDescent="0.25">
      <c r="A299" s="19" t="s">
        <v>442</v>
      </c>
      <c r="B299" s="19" t="s">
        <v>417</v>
      </c>
      <c r="C299" s="19" t="s">
        <v>418</v>
      </c>
      <c r="D299" s="19">
        <v>0</v>
      </c>
      <c r="E299" s="19" t="s">
        <v>120</v>
      </c>
      <c r="F299" s="19" t="s">
        <v>121</v>
      </c>
      <c r="G299" s="19" t="s">
        <v>32</v>
      </c>
      <c r="H299" s="19" t="s">
        <v>114</v>
      </c>
      <c r="I299" s="19" t="s">
        <v>115</v>
      </c>
      <c r="J299" s="19">
        <v>28</v>
      </c>
      <c r="K299" s="19">
        <v>2.1700000000000001E-2</v>
      </c>
      <c r="L299" s="19" t="s">
        <v>35</v>
      </c>
      <c r="M299" s="19" t="s">
        <v>103</v>
      </c>
      <c r="N299" s="19">
        <v>0</v>
      </c>
      <c r="O299" s="19">
        <v>0</v>
      </c>
      <c r="P299" s="19">
        <v>0</v>
      </c>
      <c r="Q299" s="19">
        <v>0</v>
      </c>
      <c r="S299" s="19">
        <v>1</v>
      </c>
      <c r="T299" s="19">
        <v>1</v>
      </c>
      <c r="U299" s="19">
        <v>0</v>
      </c>
      <c r="V299" s="19" t="s">
        <v>36</v>
      </c>
      <c r="W299" s="19">
        <v>0</v>
      </c>
      <c r="Y299" s="19" t="s">
        <v>103</v>
      </c>
      <c r="Z299" s="19">
        <v>50</v>
      </c>
      <c r="AA299" s="19">
        <v>0</v>
      </c>
    </row>
    <row r="300" spans="1:27" x14ac:dyDescent="0.25">
      <c r="A300" s="19" t="s">
        <v>443</v>
      </c>
      <c r="B300" s="19" t="s">
        <v>417</v>
      </c>
      <c r="C300" s="19" t="s">
        <v>418</v>
      </c>
      <c r="D300" s="19">
        <v>0</v>
      </c>
      <c r="E300" s="19" t="s">
        <v>123</v>
      </c>
      <c r="F300" s="19" t="s">
        <v>124</v>
      </c>
      <c r="G300" s="19" t="s">
        <v>32</v>
      </c>
      <c r="H300" s="19" t="s">
        <v>114</v>
      </c>
      <c r="I300" s="19" t="s">
        <v>115</v>
      </c>
      <c r="J300" s="19">
        <v>27</v>
      </c>
      <c r="K300" s="19">
        <v>2.1700000000000001E-2</v>
      </c>
      <c r="L300" s="19" t="s">
        <v>35</v>
      </c>
      <c r="M300" s="19" t="s">
        <v>103</v>
      </c>
      <c r="N300" s="19">
        <v>0</v>
      </c>
      <c r="O300" s="19">
        <v>0</v>
      </c>
      <c r="P300" s="19">
        <v>0</v>
      </c>
      <c r="Q300" s="19">
        <v>0</v>
      </c>
      <c r="S300" s="19">
        <v>1</v>
      </c>
      <c r="T300" s="19">
        <v>1</v>
      </c>
      <c r="U300" s="19">
        <v>0</v>
      </c>
      <c r="V300" s="19" t="s">
        <v>36</v>
      </c>
      <c r="W300" s="19">
        <v>0</v>
      </c>
      <c r="Y300" s="19" t="s">
        <v>103</v>
      </c>
      <c r="Z300" s="19">
        <v>50</v>
      </c>
      <c r="AA300" s="19">
        <v>0</v>
      </c>
    </row>
    <row r="301" spans="1:27" x14ac:dyDescent="0.25">
      <c r="A301" s="19" t="s">
        <v>444</v>
      </c>
      <c r="B301" s="19" t="s">
        <v>417</v>
      </c>
      <c r="C301" s="19" t="s">
        <v>418</v>
      </c>
      <c r="D301" s="19">
        <v>0</v>
      </c>
      <c r="E301" s="19" t="s">
        <v>126</v>
      </c>
      <c r="F301" s="19" t="s">
        <v>127</v>
      </c>
      <c r="G301" s="19" t="s">
        <v>32</v>
      </c>
      <c r="H301" s="19" t="s">
        <v>114</v>
      </c>
      <c r="I301" s="19" t="s">
        <v>115</v>
      </c>
      <c r="J301" s="19">
        <v>29</v>
      </c>
      <c r="K301" s="19">
        <v>2.1700000000000001E-2</v>
      </c>
      <c r="L301" s="19" t="s">
        <v>35</v>
      </c>
      <c r="M301" s="19" t="s">
        <v>103</v>
      </c>
      <c r="N301" s="19">
        <v>0</v>
      </c>
      <c r="O301" s="19">
        <v>0</v>
      </c>
      <c r="P301" s="19">
        <v>0</v>
      </c>
      <c r="Q301" s="19">
        <v>0</v>
      </c>
      <c r="S301" s="19">
        <v>1</v>
      </c>
      <c r="T301" s="19">
        <v>1</v>
      </c>
      <c r="U301" s="19">
        <v>0</v>
      </c>
      <c r="V301" s="19" t="s">
        <v>36</v>
      </c>
      <c r="W301" s="19">
        <v>0</v>
      </c>
      <c r="Y301" s="19" t="s">
        <v>103</v>
      </c>
      <c r="Z301" s="19">
        <v>50</v>
      </c>
      <c r="AA301" s="19">
        <v>0</v>
      </c>
    </row>
    <row r="302" spans="1:27" x14ac:dyDescent="0.25">
      <c r="A302" s="19" t="s">
        <v>445</v>
      </c>
      <c r="B302" s="19" t="s">
        <v>417</v>
      </c>
      <c r="C302" s="19" t="s">
        <v>418</v>
      </c>
      <c r="D302" s="19">
        <v>0</v>
      </c>
      <c r="E302" s="19" t="s">
        <v>129</v>
      </c>
      <c r="F302" s="19" t="s">
        <v>130</v>
      </c>
      <c r="G302" s="19" t="s">
        <v>32</v>
      </c>
      <c r="H302" s="19" t="s">
        <v>114</v>
      </c>
      <c r="I302" s="19" t="s">
        <v>115</v>
      </c>
      <c r="J302" s="19">
        <v>32</v>
      </c>
      <c r="K302" s="19">
        <v>2.1700000000000001E-2</v>
      </c>
      <c r="L302" s="19" t="s">
        <v>35</v>
      </c>
      <c r="M302" s="19" t="s">
        <v>103</v>
      </c>
      <c r="N302" s="19">
        <v>0</v>
      </c>
      <c r="O302" s="19">
        <v>0</v>
      </c>
      <c r="P302" s="19">
        <v>0</v>
      </c>
      <c r="Q302" s="19">
        <v>0</v>
      </c>
      <c r="S302" s="19">
        <v>1</v>
      </c>
      <c r="T302" s="19">
        <v>1</v>
      </c>
      <c r="U302" s="19">
        <v>0</v>
      </c>
      <c r="V302" s="19" t="s">
        <v>36</v>
      </c>
      <c r="W302" s="19">
        <v>0</v>
      </c>
      <c r="Y302" s="19" t="s">
        <v>103</v>
      </c>
      <c r="Z302" s="19">
        <v>50</v>
      </c>
      <c r="AA302" s="19">
        <v>0</v>
      </c>
    </row>
    <row r="303" spans="1:27" x14ac:dyDescent="0.25">
      <c r="A303" s="19" t="s">
        <v>446</v>
      </c>
      <c r="B303" s="19" t="s">
        <v>417</v>
      </c>
      <c r="C303" s="19" t="s">
        <v>418</v>
      </c>
      <c r="D303" s="19">
        <v>0</v>
      </c>
      <c r="E303" s="19" t="s">
        <v>132</v>
      </c>
      <c r="F303" s="19" t="s">
        <v>133</v>
      </c>
      <c r="G303" s="19" t="s">
        <v>134</v>
      </c>
      <c r="H303" s="19" t="s">
        <v>87</v>
      </c>
      <c r="I303" s="19" t="s">
        <v>135</v>
      </c>
      <c r="J303" s="19">
        <v>11</v>
      </c>
      <c r="K303" s="19">
        <v>4.1700000000000001E-2</v>
      </c>
      <c r="L303" s="19" t="s">
        <v>35</v>
      </c>
      <c r="M303" s="19" t="s">
        <v>103</v>
      </c>
      <c r="N303" s="19">
        <v>0</v>
      </c>
      <c r="O303" s="19">
        <v>0</v>
      </c>
      <c r="P303" s="19">
        <v>0</v>
      </c>
      <c r="Q303" s="19">
        <v>0</v>
      </c>
      <c r="S303" s="19">
        <v>1</v>
      </c>
      <c r="T303" s="19">
        <v>1</v>
      </c>
      <c r="U303" s="19">
        <v>0</v>
      </c>
      <c r="V303" s="19" t="s">
        <v>36</v>
      </c>
      <c r="W303" s="19">
        <v>0</v>
      </c>
      <c r="Y303" s="19" t="s">
        <v>103</v>
      </c>
      <c r="Z303" s="19">
        <v>50</v>
      </c>
      <c r="AA303" s="19">
        <v>0</v>
      </c>
    </row>
    <row r="304" spans="1:27" x14ac:dyDescent="0.25">
      <c r="A304" s="19" t="s">
        <v>447</v>
      </c>
      <c r="B304" s="19" t="s">
        <v>417</v>
      </c>
      <c r="C304" s="19" t="s">
        <v>418</v>
      </c>
      <c r="D304" s="19">
        <v>0</v>
      </c>
      <c r="E304" s="19" t="s">
        <v>137</v>
      </c>
      <c r="F304" s="19" t="s">
        <v>138</v>
      </c>
      <c r="G304" s="19" t="s">
        <v>134</v>
      </c>
      <c r="H304" s="19" t="s">
        <v>87</v>
      </c>
      <c r="I304" s="19" t="s">
        <v>135</v>
      </c>
      <c r="J304" s="19">
        <v>9</v>
      </c>
      <c r="K304" s="19">
        <v>4.1700000000000001E-2</v>
      </c>
      <c r="L304" s="19" t="s">
        <v>35</v>
      </c>
      <c r="N304" s="19">
        <v>0</v>
      </c>
      <c r="O304" s="19">
        <v>0</v>
      </c>
      <c r="P304" s="19">
        <v>0</v>
      </c>
      <c r="Q304" s="19">
        <v>0</v>
      </c>
      <c r="S304" s="19">
        <v>1</v>
      </c>
      <c r="T304" s="19">
        <v>1</v>
      </c>
      <c r="U304" s="19">
        <v>0</v>
      </c>
      <c r="W304" s="19">
        <v>0</v>
      </c>
      <c r="X304" s="19">
        <v>0</v>
      </c>
      <c r="Z304" s="19">
        <v>0</v>
      </c>
      <c r="AA304" s="19">
        <v>0</v>
      </c>
    </row>
    <row r="305" spans="1:27" x14ac:dyDescent="0.25">
      <c r="A305" s="19" t="s">
        <v>448</v>
      </c>
      <c r="B305" s="19" t="s">
        <v>417</v>
      </c>
      <c r="C305" s="19" t="s">
        <v>418</v>
      </c>
      <c r="D305" s="19">
        <v>0</v>
      </c>
      <c r="E305" s="19" t="s">
        <v>140</v>
      </c>
      <c r="F305" s="19" t="s">
        <v>141</v>
      </c>
      <c r="G305" s="19" t="s">
        <v>134</v>
      </c>
      <c r="H305" s="19" t="s">
        <v>87</v>
      </c>
      <c r="I305" s="19" t="s">
        <v>135</v>
      </c>
      <c r="J305" s="19">
        <v>10</v>
      </c>
      <c r="K305" s="19">
        <v>4.1700000000000001E-2</v>
      </c>
      <c r="L305" s="19" t="s">
        <v>35</v>
      </c>
      <c r="N305" s="19">
        <v>0</v>
      </c>
      <c r="O305" s="19">
        <v>0</v>
      </c>
      <c r="P305" s="19">
        <v>0</v>
      </c>
      <c r="Q305" s="19">
        <v>0</v>
      </c>
      <c r="S305" s="19">
        <v>1</v>
      </c>
      <c r="T305" s="19">
        <v>1</v>
      </c>
      <c r="U305" s="19">
        <v>0</v>
      </c>
      <c r="W305" s="19">
        <v>0</v>
      </c>
      <c r="X305" s="19">
        <v>0</v>
      </c>
      <c r="Z305" s="19">
        <v>0</v>
      </c>
      <c r="AA305" s="19">
        <v>0</v>
      </c>
    </row>
    <row r="306" spans="1:27" x14ac:dyDescent="0.25">
      <c r="A306" s="19" t="s">
        <v>449</v>
      </c>
      <c r="B306" s="19" t="s">
        <v>417</v>
      </c>
      <c r="C306" s="19" t="s">
        <v>418</v>
      </c>
      <c r="D306" s="19">
        <v>0</v>
      </c>
      <c r="E306" s="19" t="s">
        <v>144</v>
      </c>
      <c r="F306" s="19" t="s">
        <v>145</v>
      </c>
      <c r="G306" s="19" t="s">
        <v>134</v>
      </c>
      <c r="H306" s="19" t="s">
        <v>146</v>
      </c>
      <c r="I306" s="19" t="s">
        <v>147</v>
      </c>
      <c r="J306" s="19">
        <v>4</v>
      </c>
      <c r="K306" s="19">
        <v>2.5000000000000001E-2</v>
      </c>
      <c r="L306" s="19" t="s">
        <v>35</v>
      </c>
      <c r="M306" s="19" t="s">
        <v>103</v>
      </c>
      <c r="N306" s="19">
        <v>0</v>
      </c>
      <c r="O306" s="19">
        <v>0</v>
      </c>
      <c r="P306" s="19">
        <v>0</v>
      </c>
      <c r="Q306" s="19">
        <v>0</v>
      </c>
      <c r="S306" s="19">
        <v>1</v>
      </c>
      <c r="T306" s="19">
        <v>1</v>
      </c>
      <c r="U306" s="19">
        <v>0</v>
      </c>
      <c r="V306" s="19" t="s">
        <v>36</v>
      </c>
      <c r="W306" s="19">
        <v>0</v>
      </c>
      <c r="Y306" s="19" t="s">
        <v>103</v>
      </c>
      <c r="Z306" s="19">
        <v>50</v>
      </c>
      <c r="AA306" s="19">
        <v>0</v>
      </c>
    </row>
    <row r="307" spans="1:27" x14ac:dyDescent="0.25">
      <c r="A307" s="19" t="s">
        <v>450</v>
      </c>
      <c r="B307" s="19" t="s">
        <v>417</v>
      </c>
      <c r="C307" s="19" t="s">
        <v>418</v>
      </c>
      <c r="D307" s="19">
        <v>1.25</v>
      </c>
      <c r="E307" s="19" t="s">
        <v>149</v>
      </c>
      <c r="F307" s="19" t="s">
        <v>150</v>
      </c>
      <c r="G307" s="19" t="s">
        <v>134</v>
      </c>
      <c r="H307" s="19" t="s">
        <v>146</v>
      </c>
      <c r="I307" s="19" t="s">
        <v>147</v>
      </c>
      <c r="J307" s="19">
        <v>5</v>
      </c>
      <c r="K307" s="19">
        <v>2.5000000000000001E-2</v>
      </c>
      <c r="L307" s="19" t="s">
        <v>35</v>
      </c>
      <c r="M307" s="19" t="s">
        <v>103</v>
      </c>
      <c r="N307" s="19">
        <v>50</v>
      </c>
      <c r="O307" s="19">
        <v>50</v>
      </c>
      <c r="P307" s="19">
        <v>0</v>
      </c>
      <c r="Q307" s="19">
        <v>0</v>
      </c>
      <c r="S307" s="19">
        <v>1</v>
      </c>
      <c r="T307" s="19">
        <v>1</v>
      </c>
      <c r="U307" s="19">
        <v>0</v>
      </c>
      <c r="V307" s="19" t="s">
        <v>41</v>
      </c>
      <c r="W307" s="19">
        <v>1</v>
      </c>
      <c r="Y307" s="19" t="s">
        <v>103</v>
      </c>
      <c r="Z307" s="19">
        <v>50</v>
      </c>
      <c r="AA307" s="19">
        <v>50</v>
      </c>
    </row>
    <row r="308" spans="1:27" x14ac:dyDescent="0.25">
      <c r="A308" s="19" t="s">
        <v>451</v>
      </c>
      <c r="B308" s="19" t="s">
        <v>417</v>
      </c>
      <c r="C308" s="19" t="s">
        <v>418</v>
      </c>
      <c r="D308" s="19">
        <v>1.25</v>
      </c>
      <c r="E308" s="19" t="s">
        <v>152</v>
      </c>
      <c r="F308" s="19" t="s">
        <v>153</v>
      </c>
      <c r="G308" s="19" t="s">
        <v>134</v>
      </c>
      <c r="H308" s="19" t="s">
        <v>146</v>
      </c>
      <c r="I308" s="19" t="s">
        <v>147</v>
      </c>
      <c r="J308" s="19">
        <v>6</v>
      </c>
      <c r="K308" s="19">
        <v>2.5000000000000001E-2</v>
      </c>
      <c r="L308" s="19" t="s">
        <v>35</v>
      </c>
      <c r="M308" s="19" t="s">
        <v>103</v>
      </c>
      <c r="N308" s="19">
        <v>50</v>
      </c>
      <c r="O308" s="19">
        <v>50</v>
      </c>
      <c r="P308" s="19">
        <v>0</v>
      </c>
      <c r="Q308" s="19">
        <v>0</v>
      </c>
      <c r="S308" s="19">
        <v>1</v>
      </c>
      <c r="T308" s="19">
        <v>1</v>
      </c>
      <c r="U308" s="19">
        <v>0</v>
      </c>
      <c r="V308" s="19" t="s">
        <v>41</v>
      </c>
      <c r="W308" s="19">
        <v>1</v>
      </c>
      <c r="Y308" s="19" t="s">
        <v>103</v>
      </c>
      <c r="Z308" s="19">
        <v>50</v>
      </c>
      <c r="AA308" s="19">
        <v>50</v>
      </c>
    </row>
    <row r="309" spans="1:27" x14ac:dyDescent="0.25">
      <c r="A309" s="19" t="s">
        <v>452</v>
      </c>
      <c r="B309" s="19" t="s">
        <v>417</v>
      </c>
      <c r="C309" s="19" t="s">
        <v>418</v>
      </c>
      <c r="D309" s="19">
        <v>0</v>
      </c>
      <c r="E309" s="19" t="s">
        <v>155</v>
      </c>
      <c r="F309" s="19" t="s">
        <v>156</v>
      </c>
      <c r="G309" s="19" t="s">
        <v>134</v>
      </c>
      <c r="H309" s="19" t="s">
        <v>146</v>
      </c>
      <c r="I309" s="19" t="s">
        <v>147</v>
      </c>
      <c r="J309" s="19">
        <v>7</v>
      </c>
      <c r="K309" s="19">
        <v>2.5000000000000001E-2</v>
      </c>
      <c r="L309" s="19" t="s">
        <v>35</v>
      </c>
      <c r="M309" s="19" t="s">
        <v>103</v>
      </c>
      <c r="N309" s="19">
        <v>0</v>
      </c>
      <c r="O309" s="19">
        <v>0</v>
      </c>
      <c r="P309" s="19">
        <v>0</v>
      </c>
      <c r="Q309" s="19">
        <v>0</v>
      </c>
      <c r="S309" s="19">
        <v>1</v>
      </c>
      <c r="T309" s="19">
        <v>1</v>
      </c>
      <c r="U309" s="19">
        <v>0</v>
      </c>
      <c r="V309" s="19" t="s">
        <v>80</v>
      </c>
      <c r="W309" s="19">
        <v>0</v>
      </c>
      <c r="Y309" s="19" t="s">
        <v>103</v>
      </c>
      <c r="Z309" s="19">
        <v>50</v>
      </c>
      <c r="AA309" s="19">
        <v>0</v>
      </c>
    </row>
    <row r="310" spans="1:27" x14ac:dyDescent="0.25">
      <c r="A310" s="19" t="s">
        <v>453</v>
      </c>
      <c r="B310" s="19" t="s">
        <v>417</v>
      </c>
      <c r="C310" s="19" t="s">
        <v>418</v>
      </c>
      <c r="D310" s="19">
        <v>0</v>
      </c>
      <c r="E310" s="19" t="s">
        <v>158</v>
      </c>
      <c r="F310" s="19" t="s">
        <v>159</v>
      </c>
      <c r="G310" s="19" t="s">
        <v>134</v>
      </c>
      <c r="H310" s="19" t="s">
        <v>146</v>
      </c>
      <c r="I310" s="19" t="s">
        <v>147</v>
      </c>
      <c r="J310" s="19">
        <v>8</v>
      </c>
      <c r="K310" s="19">
        <v>2.5000000000000001E-2</v>
      </c>
      <c r="L310" s="19" t="s">
        <v>35</v>
      </c>
      <c r="M310" s="19" t="s">
        <v>103</v>
      </c>
      <c r="N310" s="19">
        <v>0</v>
      </c>
      <c r="O310" s="19">
        <v>0</v>
      </c>
      <c r="P310" s="19">
        <v>0</v>
      </c>
      <c r="Q310" s="19">
        <v>0</v>
      </c>
      <c r="S310" s="19">
        <v>1</v>
      </c>
      <c r="T310" s="19">
        <v>1</v>
      </c>
      <c r="U310" s="19">
        <v>0</v>
      </c>
      <c r="V310" s="19" t="s">
        <v>36</v>
      </c>
      <c r="W310" s="19">
        <v>0</v>
      </c>
      <c r="Y310" s="19" t="s">
        <v>103</v>
      </c>
      <c r="Z310" s="19">
        <v>50</v>
      </c>
      <c r="AA310" s="19">
        <v>0</v>
      </c>
    </row>
    <row r="311" spans="1:27" x14ac:dyDescent="0.25">
      <c r="A311" s="19" t="s">
        <v>454</v>
      </c>
      <c r="B311" s="19" t="s">
        <v>417</v>
      </c>
      <c r="C311" s="19" t="s">
        <v>418</v>
      </c>
      <c r="D311" s="19">
        <v>2.2197779999999998</v>
      </c>
      <c r="E311" s="19" t="s">
        <v>161</v>
      </c>
      <c r="F311" s="19" t="s">
        <v>162</v>
      </c>
      <c r="G311" s="19" t="s">
        <v>163</v>
      </c>
      <c r="I311" s="19" t="s">
        <v>164</v>
      </c>
      <c r="J311" s="19">
        <v>1</v>
      </c>
      <c r="K311" s="19">
        <v>3.3300000000000003E-2</v>
      </c>
      <c r="L311" s="19" t="s">
        <v>35</v>
      </c>
      <c r="M311" s="19" t="s">
        <v>165</v>
      </c>
      <c r="N311" s="19">
        <v>66.66</v>
      </c>
      <c r="O311" s="19">
        <v>66.66</v>
      </c>
      <c r="P311" s="19">
        <v>0</v>
      </c>
      <c r="Q311" s="19">
        <v>0</v>
      </c>
      <c r="S311" s="19">
        <v>1</v>
      </c>
      <c r="T311" s="19">
        <v>1</v>
      </c>
      <c r="U311" s="19">
        <v>0</v>
      </c>
      <c r="W311" s="19">
        <v>0</v>
      </c>
      <c r="X311" s="19">
        <v>66.66</v>
      </c>
      <c r="Z311" s="19">
        <v>0</v>
      </c>
      <c r="AA311" s="19">
        <v>66.66</v>
      </c>
    </row>
    <row r="312" spans="1:27" x14ac:dyDescent="0.25">
      <c r="A312" s="19" t="s">
        <v>455</v>
      </c>
      <c r="B312" s="19" t="s">
        <v>417</v>
      </c>
      <c r="C312" s="19" t="s">
        <v>418</v>
      </c>
      <c r="D312" s="19">
        <v>0</v>
      </c>
      <c r="E312" s="19" t="s">
        <v>167</v>
      </c>
      <c r="F312" s="19" t="s">
        <v>168</v>
      </c>
      <c r="G312" s="19" t="s">
        <v>163</v>
      </c>
      <c r="I312" s="19" t="s">
        <v>164</v>
      </c>
      <c r="J312" s="19">
        <v>3</v>
      </c>
      <c r="K312" s="19">
        <v>3.3300000000000003E-2</v>
      </c>
      <c r="L312" s="19" t="s">
        <v>35</v>
      </c>
      <c r="M312" s="19" t="s">
        <v>165</v>
      </c>
      <c r="N312" s="19">
        <v>0</v>
      </c>
      <c r="O312" s="19">
        <v>0</v>
      </c>
      <c r="P312" s="19">
        <v>0</v>
      </c>
      <c r="Q312" s="19">
        <v>0</v>
      </c>
      <c r="S312" s="19">
        <v>1</v>
      </c>
      <c r="T312" s="19">
        <v>1</v>
      </c>
      <c r="U312" s="19">
        <v>0</v>
      </c>
      <c r="W312" s="19">
        <v>0</v>
      </c>
      <c r="X312" s="19">
        <v>0</v>
      </c>
      <c r="Z312" s="19">
        <v>0</v>
      </c>
      <c r="AA312" s="19">
        <v>0</v>
      </c>
    </row>
    <row r="313" spans="1:27" x14ac:dyDescent="0.25">
      <c r="A313" s="19" t="s">
        <v>456</v>
      </c>
      <c r="B313" s="19" t="s">
        <v>417</v>
      </c>
      <c r="C313" s="19" t="s">
        <v>418</v>
      </c>
      <c r="D313" s="19">
        <v>0</v>
      </c>
      <c r="E313" s="19" t="s">
        <v>170</v>
      </c>
      <c r="F313" s="19" t="s">
        <v>171</v>
      </c>
      <c r="G313" s="19" t="s">
        <v>163</v>
      </c>
      <c r="I313" s="19" t="s">
        <v>164</v>
      </c>
      <c r="J313" s="19">
        <v>2</v>
      </c>
      <c r="K313" s="19">
        <v>3.3300000000000003E-2</v>
      </c>
      <c r="L313" s="19" t="s">
        <v>35</v>
      </c>
      <c r="M313" s="19" t="s">
        <v>165</v>
      </c>
      <c r="N313" s="19">
        <v>0</v>
      </c>
      <c r="O313" s="19">
        <v>0</v>
      </c>
      <c r="P313" s="19">
        <v>0</v>
      </c>
      <c r="Q313" s="19">
        <v>0</v>
      </c>
      <c r="S313" s="19">
        <v>1</v>
      </c>
      <c r="T313" s="19">
        <v>1</v>
      </c>
      <c r="U313" s="19">
        <v>0</v>
      </c>
      <c r="W313" s="19">
        <v>0</v>
      </c>
      <c r="X313" s="19">
        <v>0</v>
      </c>
      <c r="Z313" s="19">
        <v>0</v>
      </c>
      <c r="AA313" s="19">
        <v>0</v>
      </c>
    </row>
    <row r="314" spans="1:27" x14ac:dyDescent="0.25">
      <c r="A314" s="19" t="s">
        <v>457</v>
      </c>
      <c r="B314" s="19" t="s">
        <v>458</v>
      </c>
      <c r="C314" s="19" t="s">
        <v>459</v>
      </c>
      <c r="D314" s="19">
        <v>0</v>
      </c>
      <c r="E314" s="19" t="s">
        <v>30</v>
      </c>
      <c r="F314" s="19" t="s">
        <v>31</v>
      </c>
      <c r="G314" s="19" t="s">
        <v>32</v>
      </c>
      <c r="H314" s="19" t="s">
        <v>33</v>
      </c>
      <c r="I314" s="19" t="s">
        <v>34</v>
      </c>
      <c r="J314" s="19">
        <v>17</v>
      </c>
      <c r="K314" s="19">
        <v>1.6299999999999999E-2</v>
      </c>
      <c r="L314" s="19" t="s">
        <v>35</v>
      </c>
      <c r="N314" s="19">
        <v>0</v>
      </c>
      <c r="O314" s="19">
        <v>0</v>
      </c>
      <c r="P314" s="19">
        <v>0</v>
      </c>
      <c r="Q314" s="19">
        <v>0</v>
      </c>
      <c r="S314" s="19">
        <v>1</v>
      </c>
      <c r="T314" s="19">
        <v>1</v>
      </c>
      <c r="U314" s="19">
        <v>0</v>
      </c>
      <c r="V314" s="19" t="s">
        <v>36</v>
      </c>
      <c r="W314" s="19">
        <v>0</v>
      </c>
      <c r="Z314" s="19">
        <v>0</v>
      </c>
      <c r="AA314" s="19">
        <v>0</v>
      </c>
    </row>
    <row r="315" spans="1:27" x14ac:dyDescent="0.25">
      <c r="A315" s="19" t="s">
        <v>460</v>
      </c>
      <c r="B315" s="19" t="s">
        <v>458</v>
      </c>
      <c r="C315" s="19" t="s">
        <v>459</v>
      </c>
      <c r="D315" s="19">
        <v>0</v>
      </c>
      <c r="E315" s="19" t="s">
        <v>38</v>
      </c>
      <c r="F315" s="19" t="s">
        <v>39</v>
      </c>
      <c r="G315" s="19" t="s">
        <v>32</v>
      </c>
      <c r="H315" s="19" t="s">
        <v>33</v>
      </c>
      <c r="I315" s="19" t="s">
        <v>34</v>
      </c>
      <c r="J315" s="19">
        <v>19</v>
      </c>
      <c r="K315" s="19">
        <v>1.6299999999999999E-2</v>
      </c>
      <c r="L315" s="19" t="s">
        <v>35</v>
      </c>
      <c r="N315" s="19">
        <v>0</v>
      </c>
      <c r="O315" s="19">
        <v>0</v>
      </c>
      <c r="P315" s="19">
        <v>0</v>
      </c>
      <c r="Q315" s="19">
        <v>0</v>
      </c>
      <c r="S315" s="19">
        <v>1</v>
      </c>
      <c r="T315" s="19">
        <v>1</v>
      </c>
      <c r="U315" s="19">
        <v>0</v>
      </c>
      <c r="V315" s="19" t="s">
        <v>36</v>
      </c>
      <c r="W315" s="19">
        <v>0</v>
      </c>
      <c r="Z315" s="19">
        <v>0</v>
      </c>
      <c r="AA315" s="19">
        <v>0</v>
      </c>
    </row>
    <row r="316" spans="1:27" x14ac:dyDescent="0.25">
      <c r="A316" s="19" t="s">
        <v>461</v>
      </c>
      <c r="B316" s="19" t="s">
        <v>458</v>
      </c>
      <c r="C316" s="19" t="s">
        <v>459</v>
      </c>
      <c r="D316" s="19">
        <v>0</v>
      </c>
      <c r="E316" s="19" t="s">
        <v>43</v>
      </c>
      <c r="F316" s="19" t="s">
        <v>44</v>
      </c>
      <c r="G316" s="19" t="s">
        <v>32</v>
      </c>
      <c r="H316" s="19" t="s">
        <v>33</v>
      </c>
      <c r="I316" s="19" t="s">
        <v>34</v>
      </c>
      <c r="J316" s="19">
        <v>18</v>
      </c>
      <c r="K316" s="19">
        <v>1.6299999999999999E-2</v>
      </c>
      <c r="L316" s="19" t="s">
        <v>35</v>
      </c>
      <c r="N316" s="19">
        <v>0</v>
      </c>
      <c r="O316" s="19">
        <v>0</v>
      </c>
      <c r="P316" s="19">
        <v>0</v>
      </c>
      <c r="Q316" s="19">
        <v>0</v>
      </c>
      <c r="S316" s="19">
        <v>1</v>
      </c>
      <c r="T316" s="19">
        <v>1</v>
      </c>
      <c r="U316" s="19">
        <v>0</v>
      </c>
      <c r="V316" s="19" t="s">
        <v>36</v>
      </c>
      <c r="W316" s="19">
        <v>0</v>
      </c>
      <c r="Z316" s="19">
        <v>0</v>
      </c>
      <c r="AA316" s="19">
        <v>0</v>
      </c>
    </row>
    <row r="317" spans="1:27" x14ac:dyDescent="0.25">
      <c r="A317" s="19" t="s">
        <v>462</v>
      </c>
      <c r="B317" s="19" t="s">
        <v>458</v>
      </c>
      <c r="C317" s="19" t="s">
        <v>459</v>
      </c>
      <c r="D317" s="19">
        <v>0</v>
      </c>
      <c r="E317" s="19" t="s">
        <v>46</v>
      </c>
      <c r="F317" s="19" t="s">
        <v>47</v>
      </c>
      <c r="G317" s="19" t="s">
        <v>32</v>
      </c>
      <c r="H317" s="19" t="s">
        <v>33</v>
      </c>
      <c r="I317" s="19" t="s">
        <v>34</v>
      </c>
      <c r="J317" s="19">
        <v>15</v>
      </c>
      <c r="K317" s="19">
        <v>1.6299999999999999E-2</v>
      </c>
      <c r="L317" s="19" t="s">
        <v>35</v>
      </c>
      <c r="M317" s="19" t="s">
        <v>40</v>
      </c>
      <c r="N317" s="19">
        <v>0</v>
      </c>
      <c r="O317" s="19">
        <v>0</v>
      </c>
      <c r="P317" s="19">
        <v>0</v>
      </c>
      <c r="Q317" s="19">
        <v>0</v>
      </c>
      <c r="S317" s="19">
        <v>1</v>
      </c>
      <c r="T317" s="19">
        <v>1</v>
      </c>
      <c r="U317" s="19">
        <v>0</v>
      </c>
      <c r="V317" s="19" t="s">
        <v>80</v>
      </c>
      <c r="W317" s="19">
        <v>0</v>
      </c>
      <c r="Y317" s="19" t="s">
        <v>40</v>
      </c>
      <c r="Z317" s="19">
        <v>33.33</v>
      </c>
      <c r="AA317" s="19">
        <v>0</v>
      </c>
    </row>
    <row r="318" spans="1:27" x14ac:dyDescent="0.25">
      <c r="A318" s="19" t="s">
        <v>463</v>
      </c>
      <c r="B318" s="19" t="s">
        <v>458</v>
      </c>
      <c r="C318" s="19" t="s">
        <v>459</v>
      </c>
      <c r="D318" s="19">
        <v>0</v>
      </c>
      <c r="E318" s="19" t="s">
        <v>49</v>
      </c>
      <c r="F318" s="19" t="s">
        <v>50</v>
      </c>
      <c r="G318" s="19" t="s">
        <v>32</v>
      </c>
      <c r="H318" s="19" t="s">
        <v>33</v>
      </c>
      <c r="I318" s="19" t="s">
        <v>34</v>
      </c>
      <c r="J318" s="19">
        <v>12</v>
      </c>
      <c r="K318" s="19">
        <v>1.6299999999999999E-2</v>
      </c>
      <c r="L318" s="19" t="s">
        <v>35</v>
      </c>
      <c r="M318" s="19" t="s">
        <v>40</v>
      </c>
      <c r="N318" s="19">
        <v>0</v>
      </c>
      <c r="O318" s="19">
        <v>0</v>
      </c>
      <c r="P318" s="19">
        <v>0</v>
      </c>
      <c r="Q318" s="19">
        <v>0</v>
      </c>
      <c r="S318" s="19">
        <v>1</v>
      </c>
      <c r="T318" s="19">
        <v>1</v>
      </c>
      <c r="U318" s="19">
        <v>0</v>
      </c>
      <c r="V318" s="19" t="s">
        <v>80</v>
      </c>
      <c r="W318" s="19">
        <v>0</v>
      </c>
      <c r="Y318" s="19" t="s">
        <v>40</v>
      </c>
      <c r="Z318" s="19">
        <v>33.33</v>
      </c>
      <c r="AA318" s="19">
        <v>0</v>
      </c>
    </row>
    <row r="319" spans="1:27" x14ac:dyDescent="0.25">
      <c r="A319" s="19" t="s">
        <v>464</v>
      </c>
      <c r="B319" s="19" t="s">
        <v>458</v>
      </c>
      <c r="C319" s="19" t="s">
        <v>459</v>
      </c>
      <c r="D319" s="19">
        <v>0</v>
      </c>
      <c r="E319" s="19" t="s">
        <v>52</v>
      </c>
      <c r="F319" s="19" t="s">
        <v>53</v>
      </c>
      <c r="G319" s="19" t="s">
        <v>32</v>
      </c>
      <c r="H319" s="19" t="s">
        <v>33</v>
      </c>
      <c r="I319" s="19" t="s">
        <v>34</v>
      </c>
      <c r="J319" s="19">
        <v>16</v>
      </c>
      <c r="K319" s="19">
        <v>1.6299999999999999E-2</v>
      </c>
      <c r="L319" s="19" t="s">
        <v>35</v>
      </c>
      <c r="N319" s="19">
        <v>0</v>
      </c>
      <c r="O319" s="19">
        <v>0</v>
      </c>
      <c r="P319" s="19">
        <v>0</v>
      </c>
      <c r="Q319" s="19">
        <v>0</v>
      </c>
      <c r="S319" s="19">
        <v>1</v>
      </c>
      <c r="T319" s="19">
        <v>1</v>
      </c>
      <c r="U319" s="19">
        <v>0</v>
      </c>
      <c r="V319" s="19" t="s">
        <v>36</v>
      </c>
      <c r="W319" s="19">
        <v>0</v>
      </c>
      <c r="Z319" s="19">
        <v>0</v>
      </c>
      <c r="AA319" s="19">
        <v>0</v>
      </c>
    </row>
    <row r="320" spans="1:27" x14ac:dyDescent="0.25">
      <c r="A320" s="19" t="s">
        <v>465</v>
      </c>
      <c r="B320" s="19" t="s">
        <v>458</v>
      </c>
      <c r="C320" s="19" t="s">
        <v>459</v>
      </c>
      <c r="D320" s="19">
        <v>0</v>
      </c>
      <c r="E320" s="19" t="s">
        <v>55</v>
      </c>
      <c r="F320" s="19" t="s">
        <v>56</v>
      </c>
      <c r="G320" s="19" t="s">
        <v>32</v>
      </c>
      <c r="H320" s="19" t="s">
        <v>33</v>
      </c>
      <c r="I320" s="19" t="s">
        <v>34</v>
      </c>
      <c r="J320" s="19">
        <v>14</v>
      </c>
      <c r="K320" s="19">
        <v>1.6299999999999999E-2</v>
      </c>
      <c r="L320" s="19" t="s">
        <v>35</v>
      </c>
      <c r="M320" s="19" t="s">
        <v>40</v>
      </c>
      <c r="N320" s="19">
        <v>0</v>
      </c>
      <c r="O320" s="19">
        <v>0</v>
      </c>
      <c r="P320" s="19">
        <v>0</v>
      </c>
      <c r="Q320" s="19">
        <v>0</v>
      </c>
      <c r="S320" s="19">
        <v>1</v>
      </c>
      <c r="T320" s="19">
        <v>1</v>
      </c>
      <c r="U320" s="19">
        <v>0</v>
      </c>
      <c r="V320" s="19" t="s">
        <v>80</v>
      </c>
      <c r="W320" s="19">
        <v>0</v>
      </c>
      <c r="Y320" s="19" t="s">
        <v>40</v>
      </c>
      <c r="Z320" s="19">
        <v>33.33</v>
      </c>
      <c r="AA320" s="19">
        <v>0</v>
      </c>
    </row>
    <row r="321" spans="1:27" x14ac:dyDescent="0.25">
      <c r="A321" s="19" t="s">
        <v>466</v>
      </c>
      <c r="B321" s="19" t="s">
        <v>458</v>
      </c>
      <c r="C321" s="19" t="s">
        <v>459</v>
      </c>
      <c r="D321" s="19">
        <v>0</v>
      </c>
      <c r="E321" s="19" t="s">
        <v>58</v>
      </c>
      <c r="F321" s="19" t="s">
        <v>59</v>
      </c>
      <c r="G321" s="19" t="s">
        <v>32</v>
      </c>
      <c r="H321" s="19" t="s">
        <v>33</v>
      </c>
      <c r="I321" s="19" t="s">
        <v>34</v>
      </c>
      <c r="J321" s="19">
        <v>13</v>
      </c>
      <c r="K321" s="19">
        <v>1.6299999999999999E-2</v>
      </c>
      <c r="L321" s="19" t="s">
        <v>35</v>
      </c>
      <c r="N321" s="19">
        <v>0</v>
      </c>
      <c r="O321" s="19">
        <v>0</v>
      </c>
      <c r="P321" s="19">
        <v>0</v>
      </c>
      <c r="Q321" s="19">
        <v>0</v>
      </c>
      <c r="S321" s="19">
        <v>1</v>
      </c>
      <c r="T321" s="19">
        <v>1</v>
      </c>
      <c r="U321" s="19">
        <v>0</v>
      </c>
      <c r="V321" s="19" t="s">
        <v>36</v>
      </c>
      <c r="W321" s="19">
        <v>0</v>
      </c>
      <c r="Z321" s="19">
        <v>0</v>
      </c>
      <c r="AA321" s="19">
        <v>0</v>
      </c>
    </row>
    <row r="322" spans="1:27" x14ac:dyDescent="0.25">
      <c r="A322" s="19" t="s">
        <v>467</v>
      </c>
      <c r="B322" s="19" t="s">
        <v>458</v>
      </c>
      <c r="C322" s="19" t="s">
        <v>459</v>
      </c>
      <c r="D322" s="19">
        <v>0</v>
      </c>
      <c r="E322" s="19" t="s">
        <v>61</v>
      </c>
      <c r="F322" s="19" t="s">
        <v>62</v>
      </c>
      <c r="G322" s="19" t="s">
        <v>32</v>
      </c>
      <c r="H322" s="19" t="s">
        <v>63</v>
      </c>
      <c r="I322" s="19" t="s">
        <v>64</v>
      </c>
      <c r="J322" s="19">
        <v>22</v>
      </c>
      <c r="K322" s="19">
        <v>1.8599999999999998E-2</v>
      </c>
      <c r="L322" s="19" t="s">
        <v>35</v>
      </c>
      <c r="M322" s="19" t="s">
        <v>40</v>
      </c>
      <c r="N322" s="19">
        <v>0</v>
      </c>
      <c r="O322" s="19">
        <v>0</v>
      </c>
      <c r="P322" s="19">
        <v>0</v>
      </c>
      <c r="Q322" s="19">
        <v>0</v>
      </c>
      <c r="S322" s="19">
        <v>1</v>
      </c>
      <c r="T322" s="19">
        <v>1</v>
      </c>
      <c r="U322" s="19">
        <v>0</v>
      </c>
      <c r="V322" s="19" t="s">
        <v>80</v>
      </c>
      <c r="W322" s="19">
        <v>0</v>
      </c>
      <c r="Y322" s="19" t="s">
        <v>40</v>
      </c>
      <c r="Z322" s="19">
        <v>33.33</v>
      </c>
      <c r="AA322" s="19">
        <v>0</v>
      </c>
    </row>
    <row r="323" spans="1:27" x14ac:dyDescent="0.25">
      <c r="A323" s="19" t="s">
        <v>468</v>
      </c>
      <c r="B323" s="19" t="s">
        <v>458</v>
      </c>
      <c r="C323" s="19" t="s">
        <v>459</v>
      </c>
      <c r="D323" s="19">
        <v>0</v>
      </c>
      <c r="E323" s="19" t="s">
        <v>66</v>
      </c>
      <c r="F323" s="19" t="s">
        <v>67</v>
      </c>
      <c r="G323" s="19" t="s">
        <v>32</v>
      </c>
      <c r="H323" s="19" t="s">
        <v>63</v>
      </c>
      <c r="I323" s="19" t="s">
        <v>64</v>
      </c>
      <c r="J323" s="19">
        <v>20</v>
      </c>
      <c r="K323" s="19">
        <v>1.8599999999999998E-2</v>
      </c>
      <c r="L323" s="19" t="s">
        <v>35</v>
      </c>
      <c r="M323" s="19" t="s">
        <v>40</v>
      </c>
      <c r="N323" s="19">
        <v>0</v>
      </c>
      <c r="O323" s="19">
        <v>0</v>
      </c>
      <c r="P323" s="19">
        <v>0</v>
      </c>
      <c r="Q323" s="19">
        <v>0</v>
      </c>
      <c r="S323" s="19">
        <v>1</v>
      </c>
      <c r="T323" s="19">
        <v>1</v>
      </c>
      <c r="U323" s="19">
        <v>0</v>
      </c>
      <c r="V323" s="19" t="s">
        <v>80</v>
      </c>
      <c r="W323" s="19">
        <v>0</v>
      </c>
      <c r="Y323" s="19" t="s">
        <v>40</v>
      </c>
      <c r="Z323" s="19">
        <v>33.33</v>
      </c>
      <c r="AA323" s="19">
        <v>0</v>
      </c>
    </row>
    <row r="324" spans="1:27" x14ac:dyDescent="0.25">
      <c r="A324" s="19" t="s">
        <v>469</v>
      </c>
      <c r="B324" s="19" t="s">
        <v>458</v>
      </c>
      <c r="C324" s="19" t="s">
        <v>459</v>
      </c>
      <c r="D324" s="19">
        <v>0</v>
      </c>
      <c r="E324" s="19" t="s">
        <v>69</v>
      </c>
      <c r="F324" s="19" t="s">
        <v>70</v>
      </c>
      <c r="G324" s="19" t="s">
        <v>32</v>
      </c>
      <c r="H324" s="19" t="s">
        <v>63</v>
      </c>
      <c r="I324" s="19" t="s">
        <v>64</v>
      </c>
      <c r="J324" s="19">
        <v>23</v>
      </c>
      <c r="K324" s="19">
        <v>1.8599999999999998E-2</v>
      </c>
      <c r="L324" s="19" t="s">
        <v>35</v>
      </c>
      <c r="N324" s="19">
        <v>0</v>
      </c>
      <c r="O324" s="19">
        <v>0</v>
      </c>
      <c r="P324" s="19">
        <v>0</v>
      </c>
      <c r="Q324" s="19">
        <v>0</v>
      </c>
      <c r="S324" s="19">
        <v>1</v>
      </c>
      <c r="T324" s="19">
        <v>1</v>
      </c>
      <c r="U324" s="19">
        <v>0</v>
      </c>
      <c r="V324" s="19" t="s">
        <v>36</v>
      </c>
      <c r="W324" s="19">
        <v>0</v>
      </c>
      <c r="Z324" s="19">
        <v>0</v>
      </c>
      <c r="AA324" s="19">
        <v>0</v>
      </c>
    </row>
    <row r="325" spans="1:27" x14ac:dyDescent="0.25">
      <c r="A325" s="19" t="s">
        <v>470</v>
      </c>
      <c r="B325" s="19" t="s">
        <v>458</v>
      </c>
      <c r="C325" s="19" t="s">
        <v>459</v>
      </c>
      <c r="D325" s="19">
        <v>0</v>
      </c>
      <c r="E325" s="19" t="s">
        <v>72</v>
      </c>
      <c r="F325" s="19" t="s">
        <v>73</v>
      </c>
      <c r="G325" s="19" t="s">
        <v>32</v>
      </c>
      <c r="H325" s="19" t="s">
        <v>63</v>
      </c>
      <c r="I325" s="19" t="s">
        <v>64</v>
      </c>
      <c r="J325" s="19">
        <v>21</v>
      </c>
      <c r="K325" s="19">
        <v>1.8599999999999998E-2</v>
      </c>
      <c r="L325" s="19" t="s">
        <v>35</v>
      </c>
      <c r="M325" s="19" t="s">
        <v>110</v>
      </c>
      <c r="N325" s="19">
        <v>0</v>
      </c>
      <c r="O325" s="19">
        <v>0</v>
      </c>
      <c r="P325" s="19">
        <v>0</v>
      </c>
      <c r="Q325" s="19">
        <v>0</v>
      </c>
      <c r="S325" s="19">
        <v>1</v>
      </c>
      <c r="T325" s="19">
        <v>1</v>
      </c>
      <c r="U325" s="19">
        <v>0</v>
      </c>
      <c r="V325" s="19" t="s">
        <v>36</v>
      </c>
      <c r="W325" s="19">
        <v>0</v>
      </c>
      <c r="Y325" s="19" t="s">
        <v>110</v>
      </c>
      <c r="Z325" s="19">
        <v>16.664999999999999</v>
      </c>
      <c r="AA325" s="19">
        <v>0</v>
      </c>
    </row>
    <row r="326" spans="1:27" x14ac:dyDescent="0.25">
      <c r="A326" s="19" t="s">
        <v>471</v>
      </c>
      <c r="B326" s="19" t="s">
        <v>458</v>
      </c>
      <c r="C326" s="19" t="s">
        <v>459</v>
      </c>
      <c r="D326" s="19">
        <v>0</v>
      </c>
      <c r="E326" s="19" t="s">
        <v>75</v>
      </c>
      <c r="F326" s="19" t="s">
        <v>76</v>
      </c>
      <c r="G326" s="19" t="s">
        <v>32</v>
      </c>
      <c r="H326" s="19" t="s">
        <v>63</v>
      </c>
      <c r="I326" s="19" t="s">
        <v>64</v>
      </c>
      <c r="J326" s="19">
        <v>24</v>
      </c>
      <c r="K326" s="19">
        <v>1.8599999999999998E-2</v>
      </c>
      <c r="L326" s="19" t="s">
        <v>35</v>
      </c>
      <c r="N326" s="19">
        <v>0</v>
      </c>
      <c r="O326" s="19">
        <v>0</v>
      </c>
      <c r="P326" s="19">
        <v>0</v>
      </c>
      <c r="Q326" s="19">
        <v>0</v>
      </c>
      <c r="S326" s="19">
        <v>1</v>
      </c>
      <c r="T326" s="19">
        <v>1</v>
      </c>
      <c r="U326" s="19">
        <v>0</v>
      </c>
      <c r="V326" s="19" t="s">
        <v>36</v>
      </c>
      <c r="W326" s="19">
        <v>0</v>
      </c>
      <c r="Z326" s="19">
        <v>0</v>
      </c>
      <c r="AA326" s="19">
        <v>0</v>
      </c>
    </row>
    <row r="327" spans="1:27" x14ac:dyDescent="0.25">
      <c r="A327" s="19" t="s">
        <v>472</v>
      </c>
      <c r="B327" s="19" t="s">
        <v>458</v>
      </c>
      <c r="C327" s="19" t="s">
        <v>459</v>
      </c>
      <c r="D327" s="19">
        <v>0</v>
      </c>
      <c r="E327" s="19" t="s">
        <v>78</v>
      </c>
      <c r="F327" s="19" t="s">
        <v>79</v>
      </c>
      <c r="G327" s="19" t="s">
        <v>32</v>
      </c>
      <c r="H327" s="19" t="s">
        <v>63</v>
      </c>
      <c r="I327" s="19" t="s">
        <v>64</v>
      </c>
      <c r="J327" s="19">
        <v>25</v>
      </c>
      <c r="K327" s="19">
        <v>1.8599999999999998E-2</v>
      </c>
      <c r="L327" s="19" t="s">
        <v>35</v>
      </c>
      <c r="M327" s="19" t="s">
        <v>40</v>
      </c>
      <c r="N327" s="19">
        <v>0</v>
      </c>
      <c r="O327" s="19">
        <v>0</v>
      </c>
      <c r="P327" s="19">
        <v>0</v>
      </c>
      <c r="Q327" s="19">
        <v>0</v>
      </c>
      <c r="S327" s="19">
        <v>1</v>
      </c>
      <c r="T327" s="19">
        <v>1</v>
      </c>
      <c r="U327" s="19">
        <v>0</v>
      </c>
      <c r="V327" s="19" t="s">
        <v>80</v>
      </c>
      <c r="W327" s="19">
        <v>0</v>
      </c>
      <c r="Y327" s="19" t="s">
        <v>40</v>
      </c>
      <c r="Z327" s="19">
        <v>33.33</v>
      </c>
      <c r="AA327" s="19">
        <v>0</v>
      </c>
    </row>
    <row r="328" spans="1:27" x14ac:dyDescent="0.25">
      <c r="A328" s="19" t="s">
        <v>473</v>
      </c>
      <c r="B328" s="19" t="s">
        <v>458</v>
      </c>
      <c r="C328" s="19" t="s">
        <v>459</v>
      </c>
      <c r="D328" s="19">
        <v>0</v>
      </c>
      <c r="E328" s="19" t="s">
        <v>82</v>
      </c>
      <c r="F328" s="19" t="s">
        <v>83</v>
      </c>
      <c r="G328" s="19" t="s">
        <v>32</v>
      </c>
      <c r="H328" s="19" t="s">
        <v>63</v>
      </c>
      <c r="I328" s="19" t="s">
        <v>64</v>
      </c>
      <c r="J328" s="19">
        <v>26</v>
      </c>
      <c r="K328" s="19">
        <v>1.8599999999999998E-2</v>
      </c>
      <c r="L328" s="19" t="s">
        <v>35</v>
      </c>
      <c r="N328" s="19">
        <v>0</v>
      </c>
      <c r="O328" s="19">
        <v>0</v>
      </c>
      <c r="P328" s="19">
        <v>0</v>
      </c>
      <c r="Q328" s="19">
        <v>0</v>
      </c>
      <c r="S328" s="19">
        <v>1</v>
      </c>
      <c r="T328" s="19">
        <v>1</v>
      </c>
      <c r="U328" s="19">
        <v>0</v>
      </c>
      <c r="V328" s="19" t="s">
        <v>36</v>
      </c>
      <c r="W328" s="19">
        <v>0</v>
      </c>
      <c r="Z328" s="19">
        <v>0</v>
      </c>
      <c r="AA328" s="19">
        <v>0</v>
      </c>
    </row>
    <row r="329" spans="1:27" x14ac:dyDescent="0.25">
      <c r="A329" s="19" t="s">
        <v>474</v>
      </c>
      <c r="B329" s="19" t="s">
        <v>458</v>
      </c>
      <c r="C329" s="19" t="s">
        <v>459</v>
      </c>
      <c r="D329" s="19">
        <v>0</v>
      </c>
      <c r="E329" s="19" t="s">
        <v>85</v>
      </c>
      <c r="F329" s="19" t="s">
        <v>86</v>
      </c>
      <c r="G329" s="19" t="s">
        <v>32</v>
      </c>
      <c r="H329" s="19" t="s">
        <v>87</v>
      </c>
      <c r="I329" s="19" t="s">
        <v>88</v>
      </c>
      <c r="J329" s="19">
        <v>35</v>
      </c>
      <c r="K329" s="19">
        <v>3.2500000000000001E-2</v>
      </c>
      <c r="L329" s="19" t="s">
        <v>35</v>
      </c>
      <c r="N329" s="19">
        <v>0</v>
      </c>
      <c r="O329" s="19">
        <v>0</v>
      </c>
      <c r="P329" s="19">
        <v>0</v>
      </c>
      <c r="Q329" s="19">
        <v>0</v>
      </c>
      <c r="S329" s="19">
        <v>1</v>
      </c>
      <c r="T329" s="19">
        <v>1</v>
      </c>
      <c r="U329" s="19">
        <v>0</v>
      </c>
      <c r="V329" s="19" t="s">
        <v>36</v>
      </c>
      <c r="W329" s="19">
        <v>0</v>
      </c>
      <c r="Z329" s="19">
        <v>0</v>
      </c>
      <c r="AA329" s="19">
        <v>0</v>
      </c>
    </row>
    <row r="330" spans="1:27" x14ac:dyDescent="0.25">
      <c r="A330" s="19" t="s">
        <v>475</v>
      </c>
      <c r="B330" s="19" t="s">
        <v>458</v>
      </c>
      <c r="C330" s="19" t="s">
        <v>459</v>
      </c>
      <c r="D330" s="19">
        <v>0</v>
      </c>
      <c r="E330" s="19" t="s">
        <v>90</v>
      </c>
      <c r="F330" s="19" t="s">
        <v>91</v>
      </c>
      <c r="G330" s="19" t="s">
        <v>32</v>
      </c>
      <c r="H330" s="19" t="s">
        <v>87</v>
      </c>
      <c r="I330" s="19" t="s">
        <v>88</v>
      </c>
      <c r="J330" s="19">
        <v>33</v>
      </c>
      <c r="K330" s="19">
        <v>3.2500000000000001E-2</v>
      </c>
      <c r="L330" s="19" t="s">
        <v>35</v>
      </c>
      <c r="N330" s="19">
        <v>0</v>
      </c>
      <c r="O330" s="19">
        <v>0</v>
      </c>
      <c r="P330" s="19">
        <v>0</v>
      </c>
      <c r="Q330" s="19">
        <v>0</v>
      </c>
      <c r="S330" s="19">
        <v>1</v>
      </c>
      <c r="T330" s="19">
        <v>1</v>
      </c>
      <c r="U330" s="19">
        <v>0</v>
      </c>
      <c r="V330" s="19" t="s">
        <v>36</v>
      </c>
      <c r="W330" s="19">
        <v>0</v>
      </c>
      <c r="Z330" s="19">
        <v>0</v>
      </c>
      <c r="AA330" s="19">
        <v>0</v>
      </c>
    </row>
    <row r="331" spans="1:27" x14ac:dyDescent="0.25">
      <c r="A331" s="19" t="s">
        <v>476</v>
      </c>
      <c r="B331" s="19" t="s">
        <v>458</v>
      </c>
      <c r="C331" s="19" t="s">
        <v>459</v>
      </c>
      <c r="D331" s="19">
        <v>0</v>
      </c>
      <c r="E331" s="19" t="s">
        <v>93</v>
      </c>
      <c r="F331" s="19" t="s">
        <v>94</v>
      </c>
      <c r="G331" s="19" t="s">
        <v>32</v>
      </c>
      <c r="H331" s="19" t="s">
        <v>87</v>
      </c>
      <c r="I331" s="19" t="s">
        <v>88</v>
      </c>
      <c r="J331" s="19">
        <v>34</v>
      </c>
      <c r="K331" s="19">
        <v>3.2500000000000001E-2</v>
      </c>
      <c r="L331" s="19" t="s">
        <v>35</v>
      </c>
      <c r="M331" s="19" t="s">
        <v>40</v>
      </c>
      <c r="N331" s="19">
        <v>0</v>
      </c>
      <c r="O331" s="19">
        <v>0</v>
      </c>
      <c r="P331" s="19">
        <v>0</v>
      </c>
      <c r="Q331" s="19">
        <v>0</v>
      </c>
      <c r="S331" s="19">
        <v>1</v>
      </c>
      <c r="T331" s="19">
        <v>1</v>
      </c>
      <c r="U331" s="19">
        <v>0</v>
      </c>
      <c r="V331" s="19" t="s">
        <v>80</v>
      </c>
      <c r="W331" s="19">
        <v>0</v>
      </c>
      <c r="Y331" s="19" t="s">
        <v>40</v>
      </c>
      <c r="Z331" s="19">
        <v>33.33</v>
      </c>
      <c r="AA331" s="19">
        <v>0</v>
      </c>
    </row>
    <row r="332" spans="1:27" x14ac:dyDescent="0.25">
      <c r="A332" s="19" t="s">
        <v>477</v>
      </c>
      <c r="B332" s="19" t="s">
        <v>458</v>
      </c>
      <c r="C332" s="19" t="s">
        <v>459</v>
      </c>
      <c r="D332" s="19">
        <v>0</v>
      </c>
      <c r="E332" s="19" t="s">
        <v>96</v>
      </c>
      <c r="F332" s="19" t="s">
        <v>97</v>
      </c>
      <c r="G332" s="19" t="s">
        <v>32</v>
      </c>
      <c r="H332" s="19" t="s">
        <v>87</v>
      </c>
      <c r="I332" s="19" t="s">
        <v>88</v>
      </c>
      <c r="J332" s="19">
        <v>36</v>
      </c>
      <c r="K332" s="19">
        <v>3.2500000000000001E-2</v>
      </c>
      <c r="L332" s="19" t="s">
        <v>35</v>
      </c>
      <c r="N332" s="19">
        <v>0</v>
      </c>
      <c r="O332" s="19">
        <v>0</v>
      </c>
      <c r="P332" s="19">
        <v>0</v>
      </c>
      <c r="Q332" s="19">
        <v>0</v>
      </c>
      <c r="S332" s="19">
        <v>1</v>
      </c>
      <c r="T332" s="19">
        <v>1</v>
      </c>
      <c r="U332" s="19">
        <v>0</v>
      </c>
      <c r="V332" s="19" t="s">
        <v>36</v>
      </c>
      <c r="W332" s="19">
        <v>0</v>
      </c>
      <c r="Z332" s="19">
        <v>0</v>
      </c>
      <c r="AA332" s="19">
        <v>0</v>
      </c>
    </row>
    <row r="333" spans="1:27" x14ac:dyDescent="0.25">
      <c r="A333" s="19" t="s">
        <v>478</v>
      </c>
      <c r="B333" s="19" t="s">
        <v>458</v>
      </c>
      <c r="C333" s="19" t="s">
        <v>459</v>
      </c>
      <c r="D333" s="19">
        <v>0</v>
      </c>
      <c r="E333" s="19" t="s">
        <v>99</v>
      </c>
      <c r="F333" s="19" t="s">
        <v>100</v>
      </c>
      <c r="G333" s="19" t="s">
        <v>32</v>
      </c>
      <c r="H333" s="19" t="s">
        <v>101</v>
      </c>
      <c r="I333" s="19" t="s">
        <v>102</v>
      </c>
      <c r="J333" s="19">
        <v>39</v>
      </c>
      <c r="K333" s="19">
        <v>4.3299999999999998E-2</v>
      </c>
      <c r="L333" s="19" t="s">
        <v>35</v>
      </c>
      <c r="M333" s="19" t="s">
        <v>103</v>
      </c>
      <c r="N333" s="19">
        <v>0</v>
      </c>
      <c r="O333" s="19">
        <v>0</v>
      </c>
      <c r="P333" s="19">
        <v>0</v>
      </c>
      <c r="Q333" s="19">
        <v>0</v>
      </c>
      <c r="S333" s="19">
        <v>1</v>
      </c>
      <c r="T333" s="19">
        <v>1</v>
      </c>
      <c r="U333" s="19">
        <v>0</v>
      </c>
      <c r="V333" s="19" t="s">
        <v>36</v>
      </c>
      <c r="W333" s="19">
        <v>0</v>
      </c>
      <c r="Y333" s="19" t="s">
        <v>103</v>
      </c>
      <c r="Z333" s="19">
        <v>50</v>
      </c>
      <c r="AA333" s="19">
        <v>0</v>
      </c>
    </row>
    <row r="334" spans="1:27" x14ac:dyDescent="0.25">
      <c r="A334" s="19" t="s">
        <v>479</v>
      </c>
      <c r="B334" s="19" t="s">
        <v>458</v>
      </c>
      <c r="C334" s="19" t="s">
        <v>459</v>
      </c>
      <c r="D334" s="19">
        <v>0</v>
      </c>
      <c r="E334" s="19" t="s">
        <v>105</v>
      </c>
      <c r="F334" s="19" t="s">
        <v>106</v>
      </c>
      <c r="G334" s="19" t="s">
        <v>32</v>
      </c>
      <c r="H334" s="19" t="s">
        <v>101</v>
      </c>
      <c r="I334" s="19" t="s">
        <v>102</v>
      </c>
      <c r="J334" s="19">
        <v>38</v>
      </c>
      <c r="K334" s="19">
        <v>4.3299999999999998E-2</v>
      </c>
      <c r="L334" s="19" t="s">
        <v>35</v>
      </c>
      <c r="M334" s="19" t="s">
        <v>103</v>
      </c>
      <c r="N334" s="19">
        <v>0</v>
      </c>
      <c r="O334" s="19">
        <v>0</v>
      </c>
      <c r="P334" s="19">
        <v>0</v>
      </c>
      <c r="Q334" s="19">
        <v>0</v>
      </c>
      <c r="S334" s="19">
        <v>1</v>
      </c>
      <c r="T334" s="19">
        <v>1</v>
      </c>
      <c r="U334" s="19">
        <v>0</v>
      </c>
      <c r="V334" s="19" t="s">
        <v>36</v>
      </c>
      <c r="W334" s="19">
        <v>0</v>
      </c>
      <c r="Y334" s="19" t="s">
        <v>103</v>
      </c>
      <c r="Z334" s="19">
        <v>50</v>
      </c>
      <c r="AA334" s="19">
        <v>0</v>
      </c>
    </row>
    <row r="335" spans="1:27" x14ac:dyDescent="0.25">
      <c r="A335" s="19" t="s">
        <v>480</v>
      </c>
      <c r="B335" s="19" t="s">
        <v>458</v>
      </c>
      <c r="C335" s="19" t="s">
        <v>459</v>
      </c>
      <c r="D335" s="19">
        <v>0</v>
      </c>
      <c r="E335" s="19" t="s">
        <v>108</v>
      </c>
      <c r="F335" s="19" t="s">
        <v>109</v>
      </c>
      <c r="G335" s="19" t="s">
        <v>32</v>
      </c>
      <c r="H335" s="19" t="s">
        <v>101</v>
      </c>
      <c r="I335" s="19" t="s">
        <v>102</v>
      </c>
      <c r="J335" s="19">
        <v>37</v>
      </c>
      <c r="K335" s="19">
        <v>4.3299999999999998E-2</v>
      </c>
      <c r="L335" s="19" t="s">
        <v>35</v>
      </c>
      <c r="M335" s="19" t="s">
        <v>40</v>
      </c>
      <c r="N335" s="19">
        <v>0</v>
      </c>
      <c r="O335" s="19">
        <v>0</v>
      </c>
      <c r="P335" s="19">
        <v>0</v>
      </c>
      <c r="Q335" s="19">
        <v>0</v>
      </c>
      <c r="S335" s="19">
        <v>1</v>
      </c>
      <c r="T335" s="19">
        <v>1</v>
      </c>
      <c r="U335" s="19">
        <v>0</v>
      </c>
      <c r="V335" s="19" t="s">
        <v>80</v>
      </c>
      <c r="W335" s="19">
        <v>0</v>
      </c>
      <c r="Y335" s="19" t="s">
        <v>40</v>
      </c>
      <c r="Z335" s="19">
        <v>33.33</v>
      </c>
      <c r="AA335" s="19">
        <v>0</v>
      </c>
    </row>
    <row r="336" spans="1:27" x14ac:dyDescent="0.25">
      <c r="A336" s="19" t="s">
        <v>481</v>
      </c>
      <c r="B336" s="19" t="s">
        <v>458</v>
      </c>
      <c r="C336" s="19" t="s">
        <v>459</v>
      </c>
      <c r="D336" s="19">
        <v>0</v>
      </c>
      <c r="E336" s="19" t="s">
        <v>112</v>
      </c>
      <c r="F336" s="19" t="s">
        <v>113</v>
      </c>
      <c r="G336" s="19" t="s">
        <v>32</v>
      </c>
      <c r="H336" s="19" t="s">
        <v>114</v>
      </c>
      <c r="I336" s="19" t="s">
        <v>115</v>
      </c>
      <c r="J336" s="19">
        <v>30</v>
      </c>
      <c r="K336" s="19">
        <v>2.1700000000000001E-2</v>
      </c>
      <c r="L336" s="19" t="s">
        <v>35</v>
      </c>
      <c r="M336" s="19" t="s">
        <v>103</v>
      </c>
      <c r="N336" s="19">
        <v>0</v>
      </c>
      <c r="O336" s="19">
        <v>0</v>
      </c>
      <c r="P336" s="19">
        <v>0</v>
      </c>
      <c r="Q336" s="19">
        <v>0</v>
      </c>
      <c r="S336" s="19">
        <v>1</v>
      </c>
      <c r="T336" s="19">
        <v>1</v>
      </c>
      <c r="U336" s="19">
        <v>0</v>
      </c>
      <c r="V336" s="19" t="s">
        <v>36</v>
      </c>
      <c r="W336" s="19">
        <v>0</v>
      </c>
      <c r="Y336" s="19" t="s">
        <v>103</v>
      </c>
      <c r="Z336" s="19">
        <v>50</v>
      </c>
      <c r="AA336" s="19">
        <v>0</v>
      </c>
    </row>
    <row r="337" spans="1:27" x14ac:dyDescent="0.25">
      <c r="A337" s="19" t="s">
        <v>482</v>
      </c>
      <c r="B337" s="19" t="s">
        <v>458</v>
      </c>
      <c r="C337" s="19" t="s">
        <v>459</v>
      </c>
      <c r="D337" s="19">
        <v>0</v>
      </c>
      <c r="E337" s="19" t="s">
        <v>117</v>
      </c>
      <c r="F337" s="19" t="s">
        <v>118</v>
      </c>
      <c r="G337" s="19" t="s">
        <v>32</v>
      </c>
      <c r="H337" s="19" t="s">
        <v>114</v>
      </c>
      <c r="I337" s="19" t="s">
        <v>115</v>
      </c>
      <c r="J337" s="19">
        <v>31</v>
      </c>
      <c r="K337" s="19">
        <v>2.1700000000000001E-2</v>
      </c>
      <c r="L337" s="19" t="s">
        <v>35</v>
      </c>
      <c r="M337" s="19" t="s">
        <v>103</v>
      </c>
      <c r="N337" s="19">
        <v>0</v>
      </c>
      <c r="O337" s="19">
        <v>0</v>
      </c>
      <c r="P337" s="19">
        <v>0</v>
      </c>
      <c r="Q337" s="19">
        <v>0</v>
      </c>
      <c r="S337" s="19">
        <v>1</v>
      </c>
      <c r="T337" s="19">
        <v>1</v>
      </c>
      <c r="U337" s="19">
        <v>0</v>
      </c>
      <c r="V337" s="19" t="s">
        <v>36</v>
      </c>
      <c r="W337" s="19">
        <v>0</v>
      </c>
      <c r="Y337" s="19" t="s">
        <v>103</v>
      </c>
      <c r="Z337" s="19">
        <v>50</v>
      </c>
      <c r="AA337" s="19">
        <v>0</v>
      </c>
    </row>
    <row r="338" spans="1:27" x14ac:dyDescent="0.25">
      <c r="A338" s="19" t="s">
        <v>483</v>
      </c>
      <c r="B338" s="19" t="s">
        <v>458</v>
      </c>
      <c r="C338" s="19" t="s">
        <v>459</v>
      </c>
      <c r="D338" s="19">
        <v>0</v>
      </c>
      <c r="E338" s="19" t="s">
        <v>120</v>
      </c>
      <c r="F338" s="19" t="s">
        <v>121</v>
      </c>
      <c r="G338" s="19" t="s">
        <v>32</v>
      </c>
      <c r="H338" s="19" t="s">
        <v>114</v>
      </c>
      <c r="I338" s="19" t="s">
        <v>115</v>
      </c>
      <c r="J338" s="19">
        <v>28</v>
      </c>
      <c r="K338" s="19">
        <v>2.1700000000000001E-2</v>
      </c>
      <c r="L338" s="19" t="s">
        <v>35</v>
      </c>
      <c r="M338" s="19" t="s">
        <v>103</v>
      </c>
      <c r="N338" s="19">
        <v>0</v>
      </c>
      <c r="O338" s="19">
        <v>0</v>
      </c>
      <c r="P338" s="19">
        <v>0</v>
      </c>
      <c r="Q338" s="19">
        <v>0</v>
      </c>
      <c r="S338" s="19">
        <v>1</v>
      </c>
      <c r="T338" s="19">
        <v>1</v>
      </c>
      <c r="U338" s="19">
        <v>0</v>
      </c>
      <c r="V338" s="19" t="s">
        <v>36</v>
      </c>
      <c r="W338" s="19">
        <v>0</v>
      </c>
      <c r="Y338" s="19" t="s">
        <v>103</v>
      </c>
      <c r="Z338" s="19">
        <v>50</v>
      </c>
      <c r="AA338" s="19">
        <v>0</v>
      </c>
    </row>
    <row r="339" spans="1:27" x14ac:dyDescent="0.25">
      <c r="A339" s="19" t="s">
        <v>484</v>
      </c>
      <c r="B339" s="19" t="s">
        <v>458</v>
      </c>
      <c r="C339" s="19" t="s">
        <v>459</v>
      </c>
      <c r="D339" s="19">
        <v>0</v>
      </c>
      <c r="E339" s="19" t="s">
        <v>123</v>
      </c>
      <c r="F339" s="19" t="s">
        <v>124</v>
      </c>
      <c r="G339" s="19" t="s">
        <v>32</v>
      </c>
      <c r="H339" s="19" t="s">
        <v>114</v>
      </c>
      <c r="I339" s="19" t="s">
        <v>115</v>
      </c>
      <c r="J339" s="19">
        <v>27</v>
      </c>
      <c r="K339" s="19">
        <v>2.1700000000000001E-2</v>
      </c>
      <c r="L339" s="19" t="s">
        <v>35</v>
      </c>
      <c r="M339" s="19" t="s">
        <v>103</v>
      </c>
      <c r="N339" s="19">
        <v>0</v>
      </c>
      <c r="O339" s="19">
        <v>0</v>
      </c>
      <c r="P339" s="19">
        <v>0</v>
      </c>
      <c r="Q339" s="19">
        <v>0</v>
      </c>
      <c r="S339" s="19">
        <v>1</v>
      </c>
      <c r="T339" s="19">
        <v>1</v>
      </c>
      <c r="U339" s="19">
        <v>0</v>
      </c>
      <c r="V339" s="19" t="s">
        <v>36</v>
      </c>
      <c r="W339" s="19">
        <v>0</v>
      </c>
      <c r="Y339" s="19" t="s">
        <v>103</v>
      </c>
      <c r="Z339" s="19">
        <v>50</v>
      </c>
      <c r="AA339" s="19">
        <v>0</v>
      </c>
    </row>
    <row r="340" spans="1:27" x14ac:dyDescent="0.25">
      <c r="A340" s="19" t="s">
        <v>485</v>
      </c>
      <c r="B340" s="19" t="s">
        <v>458</v>
      </c>
      <c r="C340" s="19" t="s">
        <v>459</v>
      </c>
      <c r="D340" s="19">
        <v>0</v>
      </c>
      <c r="E340" s="19" t="s">
        <v>126</v>
      </c>
      <c r="F340" s="19" t="s">
        <v>127</v>
      </c>
      <c r="G340" s="19" t="s">
        <v>32</v>
      </c>
      <c r="H340" s="19" t="s">
        <v>114</v>
      </c>
      <c r="I340" s="19" t="s">
        <v>115</v>
      </c>
      <c r="J340" s="19">
        <v>29</v>
      </c>
      <c r="K340" s="19">
        <v>2.1700000000000001E-2</v>
      </c>
      <c r="L340" s="19" t="s">
        <v>35</v>
      </c>
      <c r="M340" s="19" t="s">
        <v>103</v>
      </c>
      <c r="N340" s="19">
        <v>0</v>
      </c>
      <c r="O340" s="19">
        <v>0</v>
      </c>
      <c r="P340" s="19">
        <v>0</v>
      </c>
      <c r="Q340" s="19">
        <v>0</v>
      </c>
      <c r="S340" s="19">
        <v>1</v>
      </c>
      <c r="T340" s="19">
        <v>1</v>
      </c>
      <c r="U340" s="19">
        <v>0</v>
      </c>
      <c r="V340" s="19" t="s">
        <v>80</v>
      </c>
      <c r="W340" s="19">
        <v>0</v>
      </c>
      <c r="Y340" s="19" t="s">
        <v>103</v>
      </c>
      <c r="Z340" s="19">
        <v>50</v>
      </c>
      <c r="AA340" s="19">
        <v>0</v>
      </c>
    </row>
    <row r="341" spans="1:27" x14ac:dyDescent="0.25">
      <c r="A341" s="19" t="s">
        <v>486</v>
      </c>
      <c r="B341" s="19" t="s">
        <v>458</v>
      </c>
      <c r="C341" s="19" t="s">
        <v>459</v>
      </c>
      <c r="D341" s="19">
        <v>1.085</v>
      </c>
      <c r="E341" s="19" t="s">
        <v>129</v>
      </c>
      <c r="F341" s="19" t="s">
        <v>130</v>
      </c>
      <c r="G341" s="19" t="s">
        <v>32</v>
      </c>
      <c r="H341" s="19" t="s">
        <v>114</v>
      </c>
      <c r="I341" s="19" t="s">
        <v>115</v>
      </c>
      <c r="J341" s="19">
        <v>32</v>
      </c>
      <c r="K341" s="19">
        <v>2.1700000000000001E-2</v>
      </c>
      <c r="L341" s="19" t="s">
        <v>35</v>
      </c>
      <c r="M341" s="19" t="s">
        <v>103</v>
      </c>
      <c r="N341" s="19">
        <v>50</v>
      </c>
      <c r="O341" s="19">
        <v>50</v>
      </c>
      <c r="P341" s="19">
        <v>0</v>
      </c>
      <c r="Q341" s="19">
        <v>0</v>
      </c>
      <c r="S341" s="19">
        <v>1</v>
      </c>
      <c r="T341" s="19">
        <v>1</v>
      </c>
      <c r="U341" s="19">
        <v>0</v>
      </c>
      <c r="V341" s="19" t="s">
        <v>41</v>
      </c>
      <c r="W341" s="19">
        <v>1</v>
      </c>
      <c r="Y341" s="19" t="s">
        <v>103</v>
      </c>
      <c r="Z341" s="19">
        <v>50</v>
      </c>
      <c r="AA341" s="19">
        <v>50</v>
      </c>
    </row>
    <row r="342" spans="1:27" x14ac:dyDescent="0.25">
      <c r="A342" s="19" t="s">
        <v>487</v>
      </c>
      <c r="B342" s="19" t="s">
        <v>458</v>
      </c>
      <c r="C342" s="19" t="s">
        <v>459</v>
      </c>
      <c r="D342" s="19">
        <v>0</v>
      </c>
      <c r="E342" s="19" t="s">
        <v>132</v>
      </c>
      <c r="F342" s="19" t="s">
        <v>133</v>
      </c>
      <c r="G342" s="19" t="s">
        <v>134</v>
      </c>
      <c r="H342" s="19" t="s">
        <v>87</v>
      </c>
      <c r="I342" s="19" t="s">
        <v>135</v>
      </c>
      <c r="J342" s="19">
        <v>11</v>
      </c>
      <c r="K342" s="19">
        <v>4.1700000000000001E-2</v>
      </c>
      <c r="L342" s="19" t="s">
        <v>35</v>
      </c>
      <c r="M342" s="19" t="s">
        <v>103</v>
      </c>
      <c r="N342" s="19">
        <v>0</v>
      </c>
      <c r="O342" s="19">
        <v>0</v>
      </c>
      <c r="P342" s="19">
        <v>0</v>
      </c>
      <c r="Q342" s="19">
        <v>0</v>
      </c>
      <c r="S342" s="19">
        <v>1</v>
      </c>
      <c r="T342" s="19">
        <v>1</v>
      </c>
      <c r="U342" s="19">
        <v>0</v>
      </c>
      <c r="V342" s="19" t="s">
        <v>36</v>
      </c>
      <c r="W342" s="19">
        <v>0</v>
      </c>
      <c r="Y342" s="19" t="s">
        <v>103</v>
      </c>
      <c r="Z342" s="19">
        <v>50</v>
      </c>
      <c r="AA342" s="19">
        <v>0</v>
      </c>
    </row>
    <row r="343" spans="1:27" x14ac:dyDescent="0.25">
      <c r="A343" s="19" t="s">
        <v>488</v>
      </c>
      <c r="B343" s="19" t="s">
        <v>458</v>
      </c>
      <c r="C343" s="19" t="s">
        <v>459</v>
      </c>
      <c r="D343" s="19">
        <v>0</v>
      </c>
      <c r="E343" s="19" t="s">
        <v>137</v>
      </c>
      <c r="F343" s="19" t="s">
        <v>138</v>
      </c>
      <c r="G343" s="19" t="s">
        <v>134</v>
      </c>
      <c r="H343" s="19" t="s">
        <v>87</v>
      </c>
      <c r="I343" s="19" t="s">
        <v>135</v>
      </c>
      <c r="J343" s="19">
        <v>9</v>
      </c>
      <c r="K343" s="19">
        <v>4.1700000000000001E-2</v>
      </c>
      <c r="L343" s="19" t="s">
        <v>35</v>
      </c>
      <c r="M343" s="19" t="s">
        <v>110</v>
      </c>
      <c r="N343" s="19">
        <v>0</v>
      </c>
      <c r="O343" s="19">
        <v>0</v>
      </c>
      <c r="P343" s="19">
        <v>0</v>
      </c>
      <c r="Q343" s="19">
        <v>0</v>
      </c>
      <c r="S343" s="19">
        <v>1</v>
      </c>
      <c r="T343" s="19">
        <v>1</v>
      </c>
      <c r="U343" s="19">
        <v>0</v>
      </c>
      <c r="W343" s="19">
        <v>0</v>
      </c>
      <c r="X343" s="19">
        <v>0</v>
      </c>
      <c r="Y343" s="19" t="s">
        <v>110</v>
      </c>
      <c r="Z343" s="19">
        <v>16.664999999999999</v>
      </c>
      <c r="AA343" s="19">
        <v>0</v>
      </c>
    </row>
    <row r="344" spans="1:27" x14ac:dyDescent="0.25">
      <c r="A344" s="19" t="s">
        <v>489</v>
      </c>
      <c r="B344" s="19" t="s">
        <v>458</v>
      </c>
      <c r="C344" s="19" t="s">
        <v>459</v>
      </c>
      <c r="D344" s="19">
        <v>0</v>
      </c>
      <c r="E344" s="19" t="s">
        <v>140</v>
      </c>
      <c r="F344" s="19" t="s">
        <v>141</v>
      </c>
      <c r="G344" s="19" t="s">
        <v>134</v>
      </c>
      <c r="H344" s="19" t="s">
        <v>87</v>
      </c>
      <c r="I344" s="19" t="s">
        <v>135</v>
      </c>
      <c r="J344" s="19">
        <v>10</v>
      </c>
      <c r="K344" s="19">
        <v>4.1700000000000001E-2</v>
      </c>
      <c r="L344" s="19" t="s">
        <v>35</v>
      </c>
      <c r="M344" s="19" t="s">
        <v>110</v>
      </c>
      <c r="N344" s="19">
        <v>0</v>
      </c>
      <c r="O344" s="19">
        <v>0</v>
      </c>
      <c r="P344" s="19">
        <v>0</v>
      </c>
      <c r="Q344" s="19">
        <v>0</v>
      </c>
      <c r="S344" s="19">
        <v>1</v>
      </c>
      <c r="T344" s="19">
        <v>1</v>
      </c>
      <c r="U344" s="19">
        <v>0</v>
      </c>
      <c r="W344" s="19">
        <v>0</v>
      </c>
      <c r="X344" s="19">
        <v>0</v>
      </c>
      <c r="Y344" s="19" t="s">
        <v>110</v>
      </c>
      <c r="Z344" s="19">
        <v>16.664999999999999</v>
      </c>
      <c r="AA344" s="19">
        <v>0</v>
      </c>
    </row>
    <row r="345" spans="1:27" x14ac:dyDescent="0.25">
      <c r="A345" s="19" t="s">
        <v>490</v>
      </c>
      <c r="B345" s="19" t="s">
        <v>458</v>
      </c>
      <c r="C345" s="19" t="s">
        <v>459</v>
      </c>
      <c r="D345" s="19">
        <v>1.25</v>
      </c>
      <c r="E345" s="19" t="s">
        <v>144</v>
      </c>
      <c r="F345" s="19" t="s">
        <v>145</v>
      </c>
      <c r="G345" s="19" t="s">
        <v>134</v>
      </c>
      <c r="H345" s="19" t="s">
        <v>146</v>
      </c>
      <c r="I345" s="19" t="s">
        <v>147</v>
      </c>
      <c r="J345" s="19">
        <v>4</v>
      </c>
      <c r="K345" s="19">
        <v>2.5000000000000001E-2</v>
      </c>
      <c r="L345" s="19" t="s">
        <v>35</v>
      </c>
      <c r="M345" s="19" t="s">
        <v>103</v>
      </c>
      <c r="N345" s="19">
        <v>50</v>
      </c>
      <c r="O345" s="19">
        <v>50</v>
      </c>
      <c r="P345" s="19">
        <v>0</v>
      </c>
      <c r="Q345" s="19">
        <v>0</v>
      </c>
      <c r="S345" s="19">
        <v>1</v>
      </c>
      <c r="T345" s="19">
        <v>1</v>
      </c>
      <c r="U345" s="19">
        <v>0</v>
      </c>
      <c r="V345" s="19" t="s">
        <v>41</v>
      </c>
      <c r="W345" s="19">
        <v>1</v>
      </c>
      <c r="Y345" s="19" t="s">
        <v>103</v>
      </c>
      <c r="Z345" s="19">
        <v>50</v>
      </c>
      <c r="AA345" s="19">
        <v>50</v>
      </c>
    </row>
    <row r="346" spans="1:27" x14ac:dyDescent="0.25">
      <c r="A346" s="19" t="s">
        <v>491</v>
      </c>
      <c r="B346" s="19" t="s">
        <v>458</v>
      </c>
      <c r="C346" s="19" t="s">
        <v>459</v>
      </c>
      <c r="D346" s="19">
        <v>1.25</v>
      </c>
      <c r="E346" s="19" t="s">
        <v>149</v>
      </c>
      <c r="F346" s="19" t="s">
        <v>150</v>
      </c>
      <c r="G346" s="19" t="s">
        <v>134</v>
      </c>
      <c r="H346" s="19" t="s">
        <v>146</v>
      </c>
      <c r="I346" s="19" t="s">
        <v>147</v>
      </c>
      <c r="J346" s="19">
        <v>5</v>
      </c>
      <c r="K346" s="19">
        <v>2.5000000000000001E-2</v>
      </c>
      <c r="L346" s="19" t="s">
        <v>35</v>
      </c>
      <c r="M346" s="19" t="s">
        <v>103</v>
      </c>
      <c r="N346" s="19">
        <v>50</v>
      </c>
      <c r="O346" s="19">
        <v>50</v>
      </c>
      <c r="P346" s="19">
        <v>0</v>
      </c>
      <c r="Q346" s="19">
        <v>0</v>
      </c>
      <c r="S346" s="19">
        <v>1</v>
      </c>
      <c r="T346" s="19">
        <v>1</v>
      </c>
      <c r="U346" s="19">
        <v>0</v>
      </c>
      <c r="V346" s="19" t="s">
        <v>41</v>
      </c>
      <c r="W346" s="19">
        <v>1</v>
      </c>
      <c r="Y346" s="19" t="s">
        <v>103</v>
      </c>
      <c r="Z346" s="19">
        <v>50</v>
      </c>
      <c r="AA346" s="19">
        <v>50</v>
      </c>
    </row>
    <row r="347" spans="1:27" x14ac:dyDescent="0.25">
      <c r="A347" s="19" t="s">
        <v>492</v>
      </c>
      <c r="B347" s="19" t="s">
        <v>458</v>
      </c>
      <c r="C347" s="19" t="s">
        <v>459</v>
      </c>
      <c r="D347" s="19">
        <v>1.25</v>
      </c>
      <c r="E347" s="19" t="s">
        <v>152</v>
      </c>
      <c r="F347" s="19" t="s">
        <v>153</v>
      </c>
      <c r="G347" s="19" t="s">
        <v>134</v>
      </c>
      <c r="H347" s="19" t="s">
        <v>146</v>
      </c>
      <c r="I347" s="19" t="s">
        <v>147</v>
      </c>
      <c r="J347" s="19">
        <v>6</v>
      </c>
      <c r="K347" s="19">
        <v>2.5000000000000001E-2</v>
      </c>
      <c r="L347" s="19" t="s">
        <v>35</v>
      </c>
      <c r="M347" s="19" t="s">
        <v>103</v>
      </c>
      <c r="N347" s="19">
        <v>50</v>
      </c>
      <c r="O347" s="19">
        <v>50</v>
      </c>
      <c r="P347" s="19">
        <v>0</v>
      </c>
      <c r="Q347" s="19">
        <v>0</v>
      </c>
      <c r="S347" s="19">
        <v>1</v>
      </c>
      <c r="T347" s="19">
        <v>1</v>
      </c>
      <c r="U347" s="19">
        <v>0</v>
      </c>
      <c r="V347" s="19" t="s">
        <v>41</v>
      </c>
      <c r="W347" s="19">
        <v>1</v>
      </c>
      <c r="Y347" s="19" t="s">
        <v>103</v>
      </c>
      <c r="Z347" s="19">
        <v>50</v>
      </c>
      <c r="AA347" s="19">
        <v>50</v>
      </c>
    </row>
    <row r="348" spans="1:27" x14ac:dyDescent="0.25">
      <c r="A348" s="19" t="s">
        <v>493</v>
      </c>
      <c r="B348" s="19" t="s">
        <v>458</v>
      </c>
      <c r="C348" s="19" t="s">
        <v>459</v>
      </c>
      <c r="D348" s="19">
        <v>1.25</v>
      </c>
      <c r="E348" s="19" t="s">
        <v>155</v>
      </c>
      <c r="F348" s="19" t="s">
        <v>156</v>
      </c>
      <c r="G348" s="19" t="s">
        <v>134</v>
      </c>
      <c r="H348" s="19" t="s">
        <v>146</v>
      </c>
      <c r="I348" s="19" t="s">
        <v>147</v>
      </c>
      <c r="J348" s="19">
        <v>7</v>
      </c>
      <c r="K348" s="19">
        <v>2.5000000000000001E-2</v>
      </c>
      <c r="L348" s="19" t="s">
        <v>35</v>
      </c>
      <c r="M348" s="19" t="s">
        <v>103</v>
      </c>
      <c r="N348" s="19">
        <v>50</v>
      </c>
      <c r="O348" s="19">
        <v>50</v>
      </c>
      <c r="P348" s="19">
        <v>0</v>
      </c>
      <c r="Q348" s="19">
        <v>0</v>
      </c>
      <c r="S348" s="19">
        <v>1</v>
      </c>
      <c r="T348" s="19">
        <v>1</v>
      </c>
      <c r="U348" s="19">
        <v>0</v>
      </c>
      <c r="V348" s="19" t="s">
        <v>41</v>
      </c>
      <c r="W348" s="19">
        <v>1</v>
      </c>
      <c r="Y348" s="19" t="s">
        <v>103</v>
      </c>
      <c r="Z348" s="19">
        <v>50</v>
      </c>
      <c r="AA348" s="19">
        <v>50</v>
      </c>
    </row>
    <row r="349" spans="1:27" x14ac:dyDescent="0.25">
      <c r="A349" s="19" t="s">
        <v>494</v>
      </c>
      <c r="B349" s="19" t="s">
        <v>458</v>
      </c>
      <c r="C349" s="19" t="s">
        <v>459</v>
      </c>
      <c r="D349" s="19">
        <v>0</v>
      </c>
      <c r="E349" s="19" t="s">
        <v>158</v>
      </c>
      <c r="F349" s="19" t="s">
        <v>159</v>
      </c>
      <c r="G349" s="19" t="s">
        <v>134</v>
      </c>
      <c r="H349" s="19" t="s">
        <v>146</v>
      </c>
      <c r="I349" s="19" t="s">
        <v>147</v>
      </c>
      <c r="J349" s="19">
        <v>8</v>
      </c>
      <c r="K349" s="19">
        <v>2.5000000000000001E-2</v>
      </c>
      <c r="L349" s="19" t="s">
        <v>35</v>
      </c>
      <c r="M349" s="19" t="s">
        <v>103</v>
      </c>
      <c r="N349" s="19">
        <v>0</v>
      </c>
      <c r="O349" s="19">
        <v>0</v>
      </c>
      <c r="P349" s="19">
        <v>0</v>
      </c>
      <c r="Q349" s="19">
        <v>0</v>
      </c>
      <c r="S349" s="19">
        <v>1</v>
      </c>
      <c r="T349" s="19">
        <v>1</v>
      </c>
      <c r="U349" s="19">
        <v>0</v>
      </c>
      <c r="V349" s="19" t="s">
        <v>36</v>
      </c>
      <c r="W349" s="19">
        <v>0</v>
      </c>
      <c r="Y349" s="19" t="s">
        <v>103</v>
      </c>
      <c r="Z349" s="19">
        <v>50</v>
      </c>
      <c r="AA349" s="19">
        <v>0</v>
      </c>
    </row>
    <row r="350" spans="1:27" x14ac:dyDescent="0.25">
      <c r="A350" s="19" t="s">
        <v>495</v>
      </c>
      <c r="B350" s="19" t="s">
        <v>458</v>
      </c>
      <c r="C350" s="19" t="s">
        <v>459</v>
      </c>
      <c r="D350" s="19">
        <v>2.2197779999999998</v>
      </c>
      <c r="E350" s="19" t="s">
        <v>161</v>
      </c>
      <c r="F350" s="19" t="s">
        <v>162</v>
      </c>
      <c r="G350" s="19" t="s">
        <v>163</v>
      </c>
      <c r="I350" s="19" t="s">
        <v>164</v>
      </c>
      <c r="J350" s="19">
        <v>1</v>
      </c>
      <c r="K350" s="19">
        <v>3.3300000000000003E-2</v>
      </c>
      <c r="L350" s="19" t="s">
        <v>35</v>
      </c>
      <c r="M350" s="19" t="s">
        <v>165</v>
      </c>
      <c r="N350" s="19">
        <v>66.66</v>
      </c>
      <c r="O350" s="19">
        <v>66.66</v>
      </c>
      <c r="P350" s="19">
        <v>0</v>
      </c>
      <c r="Q350" s="19">
        <v>0</v>
      </c>
      <c r="S350" s="19">
        <v>1</v>
      </c>
      <c r="T350" s="19">
        <v>1</v>
      </c>
      <c r="U350" s="19">
        <v>0</v>
      </c>
      <c r="W350" s="19">
        <v>0</v>
      </c>
      <c r="X350" s="19">
        <v>66.66</v>
      </c>
      <c r="Z350" s="19">
        <v>0</v>
      </c>
      <c r="AA350" s="19">
        <v>66.66</v>
      </c>
    </row>
    <row r="351" spans="1:27" x14ac:dyDescent="0.25">
      <c r="A351" s="19" t="s">
        <v>496</v>
      </c>
      <c r="B351" s="19" t="s">
        <v>458</v>
      </c>
      <c r="C351" s="19" t="s">
        <v>459</v>
      </c>
      <c r="D351" s="19">
        <v>0</v>
      </c>
      <c r="E351" s="19" t="s">
        <v>167</v>
      </c>
      <c r="F351" s="19" t="s">
        <v>168</v>
      </c>
      <c r="G351" s="19" t="s">
        <v>163</v>
      </c>
      <c r="I351" s="19" t="s">
        <v>164</v>
      </c>
      <c r="J351" s="19">
        <v>3</v>
      </c>
      <c r="K351" s="19">
        <v>3.3300000000000003E-2</v>
      </c>
      <c r="L351" s="19" t="s">
        <v>35</v>
      </c>
      <c r="M351" s="19" t="s">
        <v>165</v>
      </c>
      <c r="N351" s="19">
        <v>0</v>
      </c>
      <c r="O351" s="19">
        <v>0</v>
      </c>
      <c r="P351" s="19">
        <v>0</v>
      </c>
      <c r="Q351" s="19">
        <v>0</v>
      </c>
      <c r="S351" s="19">
        <v>1</v>
      </c>
      <c r="T351" s="19">
        <v>1</v>
      </c>
      <c r="U351" s="19">
        <v>0</v>
      </c>
      <c r="W351" s="19">
        <v>0</v>
      </c>
      <c r="X351" s="19">
        <v>0</v>
      </c>
      <c r="Z351" s="19">
        <v>0</v>
      </c>
      <c r="AA351" s="19">
        <v>0</v>
      </c>
    </row>
    <row r="352" spans="1:27" x14ac:dyDescent="0.25">
      <c r="A352" s="19" t="s">
        <v>497</v>
      </c>
      <c r="B352" s="19" t="s">
        <v>458</v>
      </c>
      <c r="C352" s="19" t="s">
        <v>459</v>
      </c>
      <c r="D352" s="19">
        <v>0</v>
      </c>
      <c r="E352" s="19" t="s">
        <v>170</v>
      </c>
      <c r="F352" s="19" t="s">
        <v>171</v>
      </c>
      <c r="G352" s="19" t="s">
        <v>163</v>
      </c>
      <c r="I352" s="19" t="s">
        <v>164</v>
      </c>
      <c r="J352" s="19">
        <v>2</v>
      </c>
      <c r="K352" s="19">
        <v>3.3300000000000003E-2</v>
      </c>
      <c r="L352" s="19" t="s">
        <v>35</v>
      </c>
      <c r="M352" s="19" t="s">
        <v>165</v>
      </c>
      <c r="N352" s="19">
        <v>0</v>
      </c>
      <c r="O352" s="19">
        <v>0</v>
      </c>
      <c r="P352" s="19">
        <v>0</v>
      </c>
      <c r="Q352" s="19">
        <v>0</v>
      </c>
      <c r="S352" s="19">
        <v>1</v>
      </c>
      <c r="T352" s="19">
        <v>1</v>
      </c>
      <c r="U352" s="19">
        <v>0</v>
      </c>
      <c r="W352" s="19">
        <v>0</v>
      </c>
      <c r="X352" s="19">
        <v>0</v>
      </c>
      <c r="Z352" s="19">
        <v>0</v>
      </c>
      <c r="AA352" s="19">
        <v>0</v>
      </c>
    </row>
    <row r="353" spans="1:27" x14ac:dyDescent="0.25">
      <c r="A353" s="19" t="s">
        <v>498</v>
      </c>
      <c r="B353" s="19" t="s">
        <v>499</v>
      </c>
      <c r="C353" s="19">
        <v>43000</v>
      </c>
      <c r="D353" s="19">
        <v>0.81499999999999995</v>
      </c>
      <c r="E353" s="19" t="s">
        <v>30</v>
      </c>
      <c r="F353" s="19" t="s">
        <v>31</v>
      </c>
      <c r="G353" s="19" t="s">
        <v>32</v>
      </c>
      <c r="H353" s="19" t="s">
        <v>33</v>
      </c>
      <c r="I353" s="19" t="s">
        <v>34</v>
      </c>
      <c r="J353" s="19">
        <v>17</v>
      </c>
      <c r="K353" s="19">
        <v>1.6299999999999999E-2</v>
      </c>
      <c r="L353" s="19" t="s">
        <v>35</v>
      </c>
      <c r="M353" s="19" t="s">
        <v>142</v>
      </c>
      <c r="N353" s="19">
        <v>50</v>
      </c>
      <c r="O353" s="19">
        <v>50</v>
      </c>
      <c r="P353" s="19">
        <v>0</v>
      </c>
      <c r="Q353" s="19">
        <v>0</v>
      </c>
      <c r="S353" s="19">
        <v>1</v>
      </c>
      <c r="T353" s="19">
        <v>1</v>
      </c>
      <c r="U353" s="19">
        <v>0</v>
      </c>
      <c r="V353" s="19" t="s">
        <v>41</v>
      </c>
      <c r="W353" s="19">
        <v>1</v>
      </c>
      <c r="Y353" s="19" t="s">
        <v>142</v>
      </c>
      <c r="Z353" s="19">
        <v>50</v>
      </c>
      <c r="AA353" s="19">
        <v>50</v>
      </c>
    </row>
    <row r="354" spans="1:27" x14ac:dyDescent="0.25">
      <c r="A354" s="19" t="s">
        <v>500</v>
      </c>
      <c r="B354" s="19" t="s">
        <v>499</v>
      </c>
      <c r="C354" s="19">
        <v>43000</v>
      </c>
      <c r="D354" s="19">
        <v>0.54327899999999996</v>
      </c>
      <c r="E354" s="19" t="s">
        <v>38</v>
      </c>
      <c r="F354" s="19" t="s">
        <v>39</v>
      </c>
      <c r="G354" s="19" t="s">
        <v>32</v>
      </c>
      <c r="H354" s="19" t="s">
        <v>33</v>
      </c>
      <c r="I354" s="19" t="s">
        <v>34</v>
      </c>
      <c r="J354" s="19">
        <v>19</v>
      </c>
      <c r="K354" s="19">
        <v>1.6299999999999999E-2</v>
      </c>
      <c r="L354" s="19" t="s">
        <v>35</v>
      </c>
      <c r="M354" s="19" t="s">
        <v>40</v>
      </c>
      <c r="N354" s="19">
        <v>33.33</v>
      </c>
      <c r="O354" s="19">
        <v>33.33</v>
      </c>
      <c r="P354" s="19">
        <v>0</v>
      </c>
      <c r="Q354" s="19">
        <v>0</v>
      </c>
      <c r="S354" s="19">
        <v>1</v>
      </c>
      <c r="T354" s="19">
        <v>1</v>
      </c>
      <c r="U354" s="19">
        <v>0</v>
      </c>
      <c r="V354" s="19" t="s">
        <v>41</v>
      </c>
      <c r="W354" s="19">
        <v>1</v>
      </c>
      <c r="Y354" s="19" t="s">
        <v>40</v>
      </c>
      <c r="Z354" s="19">
        <v>33.33</v>
      </c>
      <c r="AA354" s="19">
        <v>33.33</v>
      </c>
    </row>
    <row r="355" spans="1:27" x14ac:dyDescent="0.25">
      <c r="A355" s="19" t="s">
        <v>501</v>
      </c>
      <c r="B355" s="19" t="s">
        <v>499</v>
      </c>
      <c r="C355" s="19">
        <v>43000</v>
      </c>
      <c r="D355" s="19">
        <v>0.81499999999999995</v>
      </c>
      <c r="E355" s="19" t="s">
        <v>43</v>
      </c>
      <c r="F355" s="19" t="s">
        <v>44</v>
      </c>
      <c r="G355" s="19" t="s">
        <v>32</v>
      </c>
      <c r="H355" s="19" t="s">
        <v>33</v>
      </c>
      <c r="I355" s="19" t="s">
        <v>34</v>
      </c>
      <c r="J355" s="19">
        <v>18</v>
      </c>
      <c r="K355" s="19">
        <v>1.6299999999999999E-2</v>
      </c>
      <c r="L355" s="19" t="s">
        <v>35</v>
      </c>
      <c r="M355" s="19" t="s">
        <v>142</v>
      </c>
      <c r="N355" s="19">
        <v>50</v>
      </c>
      <c r="O355" s="19">
        <v>50</v>
      </c>
      <c r="P355" s="19">
        <v>0</v>
      </c>
      <c r="Q355" s="19">
        <v>0</v>
      </c>
      <c r="S355" s="19">
        <v>1</v>
      </c>
      <c r="T355" s="19">
        <v>1</v>
      </c>
      <c r="U355" s="19">
        <v>0</v>
      </c>
      <c r="V355" s="19" t="s">
        <v>41</v>
      </c>
      <c r="W355" s="19">
        <v>1</v>
      </c>
      <c r="Y355" s="19" t="s">
        <v>142</v>
      </c>
      <c r="Z355" s="19">
        <v>50</v>
      </c>
      <c r="AA355" s="19">
        <v>50</v>
      </c>
    </row>
    <row r="356" spans="1:27" x14ac:dyDescent="0.25">
      <c r="A356" s="19" t="s">
        <v>502</v>
      </c>
      <c r="B356" s="19" t="s">
        <v>499</v>
      </c>
      <c r="C356" s="19">
        <v>43000</v>
      </c>
      <c r="D356" s="19">
        <v>0.81499999999999995</v>
      </c>
      <c r="E356" s="19" t="s">
        <v>46</v>
      </c>
      <c r="F356" s="19" t="s">
        <v>47</v>
      </c>
      <c r="G356" s="19" t="s">
        <v>32</v>
      </c>
      <c r="H356" s="19" t="s">
        <v>33</v>
      </c>
      <c r="I356" s="19" t="s">
        <v>34</v>
      </c>
      <c r="J356" s="19">
        <v>15</v>
      </c>
      <c r="K356" s="19">
        <v>1.6299999999999999E-2</v>
      </c>
      <c r="L356" s="19" t="s">
        <v>35</v>
      </c>
      <c r="M356" s="19" t="s">
        <v>142</v>
      </c>
      <c r="N356" s="19">
        <v>50</v>
      </c>
      <c r="O356" s="19">
        <v>50</v>
      </c>
      <c r="P356" s="19">
        <v>0</v>
      </c>
      <c r="Q356" s="19">
        <v>0</v>
      </c>
      <c r="S356" s="19">
        <v>1</v>
      </c>
      <c r="T356" s="19">
        <v>1</v>
      </c>
      <c r="U356" s="19">
        <v>0</v>
      </c>
      <c r="V356" s="19" t="s">
        <v>41</v>
      </c>
      <c r="W356" s="19">
        <v>1</v>
      </c>
      <c r="Y356" s="19" t="s">
        <v>142</v>
      </c>
      <c r="Z356" s="19">
        <v>50</v>
      </c>
      <c r="AA356" s="19">
        <v>50</v>
      </c>
    </row>
    <row r="357" spans="1:27" x14ac:dyDescent="0.25">
      <c r="A357" s="19" t="s">
        <v>503</v>
      </c>
      <c r="B357" s="19" t="s">
        <v>499</v>
      </c>
      <c r="C357" s="19">
        <v>43000</v>
      </c>
      <c r="D357" s="19">
        <v>0.81499999999999995</v>
      </c>
      <c r="E357" s="19" t="s">
        <v>49</v>
      </c>
      <c r="F357" s="19" t="s">
        <v>50</v>
      </c>
      <c r="G357" s="19" t="s">
        <v>32</v>
      </c>
      <c r="H357" s="19" t="s">
        <v>33</v>
      </c>
      <c r="I357" s="19" t="s">
        <v>34</v>
      </c>
      <c r="J357" s="19">
        <v>12</v>
      </c>
      <c r="K357" s="19">
        <v>1.6299999999999999E-2</v>
      </c>
      <c r="L357" s="19" t="s">
        <v>35</v>
      </c>
      <c r="M357" s="19" t="s">
        <v>142</v>
      </c>
      <c r="N357" s="19">
        <v>50</v>
      </c>
      <c r="O357" s="19">
        <v>50</v>
      </c>
      <c r="P357" s="19">
        <v>0</v>
      </c>
      <c r="Q357" s="19">
        <v>0</v>
      </c>
      <c r="S357" s="19">
        <v>1</v>
      </c>
      <c r="T357" s="19">
        <v>1</v>
      </c>
      <c r="U357" s="19">
        <v>0</v>
      </c>
      <c r="V357" s="19" t="s">
        <v>41</v>
      </c>
      <c r="W357" s="19">
        <v>1</v>
      </c>
      <c r="Y357" s="19" t="s">
        <v>142</v>
      </c>
      <c r="Z357" s="19">
        <v>50</v>
      </c>
      <c r="AA357" s="19">
        <v>50</v>
      </c>
    </row>
    <row r="358" spans="1:27" x14ac:dyDescent="0.25">
      <c r="A358" s="19" t="s">
        <v>504</v>
      </c>
      <c r="B358" s="19" t="s">
        <v>499</v>
      </c>
      <c r="C358" s="19">
        <v>43000</v>
      </c>
      <c r="D358" s="19">
        <v>0.27163949999999998</v>
      </c>
      <c r="E358" s="19" t="s">
        <v>52</v>
      </c>
      <c r="F358" s="19" t="s">
        <v>53</v>
      </c>
      <c r="G358" s="19" t="s">
        <v>32</v>
      </c>
      <c r="H358" s="19" t="s">
        <v>33</v>
      </c>
      <c r="I358" s="19" t="s">
        <v>34</v>
      </c>
      <c r="J358" s="19">
        <v>16</v>
      </c>
      <c r="K358" s="19">
        <v>1.6299999999999999E-2</v>
      </c>
      <c r="L358" s="19" t="s">
        <v>35</v>
      </c>
      <c r="M358" s="19" t="s">
        <v>110</v>
      </c>
      <c r="N358" s="19">
        <v>16.664999999999999</v>
      </c>
      <c r="O358" s="19">
        <v>16.664999999999999</v>
      </c>
      <c r="P358" s="19">
        <v>0</v>
      </c>
      <c r="Q358" s="19">
        <v>0</v>
      </c>
      <c r="S358" s="19">
        <v>1</v>
      </c>
      <c r="T358" s="19">
        <v>1</v>
      </c>
      <c r="U358" s="19">
        <v>0</v>
      </c>
      <c r="V358" s="19" t="s">
        <v>41</v>
      </c>
      <c r="W358" s="19">
        <v>1</v>
      </c>
      <c r="Y358" s="19" t="s">
        <v>110</v>
      </c>
      <c r="Z358" s="19">
        <v>16.664999999999999</v>
      </c>
      <c r="AA358" s="19">
        <v>16.664999999999999</v>
      </c>
    </row>
    <row r="359" spans="1:27" x14ac:dyDescent="0.25">
      <c r="A359" s="19" t="s">
        <v>505</v>
      </c>
      <c r="B359" s="19" t="s">
        <v>499</v>
      </c>
      <c r="C359" s="19">
        <v>43000</v>
      </c>
      <c r="D359" s="19">
        <v>0.27163949999999998</v>
      </c>
      <c r="E359" s="19" t="s">
        <v>55</v>
      </c>
      <c r="F359" s="19" t="s">
        <v>56</v>
      </c>
      <c r="G359" s="19" t="s">
        <v>32</v>
      </c>
      <c r="H359" s="19" t="s">
        <v>33</v>
      </c>
      <c r="I359" s="19" t="s">
        <v>34</v>
      </c>
      <c r="J359" s="19">
        <v>14</v>
      </c>
      <c r="K359" s="19">
        <v>1.6299999999999999E-2</v>
      </c>
      <c r="L359" s="19" t="s">
        <v>35</v>
      </c>
      <c r="M359" s="19" t="s">
        <v>110</v>
      </c>
      <c r="N359" s="19">
        <v>16.664999999999999</v>
      </c>
      <c r="O359" s="19">
        <v>16.664999999999999</v>
      </c>
      <c r="P359" s="19">
        <v>0</v>
      </c>
      <c r="Q359" s="19">
        <v>0</v>
      </c>
      <c r="S359" s="19">
        <v>1</v>
      </c>
      <c r="T359" s="19">
        <v>1</v>
      </c>
      <c r="U359" s="19">
        <v>0</v>
      </c>
      <c r="V359" s="19" t="s">
        <v>41</v>
      </c>
      <c r="W359" s="19">
        <v>1</v>
      </c>
      <c r="Y359" s="19" t="s">
        <v>110</v>
      </c>
      <c r="Z359" s="19">
        <v>16.664999999999999</v>
      </c>
      <c r="AA359" s="19">
        <v>16.664999999999999</v>
      </c>
    </row>
    <row r="360" spans="1:27" x14ac:dyDescent="0.25">
      <c r="A360" s="19" t="s">
        <v>506</v>
      </c>
      <c r="B360" s="19" t="s">
        <v>499</v>
      </c>
      <c r="C360" s="19">
        <v>43000</v>
      </c>
      <c r="D360" s="19">
        <v>0</v>
      </c>
      <c r="E360" s="19" t="s">
        <v>58</v>
      </c>
      <c r="F360" s="19" t="s">
        <v>59</v>
      </c>
      <c r="G360" s="19" t="s">
        <v>32</v>
      </c>
      <c r="H360" s="19" t="s">
        <v>33</v>
      </c>
      <c r="I360" s="19" t="s">
        <v>34</v>
      </c>
      <c r="J360" s="19">
        <v>13</v>
      </c>
      <c r="K360" s="19">
        <v>1.6299999999999999E-2</v>
      </c>
      <c r="L360" s="19" t="s">
        <v>35</v>
      </c>
      <c r="N360" s="19">
        <v>0</v>
      </c>
      <c r="O360" s="19">
        <v>0</v>
      </c>
      <c r="P360" s="19">
        <v>0</v>
      </c>
      <c r="Q360" s="19">
        <v>0</v>
      </c>
      <c r="S360" s="19">
        <v>1</v>
      </c>
      <c r="T360" s="19">
        <v>1</v>
      </c>
      <c r="U360" s="19">
        <v>0</v>
      </c>
      <c r="V360" s="19" t="s">
        <v>36</v>
      </c>
      <c r="W360" s="19">
        <v>0</v>
      </c>
      <c r="Z360" s="19">
        <v>0</v>
      </c>
      <c r="AA360" s="19">
        <v>0</v>
      </c>
    </row>
    <row r="361" spans="1:27" x14ac:dyDescent="0.25">
      <c r="A361" s="19" t="s">
        <v>507</v>
      </c>
      <c r="B361" s="19" t="s">
        <v>499</v>
      </c>
      <c r="C361" s="19">
        <v>43000</v>
      </c>
      <c r="D361" s="19">
        <v>0.92999999999999905</v>
      </c>
      <c r="E361" s="19" t="s">
        <v>61</v>
      </c>
      <c r="F361" s="19" t="s">
        <v>62</v>
      </c>
      <c r="G361" s="19" t="s">
        <v>32</v>
      </c>
      <c r="H361" s="19" t="s">
        <v>63</v>
      </c>
      <c r="I361" s="19" t="s">
        <v>64</v>
      </c>
      <c r="J361" s="19">
        <v>22</v>
      </c>
      <c r="K361" s="19">
        <v>1.8599999999999998E-2</v>
      </c>
      <c r="L361" s="19" t="s">
        <v>35</v>
      </c>
      <c r="M361" s="19" t="s">
        <v>142</v>
      </c>
      <c r="N361" s="19">
        <v>50</v>
      </c>
      <c r="O361" s="19">
        <v>50</v>
      </c>
      <c r="P361" s="19">
        <v>0</v>
      </c>
      <c r="Q361" s="19">
        <v>0</v>
      </c>
      <c r="S361" s="19">
        <v>1</v>
      </c>
      <c r="T361" s="19">
        <v>1</v>
      </c>
      <c r="U361" s="19">
        <v>0</v>
      </c>
      <c r="V361" s="19" t="s">
        <v>41</v>
      </c>
      <c r="W361" s="19">
        <v>1</v>
      </c>
      <c r="Y361" s="19" t="s">
        <v>142</v>
      </c>
      <c r="Z361" s="19">
        <v>50</v>
      </c>
      <c r="AA361" s="19">
        <v>50</v>
      </c>
    </row>
    <row r="362" spans="1:27" x14ac:dyDescent="0.25">
      <c r="A362" s="19" t="s">
        <v>508</v>
      </c>
      <c r="B362" s="19" t="s">
        <v>499</v>
      </c>
      <c r="C362" s="19">
        <v>43000</v>
      </c>
      <c r="D362" s="19">
        <v>0.309968999999999</v>
      </c>
      <c r="E362" s="19" t="s">
        <v>66</v>
      </c>
      <c r="F362" s="19" t="s">
        <v>67</v>
      </c>
      <c r="G362" s="19" t="s">
        <v>32</v>
      </c>
      <c r="H362" s="19" t="s">
        <v>63</v>
      </c>
      <c r="I362" s="19" t="s">
        <v>64</v>
      </c>
      <c r="J362" s="19">
        <v>20</v>
      </c>
      <c r="K362" s="19">
        <v>1.8599999999999998E-2</v>
      </c>
      <c r="L362" s="19" t="s">
        <v>35</v>
      </c>
      <c r="M362" s="19" t="s">
        <v>110</v>
      </c>
      <c r="N362" s="19">
        <v>16.664999999999999</v>
      </c>
      <c r="O362" s="19">
        <v>16.664999999999999</v>
      </c>
      <c r="P362" s="19">
        <v>0</v>
      </c>
      <c r="Q362" s="19">
        <v>0</v>
      </c>
      <c r="S362" s="19">
        <v>1</v>
      </c>
      <c r="T362" s="19">
        <v>1</v>
      </c>
      <c r="U362" s="19">
        <v>0</v>
      </c>
      <c r="V362" s="19" t="s">
        <v>41</v>
      </c>
      <c r="W362" s="19">
        <v>1</v>
      </c>
      <c r="Y362" s="19" t="s">
        <v>110</v>
      </c>
      <c r="Z362" s="19">
        <v>16.664999999999999</v>
      </c>
      <c r="AA362" s="19">
        <v>16.664999999999999</v>
      </c>
    </row>
    <row r="363" spans="1:27" x14ac:dyDescent="0.25">
      <c r="A363" s="19" t="s">
        <v>509</v>
      </c>
      <c r="B363" s="19" t="s">
        <v>499</v>
      </c>
      <c r="C363" s="19">
        <v>43000</v>
      </c>
      <c r="D363" s="19">
        <v>0.92999999999999905</v>
      </c>
      <c r="E363" s="19" t="s">
        <v>69</v>
      </c>
      <c r="F363" s="19" t="s">
        <v>70</v>
      </c>
      <c r="G363" s="19" t="s">
        <v>32</v>
      </c>
      <c r="H363" s="19" t="s">
        <v>63</v>
      </c>
      <c r="I363" s="19" t="s">
        <v>64</v>
      </c>
      <c r="J363" s="19">
        <v>23</v>
      </c>
      <c r="K363" s="19">
        <v>1.8599999999999998E-2</v>
      </c>
      <c r="L363" s="19" t="s">
        <v>35</v>
      </c>
      <c r="M363" s="19" t="s">
        <v>142</v>
      </c>
      <c r="N363" s="19">
        <v>50</v>
      </c>
      <c r="O363" s="19">
        <v>50</v>
      </c>
      <c r="P363" s="19">
        <v>0</v>
      </c>
      <c r="Q363" s="19">
        <v>0</v>
      </c>
      <c r="S363" s="19">
        <v>1</v>
      </c>
      <c r="T363" s="19">
        <v>1</v>
      </c>
      <c r="U363" s="19">
        <v>0</v>
      </c>
      <c r="V363" s="19" t="s">
        <v>41</v>
      </c>
      <c r="W363" s="19">
        <v>1</v>
      </c>
      <c r="Y363" s="19" t="s">
        <v>142</v>
      </c>
      <c r="Z363" s="19">
        <v>50</v>
      </c>
      <c r="AA363" s="19">
        <v>50</v>
      </c>
    </row>
    <row r="364" spans="1:27" x14ac:dyDescent="0.25">
      <c r="A364" s="19" t="s">
        <v>510</v>
      </c>
      <c r="B364" s="19" t="s">
        <v>499</v>
      </c>
      <c r="C364" s="19">
        <v>43000</v>
      </c>
      <c r="D364" s="19">
        <v>0</v>
      </c>
      <c r="E364" s="19" t="s">
        <v>72</v>
      </c>
      <c r="F364" s="19" t="s">
        <v>73</v>
      </c>
      <c r="G364" s="19" t="s">
        <v>32</v>
      </c>
      <c r="H364" s="19" t="s">
        <v>63</v>
      </c>
      <c r="I364" s="19" t="s">
        <v>64</v>
      </c>
      <c r="J364" s="19">
        <v>21</v>
      </c>
      <c r="K364" s="19">
        <v>1.8599999999999998E-2</v>
      </c>
      <c r="L364" s="19" t="s">
        <v>35</v>
      </c>
      <c r="N364" s="19">
        <v>0</v>
      </c>
      <c r="O364" s="19">
        <v>0</v>
      </c>
      <c r="P364" s="19">
        <v>0</v>
      </c>
      <c r="Q364" s="19">
        <v>0</v>
      </c>
      <c r="S364" s="19">
        <v>1</v>
      </c>
      <c r="T364" s="19">
        <v>1</v>
      </c>
      <c r="U364" s="19">
        <v>0</v>
      </c>
      <c r="V364" s="19" t="s">
        <v>36</v>
      </c>
      <c r="W364" s="19">
        <v>0</v>
      </c>
      <c r="Z364" s="19">
        <v>0</v>
      </c>
      <c r="AA364" s="19">
        <v>0</v>
      </c>
    </row>
    <row r="365" spans="1:27" x14ac:dyDescent="0.25">
      <c r="A365" s="19" t="s">
        <v>511</v>
      </c>
      <c r="B365" s="19" t="s">
        <v>499</v>
      </c>
      <c r="C365" s="19">
        <v>43000</v>
      </c>
      <c r="D365" s="19">
        <v>0.61993799999999899</v>
      </c>
      <c r="E365" s="19" t="s">
        <v>75</v>
      </c>
      <c r="F365" s="19" t="s">
        <v>76</v>
      </c>
      <c r="G365" s="19" t="s">
        <v>32</v>
      </c>
      <c r="H365" s="19" t="s">
        <v>63</v>
      </c>
      <c r="I365" s="19" t="s">
        <v>64</v>
      </c>
      <c r="J365" s="19">
        <v>24</v>
      </c>
      <c r="K365" s="19">
        <v>1.8599999999999998E-2</v>
      </c>
      <c r="L365" s="19" t="s">
        <v>35</v>
      </c>
      <c r="M365" s="19" t="s">
        <v>40</v>
      </c>
      <c r="N365" s="19">
        <v>33.33</v>
      </c>
      <c r="O365" s="19">
        <v>33.33</v>
      </c>
      <c r="P365" s="19">
        <v>0</v>
      </c>
      <c r="Q365" s="19">
        <v>0</v>
      </c>
      <c r="S365" s="19">
        <v>1</v>
      </c>
      <c r="T365" s="19">
        <v>1</v>
      </c>
      <c r="U365" s="19">
        <v>0</v>
      </c>
      <c r="V365" s="19" t="s">
        <v>41</v>
      </c>
      <c r="W365" s="19">
        <v>1</v>
      </c>
      <c r="Y365" s="19" t="s">
        <v>40</v>
      </c>
      <c r="Z365" s="19">
        <v>33.33</v>
      </c>
      <c r="AA365" s="19">
        <v>33.33</v>
      </c>
    </row>
    <row r="366" spans="1:27" x14ac:dyDescent="0.25">
      <c r="A366" s="19" t="s">
        <v>512</v>
      </c>
      <c r="B366" s="19" t="s">
        <v>499</v>
      </c>
      <c r="C366" s="19">
        <v>43000</v>
      </c>
      <c r="D366" s="19">
        <v>0</v>
      </c>
      <c r="E366" s="19" t="s">
        <v>78</v>
      </c>
      <c r="F366" s="19" t="s">
        <v>79</v>
      </c>
      <c r="G366" s="19" t="s">
        <v>32</v>
      </c>
      <c r="H366" s="19" t="s">
        <v>63</v>
      </c>
      <c r="I366" s="19" t="s">
        <v>64</v>
      </c>
      <c r="J366" s="19">
        <v>25</v>
      </c>
      <c r="K366" s="19">
        <v>1.8599999999999998E-2</v>
      </c>
      <c r="L366" s="19" t="s">
        <v>35</v>
      </c>
      <c r="N366" s="19">
        <v>0</v>
      </c>
      <c r="O366" s="19">
        <v>0</v>
      </c>
      <c r="P366" s="19">
        <v>0</v>
      </c>
      <c r="Q366" s="19">
        <v>0</v>
      </c>
      <c r="S366" s="19">
        <v>1</v>
      </c>
      <c r="T366" s="19">
        <v>1</v>
      </c>
      <c r="U366" s="19">
        <v>0</v>
      </c>
      <c r="V366" s="19" t="s">
        <v>36</v>
      </c>
      <c r="W366" s="19">
        <v>0</v>
      </c>
      <c r="Z366" s="19">
        <v>0</v>
      </c>
      <c r="AA366" s="19">
        <v>0</v>
      </c>
    </row>
    <row r="367" spans="1:27" x14ac:dyDescent="0.25">
      <c r="A367" s="19" t="s">
        <v>513</v>
      </c>
      <c r="B367" s="19" t="s">
        <v>499</v>
      </c>
      <c r="C367" s="19">
        <v>43000</v>
      </c>
      <c r="D367" s="19">
        <v>0</v>
      </c>
      <c r="E367" s="19" t="s">
        <v>82</v>
      </c>
      <c r="F367" s="19" t="s">
        <v>83</v>
      </c>
      <c r="G367" s="19" t="s">
        <v>32</v>
      </c>
      <c r="H367" s="19" t="s">
        <v>63</v>
      </c>
      <c r="I367" s="19" t="s">
        <v>64</v>
      </c>
      <c r="J367" s="19">
        <v>26</v>
      </c>
      <c r="K367" s="19">
        <v>1.8599999999999998E-2</v>
      </c>
      <c r="L367" s="19" t="s">
        <v>35</v>
      </c>
      <c r="N367" s="19">
        <v>0</v>
      </c>
      <c r="O367" s="19">
        <v>0</v>
      </c>
      <c r="P367" s="19">
        <v>0</v>
      </c>
      <c r="Q367" s="19">
        <v>0</v>
      </c>
      <c r="S367" s="19">
        <v>1</v>
      </c>
      <c r="T367" s="19">
        <v>1</v>
      </c>
      <c r="U367" s="19">
        <v>0</v>
      </c>
      <c r="V367" s="19" t="s">
        <v>36</v>
      </c>
      <c r="W367" s="19">
        <v>0</v>
      </c>
      <c r="Z367" s="19">
        <v>0</v>
      </c>
      <c r="AA367" s="19">
        <v>0</v>
      </c>
    </row>
    <row r="368" spans="1:27" x14ac:dyDescent="0.25">
      <c r="A368" s="19" t="s">
        <v>514</v>
      </c>
      <c r="B368" s="19" t="s">
        <v>499</v>
      </c>
      <c r="C368" s="19">
        <v>43000</v>
      </c>
      <c r="D368" s="19">
        <v>1.625</v>
      </c>
      <c r="E368" s="19" t="s">
        <v>85</v>
      </c>
      <c r="F368" s="19" t="s">
        <v>86</v>
      </c>
      <c r="G368" s="19" t="s">
        <v>32</v>
      </c>
      <c r="H368" s="19" t="s">
        <v>87</v>
      </c>
      <c r="I368" s="19" t="s">
        <v>88</v>
      </c>
      <c r="J368" s="19">
        <v>35</v>
      </c>
      <c r="K368" s="19">
        <v>3.2500000000000001E-2</v>
      </c>
      <c r="L368" s="19" t="s">
        <v>35</v>
      </c>
      <c r="M368" s="19" t="s">
        <v>142</v>
      </c>
      <c r="N368" s="19">
        <v>50</v>
      </c>
      <c r="O368" s="19">
        <v>50</v>
      </c>
      <c r="P368" s="19">
        <v>0</v>
      </c>
      <c r="Q368" s="19">
        <v>0</v>
      </c>
      <c r="S368" s="19">
        <v>1</v>
      </c>
      <c r="T368" s="19">
        <v>1</v>
      </c>
      <c r="U368" s="19">
        <v>0</v>
      </c>
      <c r="V368" s="19" t="s">
        <v>41</v>
      </c>
      <c r="W368" s="19">
        <v>1</v>
      </c>
      <c r="Y368" s="19" t="s">
        <v>142</v>
      </c>
      <c r="Z368" s="19">
        <v>50</v>
      </c>
      <c r="AA368" s="19">
        <v>50</v>
      </c>
    </row>
    <row r="369" spans="1:27" x14ac:dyDescent="0.25">
      <c r="A369" s="19" t="s">
        <v>515</v>
      </c>
      <c r="B369" s="19" t="s">
        <v>499</v>
      </c>
      <c r="C369" s="19">
        <v>43000</v>
      </c>
      <c r="D369" s="19">
        <v>0.54161249999999905</v>
      </c>
      <c r="E369" s="19" t="s">
        <v>90</v>
      </c>
      <c r="F369" s="19" t="s">
        <v>91</v>
      </c>
      <c r="G369" s="19" t="s">
        <v>32</v>
      </c>
      <c r="H369" s="19" t="s">
        <v>87</v>
      </c>
      <c r="I369" s="19" t="s">
        <v>88</v>
      </c>
      <c r="J369" s="19">
        <v>33</v>
      </c>
      <c r="K369" s="19">
        <v>3.2500000000000001E-2</v>
      </c>
      <c r="L369" s="19" t="s">
        <v>35</v>
      </c>
      <c r="M369" s="19" t="s">
        <v>110</v>
      </c>
      <c r="N369" s="19">
        <v>16.664999999999999</v>
      </c>
      <c r="O369" s="19">
        <v>16.664999999999999</v>
      </c>
      <c r="P369" s="19">
        <v>0</v>
      </c>
      <c r="Q369" s="19">
        <v>0</v>
      </c>
      <c r="S369" s="19">
        <v>1</v>
      </c>
      <c r="T369" s="19">
        <v>1</v>
      </c>
      <c r="U369" s="19">
        <v>0</v>
      </c>
      <c r="V369" s="19" t="s">
        <v>41</v>
      </c>
      <c r="W369" s="19">
        <v>1</v>
      </c>
      <c r="Y369" s="19" t="s">
        <v>110</v>
      </c>
      <c r="Z369" s="19">
        <v>16.664999999999999</v>
      </c>
      <c r="AA369" s="19">
        <v>16.664999999999999</v>
      </c>
    </row>
    <row r="370" spans="1:27" x14ac:dyDescent="0.25">
      <c r="A370" s="19" t="s">
        <v>516</v>
      </c>
      <c r="B370" s="19" t="s">
        <v>499</v>
      </c>
      <c r="C370" s="19">
        <v>43000</v>
      </c>
      <c r="D370" s="19">
        <v>0.54161249999999905</v>
      </c>
      <c r="E370" s="19" t="s">
        <v>93</v>
      </c>
      <c r="F370" s="19" t="s">
        <v>94</v>
      </c>
      <c r="G370" s="19" t="s">
        <v>32</v>
      </c>
      <c r="H370" s="19" t="s">
        <v>87</v>
      </c>
      <c r="I370" s="19" t="s">
        <v>88</v>
      </c>
      <c r="J370" s="19">
        <v>34</v>
      </c>
      <c r="K370" s="19">
        <v>3.2500000000000001E-2</v>
      </c>
      <c r="L370" s="19" t="s">
        <v>35</v>
      </c>
      <c r="M370" s="19" t="s">
        <v>110</v>
      </c>
      <c r="N370" s="19">
        <v>16.664999999999999</v>
      </c>
      <c r="O370" s="19">
        <v>16.664999999999999</v>
      </c>
      <c r="P370" s="19">
        <v>0</v>
      </c>
      <c r="Q370" s="19">
        <v>0</v>
      </c>
      <c r="S370" s="19">
        <v>1</v>
      </c>
      <c r="T370" s="19">
        <v>1</v>
      </c>
      <c r="U370" s="19">
        <v>0</v>
      </c>
      <c r="V370" s="19" t="s">
        <v>41</v>
      </c>
      <c r="W370" s="19">
        <v>1</v>
      </c>
      <c r="Y370" s="19" t="s">
        <v>110</v>
      </c>
      <c r="Z370" s="19">
        <v>16.664999999999999</v>
      </c>
      <c r="AA370" s="19">
        <v>16.664999999999999</v>
      </c>
    </row>
    <row r="371" spans="1:27" x14ac:dyDescent="0.25">
      <c r="A371" s="19" t="s">
        <v>517</v>
      </c>
      <c r="B371" s="19" t="s">
        <v>499</v>
      </c>
      <c r="C371" s="19">
        <v>43000</v>
      </c>
      <c r="D371" s="19">
        <v>0</v>
      </c>
      <c r="E371" s="19" t="s">
        <v>96</v>
      </c>
      <c r="F371" s="19" t="s">
        <v>97</v>
      </c>
      <c r="G371" s="19" t="s">
        <v>32</v>
      </c>
      <c r="H371" s="19" t="s">
        <v>87</v>
      </c>
      <c r="I371" s="19" t="s">
        <v>88</v>
      </c>
      <c r="J371" s="19">
        <v>36</v>
      </c>
      <c r="K371" s="19">
        <v>3.2500000000000001E-2</v>
      </c>
      <c r="L371" s="19" t="s">
        <v>35</v>
      </c>
      <c r="N371" s="19">
        <v>0</v>
      </c>
      <c r="O371" s="19">
        <v>0</v>
      </c>
      <c r="P371" s="19">
        <v>0</v>
      </c>
      <c r="Q371" s="19">
        <v>0</v>
      </c>
      <c r="S371" s="19">
        <v>1</v>
      </c>
      <c r="T371" s="19">
        <v>1</v>
      </c>
      <c r="U371" s="19">
        <v>0</v>
      </c>
      <c r="V371" s="19" t="s">
        <v>36</v>
      </c>
      <c r="W371" s="19">
        <v>0</v>
      </c>
      <c r="Z371" s="19">
        <v>0</v>
      </c>
      <c r="AA371" s="19">
        <v>0</v>
      </c>
    </row>
    <row r="372" spans="1:27" x14ac:dyDescent="0.25">
      <c r="A372" s="19" t="s">
        <v>518</v>
      </c>
      <c r="B372" s="19" t="s">
        <v>499</v>
      </c>
      <c r="C372" s="19">
        <v>43000</v>
      </c>
      <c r="D372" s="19">
        <v>2.165</v>
      </c>
      <c r="E372" s="19" t="s">
        <v>99</v>
      </c>
      <c r="F372" s="19" t="s">
        <v>100</v>
      </c>
      <c r="G372" s="19" t="s">
        <v>32</v>
      </c>
      <c r="H372" s="19" t="s">
        <v>101</v>
      </c>
      <c r="I372" s="19" t="s">
        <v>102</v>
      </c>
      <c r="J372" s="19">
        <v>39</v>
      </c>
      <c r="K372" s="19">
        <v>4.3299999999999998E-2</v>
      </c>
      <c r="L372" s="19" t="s">
        <v>35</v>
      </c>
      <c r="M372" s="19" t="s">
        <v>103</v>
      </c>
      <c r="N372" s="19">
        <v>50</v>
      </c>
      <c r="O372" s="19">
        <v>50</v>
      </c>
      <c r="P372" s="19">
        <v>0</v>
      </c>
      <c r="Q372" s="19">
        <v>0</v>
      </c>
      <c r="S372" s="19">
        <v>1</v>
      </c>
      <c r="T372" s="19">
        <v>1</v>
      </c>
      <c r="U372" s="19">
        <v>0</v>
      </c>
      <c r="V372" s="19" t="s">
        <v>41</v>
      </c>
      <c r="W372" s="19">
        <v>1</v>
      </c>
      <c r="Y372" s="19" t="s">
        <v>103</v>
      </c>
      <c r="Z372" s="19">
        <v>50</v>
      </c>
      <c r="AA372" s="19">
        <v>50</v>
      </c>
    </row>
    <row r="373" spans="1:27" x14ac:dyDescent="0.25">
      <c r="A373" s="19" t="s">
        <v>519</v>
      </c>
      <c r="B373" s="19" t="s">
        <v>499</v>
      </c>
      <c r="C373" s="19">
        <v>43000</v>
      </c>
      <c r="D373" s="19">
        <v>2.165</v>
      </c>
      <c r="E373" s="19" t="s">
        <v>105</v>
      </c>
      <c r="F373" s="19" t="s">
        <v>106</v>
      </c>
      <c r="G373" s="19" t="s">
        <v>32</v>
      </c>
      <c r="H373" s="19" t="s">
        <v>101</v>
      </c>
      <c r="I373" s="19" t="s">
        <v>102</v>
      </c>
      <c r="J373" s="19">
        <v>38</v>
      </c>
      <c r="K373" s="19">
        <v>4.3299999999999998E-2</v>
      </c>
      <c r="L373" s="19" t="s">
        <v>35</v>
      </c>
      <c r="M373" s="19" t="s">
        <v>103</v>
      </c>
      <c r="N373" s="19">
        <v>50</v>
      </c>
      <c r="O373" s="19">
        <v>50</v>
      </c>
      <c r="P373" s="19">
        <v>0</v>
      </c>
      <c r="Q373" s="19">
        <v>0</v>
      </c>
      <c r="S373" s="19">
        <v>1</v>
      </c>
      <c r="T373" s="19">
        <v>1</v>
      </c>
      <c r="U373" s="19">
        <v>0</v>
      </c>
      <c r="V373" s="19" t="s">
        <v>41</v>
      </c>
      <c r="W373" s="19">
        <v>1</v>
      </c>
      <c r="Y373" s="19" t="s">
        <v>103</v>
      </c>
      <c r="Z373" s="19">
        <v>50</v>
      </c>
      <c r="AA373" s="19">
        <v>50</v>
      </c>
    </row>
    <row r="374" spans="1:27" x14ac:dyDescent="0.25">
      <c r="A374" s="19" t="s">
        <v>520</v>
      </c>
      <c r="B374" s="19" t="s">
        <v>499</v>
      </c>
      <c r="C374" s="19">
        <v>43000</v>
      </c>
      <c r="D374" s="19">
        <v>0.72159449999999903</v>
      </c>
      <c r="E374" s="19" t="s">
        <v>108</v>
      </c>
      <c r="F374" s="19" t="s">
        <v>109</v>
      </c>
      <c r="G374" s="19" t="s">
        <v>32</v>
      </c>
      <c r="H374" s="19" t="s">
        <v>101</v>
      </c>
      <c r="I374" s="19" t="s">
        <v>102</v>
      </c>
      <c r="J374" s="19">
        <v>37</v>
      </c>
      <c r="K374" s="19">
        <v>4.3299999999999998E-2</v>
      </c>
      <c r="L374" s="19" t="s">
        <v>35</v>
      </c>
      <c r="M374" s="19" t="s">
        <v>110</v>
      </c>
      <c r="N374" s="19">
        <v>16.664999999999999</v>
      </c>
      <c r="O374" s="19">
        <v>16.664999999999999</v>
      </c>
      <c r="P374" s="19">
        <v>0</v>
      </c>
      <c r="Q374" s="19">
        <v>0</v>
      </c>
      <c r="S374" s="19">
        <v>1</v>
      </c>
      <c r="T374" s="19">
        <v>1</v>
      </c>
      <c r="U374" s="19">
        <v>0</v>
      </c>
      <c r="V374" s="19" t="s">
        <v>41</v>
      </c>
      <c r="W374" s="19">
        <v>1</v>
      </c>
      <c r="Y374" s="19" t="s">
        <v>110</v>
      </c>
      <c r="Z374" s="19">
        <v>16.664999999999999</v>
      </c>
      <c r="AA374" s="19">
        <v>16.664999999999999</v>
      </c>
    </row>
    <row r="375" spans="1:27" x14ac:dyDescent="0.25">
      <c r="A375" s="19" t="s">
        <v>521</v>
      </c>
      <c r="B375" s="19" t="s">
        <v>499</v>
      </c>
      <c r="C375" s="19">
        <v>43000</v>
      </c>
      <c r="D375" s="19">
        <v>1.085</v>
      </c>
      <c r="E375" s="19" t="s">
        <v>112</v>
      </c>
      <c r="F375" s="19" t="s">
        <v>113</v>
      </c>
      <c r="G375" s="19" t="s">
        <v>32</v>
      </c>
      <c r="H375" s="19" t="s">
        <v>114</v>
      </c>
      <c r="I375" s="19" t="s">
        <v>115</v>
      </c>
      <c r="J375" s="19">
        <v>30</v>
      </c>
      <c r="K375" s="19">
        <v>2.1700000000000001E-2</v>
      </c>
      <c r="L375" s="19" t="s">
        <v>35</v>
      </c>
      <c r="M375" s="19" t="s">
        <v>103</v>
      </c>
      <c r="N375" s="19">
        <v>50</v>
      </c>
      <c r="O375" s="19">
        <v>50</v>
      </c>
      <c r="P375" s="19">
        <v>0</v>
      </c>
      <c r="Q375" s="19">
        <v>0</v>
      </c>
      <c r="S375" s="19">
        <v>1</v>
      </c>
      <c r="T375" s="19">
        <v>1</v>
      </c>
      <c r="U375" s="19">
        <v>0</v>
      </c>
      <c r="V375" s="19" t="s">
        <v>41</v>
      </c>
      <c r="W375" s="19">
        <v>1</v>
      </c>
      <c r="Y375" s="19" t="s">
        <v>103</v>
      </c>
      <c r="Z375" s="19">
        <v>50</v>
      </c>
      <c r="AA375" s="19">
        <v>50</v>
      </c>
    </row>
    <row r="376" spans="1:27" x14ac:dyDescent="0.25">
      <c r="A376" s="19" t="s">
        <v>522</v>
      </c>
      <c r="B376" s="19" t="s">
        <v>499</v>
      </c>
      <c r="C376" s="19">
        <v>43000</v>
      </c>
      <c r="D376" s="19">
        <v>0</v>
      </c>
      <c r="E376" s="19" t="s">
        <v>117</v>
      </c>
      <c r="F376" s="19" t="s">
        <v>118</v>
      </c>
      <c r="G376" s="19" t="s">
        <v>32</v>
      </c>
      <c r="H376" s="19" t="s">
        <v>114</v>
      </c>
      <c r="I376" s="19" t="s">
        <v>115</v>
      </c>
      <c r="J376" s="19">
        <v>31</v>
      </c>
      <c r="K376" s="19">
        <v>2.1700000000000001E-2</v>
      </c>
      <c r="L376" s="19" t="s">
        <v>35</v>
      </c>
      <c r="M376" s="19" t="s">
        <v>103</v>
      </c>
      <c r="N376" s="19">
        <v>0</v>
      </c>
      <c r="O376" s="19">
        <v>0</v>
      </c>
      <c r="P376" s="19">
        <v>0</v>
      </c>
      <c r="Q376" s="19">
        <v>0</v>
      </c>
      <c r="S376" s="19">
        <v>1</v>
      </c>
      <c r="T376" s="19">
        <v>1</v>
      </c>
      <c r="U376" s="19">
        <v>0</v>
      </c>
      <c r="V376" s="19" t="s">
        <v>36</v>
      </c>
      <c r="W376" s="19">
        <v>0</v>
      </c>
      <c r="Y376" s="19" t="s">
        <v>103</v>
      </c>
      <c r="Z376" s="19">
        <v>50</v>
      </c>
      <c r="AA376" s="19">
        <v>0</v>
      </c>
    </row>
    <row r="377" spans="1:27" x14ac:dyDescent="0.25">
      <c r="A377" s="19" t="s">
        <v>523</v>
      </c>
      <c r="B377" s="19" t="s">
        <v>499</v>
      </c>
      <c r="C377" s="19">
        <v>43000</v>
      </c>
      <c r="D377" s="19">
        <v>1.085</v>
      </c>
      <c r="E377" s="19" t="s">
        <v>120</v>
      </c>
      <c r="F377" s="19" t="s">
        <v>121</v>
      </c>
      <c r="G377" s="19" t="s">
        <v>32</v>
      </c>
      <c r="H377" s="19" t="s">
        <v>114</v>
      </c>
      <c r="I377" s="19" t="s">
        <v>115</v>
      </c>
      <c r="J377" s="19">
        <v>28</v>
      </c>
      <c r="K377" s="19">
        <v>2.1700000000000001E-2</v>
      </c>
      <c r="L377" s="19" t="s">
        <v>35</v>
      </c>
      <c r="M377" s="19" t="s">
        <v>103</v>
      </c>
      <c r="N377" s="19">
        <v>50</v>
      </c>
      <c r="O377" s="19">
        <v>50</v>
      </c>
      <c r="P377" s="19">
        <v>0</v>
      </c>
      <c r="Q377" s="19">
        <v>0</v>
      </c>
      <c r="S377" s="19">
        <v>1</v>
      </c>
      <c r="T377" s="19">
        <v>1</v>
      </c>
      <c r="U377" s="19">
        <v>0</v>
      </c>
      <c r="V377" s="19" t="s">
        <v>41</v>
      </c>
      <c r="W377" s="19">
        <v>1</v>
      </c>
      <c r="Y377" s="19" t="s">
        <v>103</v>
      </c>
      <c r="Z377" s="19">
        <v>50</v>
      </c>
      <c r="AA377" s="19">
        <v>50</v>
      </c>
    </row>
    <row r="378" spans="1:27" x14ac:dyDescent="0.25">
      <c r="A378" s="19" t="s">
        <v>524</v>
      </c>
      <c r="B378" s="19" t="s">
        <v>499</v>
      </c>
      <c r="C378" s="19">
        <v>43000</v>
      </c>
      <c r="D378" s="19">
        <v>1.085</v>
      </c>
      <c r="E378" s="19" t="s">
        <v>123</v>
      </c>
      <c r="F378" s="19" t="s">
        <v>124</v>
      </c>
      <c r="G378" s="19" t="s">
        <v>32</v>
      </c>
      <c r="H378" s="19" t="s">
        <v>114</v>
      </c>
      <c r="I378" s="19" t="s">
        <v>115</v>
      </c>
      <c r="J378" s="19">
        <v>27</v>
      </c>
      <c r="K378" s="19">
        <v>2.1700000000000001E-2</v>
      </c>
      <c r="L378" s="19" t="s">
        <v>35</v>
      </c>
      <c r="M378" s="19" t="s">
        <v>103</v>
      </c>
      <c r="N378" s="19">
        <v>50</v>
      </c>
      <c r="O378" s="19">
        <v>50</v>
      </c>
      <c r="P378" s="19">
        <v>0</v>
      </c>
      <c r="Q378" s="19">
        <v>0</v>
      </c>
      <c r="S378" s="19">
        <v>1</v>
      </c>
      <c r="T378" s="19">
        <v>1</v>
      </c>
      <c r="U378" s="19">
        <v>0</v>
      </c>
      <c r="V378" s="19" t="s">
        <v>41</v>
      </c>
      <c r="W378" s="19">
        <v>1</v>
      </c>
      <c r="Y378" s="19" t="s">
        <v>103</v>
      </c>
      <c r="Z378" s="19">
        <v>50</v>
      </c>
      <c r="AA378" s="19">
        <v>50</v>
      </c>
    </row>
    <row r="379" spans="1:27" x14ac:dyDescent="0.25">
      <c r="A379" s="19" t="s">
        <v>525</v>
      </c>
      <c r="B379" s="19" t="s">
        <v>499</v>
      </c>
      <c r="C379" s="19">
        <v>43000</v>
      </c>
      <c r="D379" s="19">
        <v>1.085</v>
      </c>
      <c r="E379" s="19" t="s">
        <v>126</v>
      </c>
      <c r="F379" s="19" t="s">
        <v>127</v>
      </c>
      <c r="G379" s="19" t="s">
        <v>32</v>
      </c>
      <c r="H379" s="19" t="s">
        <v>114</v>
      </c>
      <c r="I379" s="19" t="s">
        <v>115</v>
      </c>
      <c r="J379" s="19">
        <v>29</v>
      </c>
      <c r="K379" s="19">
        <v>2.1700000000000001E-2</v>
      </c>
      <c r="L379" s="19" t="s">
        <v>35</v>
      </c>
      <c r="M379" s="19" t="s">
        <v>103</v>
      </c>
      <c r="N379" s="19">
        <v>50</v>
      </c>
      <c r="O379" s="19">
        <v>50</v>
      </c>
      <c r="P379" s="19">
        <v>0</v>
      </c>
      <c r="Q379" s="19">
        <v>0</v>
      </c>
      <c r="S379" s="19">
        <v>1</v>
      </c>
      <c r="T379" s="19">
        <v>1</v>
      </c>
      <c r="U379" s="19">
        <v>0</v>
      </c>
      <c r="V379" s="19" t="s">
        <v>41</v>
      </c>
      <c r="W379" s="19">
        <v>1</v>
      </c>
      <c r="Y379" s="19" t="s">
        <v>103</v>
      </c>
      <c r="Z379" s="19">
        <v>50</v>
      </c>
      <c r="AA379" s="19">
        <v>50</v>
      </c>
    </row>
    <row r="380" spans="1:27" x14ac:dyDescent="0.25">
      <c r="A380" s="19" t="s">
        <v>526</v>
      </c>
      <c r="B380" s="19" t="s">
        <v>499</v>
      </c>
      <c r="C380" s="19">
        <v>43000</v>
      </c>
      <c r="D380" s="19">
        <v>0</v>
      </c>
      <c r="E380" s="19" t="s">
        <v>129</v>
      </c>
      <c r="F380" s="19" t="s">
        <v>130</v>
      </c>
      <c r="G380" s="19" t="s">
        <v>32</v>
      </c>
      <c r="H380" s="19" t="s">
        <v>114</v>
      </c>
      <c r="I380" s="19" t="s">
        <v>115</v>
      </c>
      <c r="J380" s="19">
        <v>32</v>
      </c>
      <c r="K380" s="19">
        <v>2.1700000000000001E-2</v>
      </c>
      <c r="L380" s="19" t="s">
        <v>35</v>
      </c>
      <c r="M380" s="19" t="s">
        <v>103</v>
      </c>
      <c r="N380" s="19">
        <v>0</v>
      </c>
      <c r="O380" s="19">
        <v>0</v>
      </c>
      <c r="P380" s="19">
        <v>0</v>
      </c>
      <c r="Q380" s="19">
        <v>0</v>
      </c>
      <c r="S380" s="19">
        <v>1</v>
      </c>
      <c r="T380" s="19">
        <v>1</v>
      </c>
      <c r="U380" s="19">
        <v>0</v>
      </c>
      <c r="V380" s="19" t="s">
        <v>80</v>
      </c>
      <c r="W380" s="19">
        <v>0</v>
      </c>
      <c r="Y380" s="19" t="s">
        <v>103</v>
      </c>
      <c r="Z380" s="19">
        <v>50</v>
      </c>
      <c r="AA380" s="19">
        <v>0</v>
      </c>
    </row>
    <row r="381" spans="1:27" x14ac:dyDescent="0.25">
      <c r="A381" s="19" t="s">
        <v>527</v>
      </c>
      <c r="B381" s="19" t="s">
        <v>499</v>
      </c>
      <c r="C381" s="19">
        <v>43000</v>
      </c>
      <c r="D381" s="19">
        <v>2.085</v>
      </c>
      <c r="E381" s="19" t="s">
        <v>132</v>
      </c>
      <c r="F381" s="19" t="s">
        <v>133</v>
      </c>
      <c r="G381" s="19" t="s">
        <v>134</v>
      </c>
      <c r="H381" s="19" t="s">
        <v>87</v>
      </c>
      <c r="I381" s="19" t="s">
        <v>135</v>
      </c>
      <c r="J381" s="19">
        <v>11</v>
      </c>
      <c r="K381" s="19">
        <v>4.1700000000000001E-2</v>
      </c>
      <c r="L381" s="19" t="s">
        <v>35</v>
      </c>
      <c r="M381" s="19" t="s">
        <v>103</v>
      </c>
      <c r="N381" s="19">
        <v>50</v>
      </c>
      <c r="O381" s="19">
        <v>50</v>
      </c>
      <c r="P381" s="19">
        <v>0</v>
      </c>
      <c r="Q381" s="19">
        <v>0</v>
      </c>
      <c r="S381" s="19">
        <v>1</v>
      </c>
      <c r="T381" s="19">
        <v>1</v>
      </c>
      <c r="U381" s="19">
        <v>0</v>
      </c>
      <c r="V381" s="19" t="s">
        <v>41</v>
      </c>
      <c r="W381" s="19">
        <v>1</v>
      </c>
      <c r="Y381" s="19" t="s">
        <v>103</v>
      </c>
      <c r="Z381" s="19">
        <v>50</v>
      </c>
      <c r="AA381" s="19">
        <v>50</v>
      </c>
    </row>
    <row r="382" spans="1:27" x14ac:dyDescent="0.25">
      <c r="A382" s="19" t="s">
        <v>528</v>
      </c>
      <c r="B382" s="19" t="s">
        <v>499</v>
      </c>
      <c r="C382" s="19">
        <v>43000</v>
      </c>
      <c r="D382" s="19">
        <v>0.69493050000000001</v>
      </c>
      <c r="E382" s="19" t="s">
        <v>137</v>
      </c>
      <c r="F382" s="19" t="s">
        <v>138</v>
      </c>
      <c r="G382" s="19" t="s">
        <v>134</v>
      </c>
      <c r="H382" s="19" t="s">
        <v>87</v>
      </c>
      <c r="I382" s="19" t="s">
        <v>135</v>
      </c>
      <c r="J382" s="19">
        <v>9</v>
      </c>
      <c r="K382" s="19">
        <v>4.1700000000000001E-2</v>
      </c>
      <c r="L382" s="19" t="s">
        <v>35</v>
      </c>
      <c r="M382" s="19" t="s">
        <v>110</v>
      </c>
      <c r="N382" s="19">
        <v>16.664999999999999</v>
      </c>
      <c r="O382" s="19">
        <v>16.664999999999999</v>
      </c>
      <c r="P382" s="19">
        <v>0</v>
      </c>
      <c r="Q382" s="19">
        <v>0</v>
      </c>
      <c r="S382" s="19">
        <v>1</v>
      </c>
      <c r="T382" s="19">
        <v>1</v>
      </c>
      <c r="U382" s="19">
        <v>0</v>
      </c>
      <c r="W382" s="19">
        <v>0</v>
      </c>
      <c r="X382" s="19">
        <v>3</v>
      </c>
      <c r="Y382" s="19" t="s">
        <v>110</v>
      </c>
      <c r="Z382" s="19">
        <v>16.664999999999999</v>
      </c>
      <c r="AA382" s="19">
        <v>16.664999999999999</v>
      </c>
    </row>
    <row r="383" spans="1:27" x14ac:dyDescent="0.25">
      <c r="A383" s="19" t="s">
        <v>529</v>
      </c>
      <c r="B383" s="19" t="s">
        <v>499</v>
      </c>
      <c r="C383" s="19">
        <v>43000</v>
      </c>
      <c r="D383" s="19">
        <v>0</v>
      </c>
      <c r="E383" s="19" t="s">
        <v>140</v>
      </c>
      <c r="F383" s="19" t="s">
        <v>141</v>
      </c>
      <c r="G383" s="19" t="s">
        <v>134</v>
      </c>
      <c r="H383" s="19" t="s">
        <v>87</v>
      </c>
      <c r="I383" s="19" t="s">
        <v>135</v>
      </c>
      <c r="J383" s="19">
        <v>10</v>
      </c>
      <c r="K383" s="19">
        <v>4.1700000000000001E-2</v>
      </c>
      <c r="L383" s="19" t="s">
        <v>35</v>
      </c>
      <c r="N383" s="19">
        <v>0</v>
      </c>
      <c r="O383" s="19">
        <v>0</v>
      </c>
      <c r="P383" s="19">
        <v>0</v>
      </c>
      <c r="Q383" s="19">
        <v>0</v>
      </c>
      <c r="S383" s="19">
        <v>1</v>
      </c>
      <c r="T383" s="19">
        <v>1</v>
      </c>
      <c r="U383" s="19">
        <v>0</v>
      </c>
      <c r="W383" s="19">
        <v>0</v>
      </c>
      <c r="X383" s="19">
        <v>0</v>
      </c>
      <c r="Z383" s="19">
        <v>0</v>
      </c>
      <c r="AA383" s="19">
        <v>0</v>
      </c>
    </row>
    <row r="384" spans="1:27" x14ac:dyDescent="0.25">
      <c r="A384" s="19" t="s">
        <v>530</v>
      </c>
      <c r="B384" s="19" t="s">
        <v>499</v>
      </c>
      <c r="C384" s="19">
        <v>43000</v>
      </c>
      <c r="D384" s="19">
        <v>1.25</v>
      </c>
      <c r="E384" s="19" t="s">
        <v>144</v>
      </c>
      <c r="F384" s="19" t="s">
        <v>145</v>
      </c>
      <c r="G384" s="19" t="s">
        <v>134</v>
      </c>
      <c r="H384" s="19" t="s">
        <v>146</v>
      </c>
      <c r="I384" s="19" t="s">
        <v>147</v>
      </c>
      <c r="J384" s="19">
        <v>4</v>
      </c>
      <c r="K384" s="19">
        <v>2.5000000000000001E-2</v>
      </c>
      <c r="L384" s="19" t="s">
        <v>35</v>
      </c>
      <c r="M384" s="19" t="s">
        <v>103</v>
      </c>
      <c r="N384" s="19">
        <v>50</v>
      </c>
      <c r="O384" s="19">
        <v>50</v>
      </c>
      <c r="P384" s="19">
        <v>0</v>
      </c>
      <c r="Q384" s="19">
        <v>0</v>
      </c>
      <c r="S384" s="19">
        <v>1</v>
      </c>
      <c r="T384" s="19">
        <v>1</v>
      </c>
      <c r="U384" s="19">
        <v>0</v>
      </c>
      <c r="V384" s="19" t="s">
        <v>41</v>
      </c>
      <c r="W384" s="19">
        <v>1</v>
      </c>
      <c r="Y384" s="19" t="s">
        <v>103</v>
      </c>
      <c r="Z384" s="19">
        <v>50</v>
      </c>
      <c r="AA384" s="19">
        <v>50</v>
      </c>
    </row>
    <row r="385" spans="1:27" x14ac:dyDescent="0.25">
      <c r="A385" s="19" t="s">
        <v>531</v>
      </c>
      <c r="B385" s="19" t="s">
        <v>499</v>
      </c>
      <c r="C385" s="19">
        <v>43000</v>
      </c>
      <c r="D385" s="19">
        <v>1.25</v>
      </c>
      <c r="E385" s="19" t="s">
        <v>149</v>
      </c>
      <c r="F385" s="19" t="s">
        <v>150</v>
      </c>
      <c r="G385" s="19" t="s">
        <v>134</v>
      </c>
      <c r="H385" s="19" t="s">
        <v>146</v>
      </c>
      <c r="I385" s="19" t="s">
        <v>147</v>
      </c>
      <c r="J385" s="19">
        <v>5</v>
      </c>
      <c r="K385" s="19">
        <v>2.5000000000000001E-2</v>
      </c>
      <c r="L385" s="19" t="s">
        <v>35</v>
      </c>
      <c r="M385" s="19" t="s">
        <v>103</v>
      </c>
      <c r="N385" s="19">
        <v>50</v>
      </c>
      <c r="O385" s="19">
        <v>50</v>
      </c>
      <c r="P385" s="19">
        <v>0</v>
      </c>
      <c r="Q385" s="19">
        <v>0</v>
      </c>
      <c r="S385" s="19">
        <v>1</v>
      </c>
      <c r="T385" s="19">
        <v>1</v>
      </c>
      <c r="U385" s="19">
        <v>0</v>
      </c>
      <c r="V385" s="19" t="s">
        <v>41</v>
      </c>
      <c r="W385" s="19">
        <v>1</v>
      </c>
      <c r="Y385" s="19" t="s">
        <v>103</v>
      </c>
      <c r="Z385" s="19">
        <v>50</v>
      </c>
      <c r="AA385" s="19">
        <v>50</v>
      </c>
    </row>
    <row r="386" spans="1:27" x14ac:dyDescent="0.25">
      <c r="A386" s="19" t="s">
        <v>532</v>
      </c>
      <c r="B386" s="19" t="s">
        <v>499</v>
      </c>
      <c r="C386" s="19">
        <v>43000</v>
      </c>
      <c r="D386" s="19">
        <v>1.25</v>
      </c>
      <c r="E386" s="19" t="s">
        <v>152</v>
      </c>
      <c r="F386" s="19" t="s">
        <v>153</v>
      </c>
      <c r="G386" s="19" t="s">
        <v>134</v>
      </c>
      <c r="H386" s="19" t="s">
        <v>146</v>
      </c>
      <c r="I386" s="19" t="s">
        <v>147</v>
      </c>
      <c r="J386" s="19">
        <v>6</v>
      </c>
      <c r="K386" s="19">
        <v>2.5000000000000001E-2</v>
      </c>
      <c r="L386" s="19" t="s">
        <v>35</v>
      </c>
      <c r="M386" s="19" t="s">
        <v>103</v>
      </c>
      <c r="N386" s="19">
        <v>50</v>
      </c>
      <c r="O386" s="19">
        <v>50</v>
      </c>
      <c r="P386" s="19">
        <v>0</v>
      </c>
      <c r="Q386" s="19">
        <v>0</v>
      </c>
      <c r="S386" s="19">
        <v>1</v>
      </c>
      <c r="T386" s="19">
        <v>1</v>
      </c>
      <c r="U386" s="19">
        <v>0</v>
      </c>
      <c r="V386" s="19" t="s">
        <v>41</v>
      </c>
      <c r="W386" s="19">
        <v>1</v>
      </c>
      <c r="Y386" s="19" t="s">
        <v>103</v>
      </c>
      <c r="Z386" s="19">
        <v>50</v>
      </c>
      <c r="AA386" s="19">
        <v>50</v>
      </c>
    </row>
    <row r="387" spans="1:27" x14ac:dyDescent="0.25">
      <c r="A387" s="19" t="s">
        <v>533</v>
      </c>
      <c r="B387" s="19" t="s">
        <v>499</v>
      </c>
      <c r="C387" s="19">
        <v>43000</v>
      </c>
      <c r="D387" s="19">
        <v>1.25</v>
      </c>
      <c r="E387" s="19" t="s">
        <v>155</v>
      </c>
      <c r="F387" s="19" t="s">
        <v>156</v>
      </c>
      <c r="G387" s="19" t="s">
        <v>134</v>
      </c>
      <c r="H387" s="19" t="s">
        <v>146</v>
      </c>
      <c r="I387" s="19" t="s">
        <v>147</v>
      </c>
      <c r="J387" s="19">
        <v>7</v>
      </c>
      <c r="K387" s="19">
        <v>2.5000000000000001E-2</v>
      </c>
      <c r="L387" s="19" t="s">
        <v>35</v>
      </c>
      <c r="M387" s="19" t="s">
        <v>103</v>
      </c>
      <c r="N387" s="19">
        <v>50</v>
      </c>
      <c r="O387" s="19">
        <v>50</v>
      </c>
      <c r="P387" s="19">
        <v>0</v>
      </c>
      <c r="Q387" s="19">
        <v>0</v>
      </c>
      <c r="S387" s="19">
        <v>1</v>
      </c>
      <c r="T387" s="19">
        <v>1</v>
      </c>
      <c r="U387" s="19">
        <v>0</v>
      </c>
      <c r="V387" s="19" t="s">
        <v>41</v>
      </c>
      <c r="W387" s="19">
        <v>1</v>
      </c>
      <c r="Y387" s="19" t="s">
        <v>103</v>
      </c>
      <c r="Z387" s="19">
        <v>50</v>
      </c>
      <c r="AA387" s="19">
        <v>50</v>
      </c>
    </row>
    <row r="388" spans="1:27" x14ac:dyDescent="0.25">
      <c r="A388" s="19" t="s">
        <v>534</v>
      </c>
      <c r="B388" s="19" t="s">
        <v>499</v>
      </c>
      <c r="C388" s="19">
        <v>43000</v>
      </c>
      <c r="D388" s="19">
        <v>1.25</v>
      </c>
      <c r="E388" s="19" t="s">
        <v>158</v>
      </c>
      <c r="F388" s="19" t="s">
        <v>159</v>
      </c>
      <c r="G388" s="19" t="s">
        <v>134</v>
      </c>
      <c r="H388" s="19" t="s">
        <v>146</v>
      </c>
      <c r="I388" s="19" t="s">
        <v>147</v>
      </c>
      <c r="J388" s="19">
        <v>8</v>
      </c>
      <c r="K388" s="19">
        <v>2.5000000000000001E-2</v>
      </c>
      <c r="L388" s="19" t="s">
        <v>35</v>
      </c>
      <c r="M388" s="19" t="s">
        <v>103</v>
      </c>
      <c r="N388" s="19">
        <v>50</v>
      </c>
      <c r="O388" s="19">
        <v>50</v>
      </c>
      <c r="P388" s="19">
        <v>0</v>
      </c>
      <c r="Q388" s="19">
        <v>0</v>
      </c>
      <c r="S388" s="19">
        <v>1</v>
      </c>
      <c r="T388" s="19">
        <v>1</v>
      </c>
      <c r="U388" s="19">
        <v>0</v>
      </c>
      <c r="V388" s="19" t="s">
        <v>41</v>
      </c>
      <c r="W388" s="19">
        <v>1</v>
      </c>
      <c r="Y388" s="19" t="s">
        <v>103</v>
      </c>
      <c r="Z388" s="19">
        <v>50</v>
      </c>
      <c r="AA388" s="19">
        <v>50</v>
      </c>
    </row>
    <row r="389" spans="1:27" x14ac:dyDescent="0.25">
      <c r="A389" s="19" t="s">
        <v>535</v>
      </c>
      <c r="B389" s="19" t="s">
        <v>499</v>
      </c>
      <c r="C389" s="19">
        <v>43000</v>
      </c>
      <c r="D389" s="19">
        <v>1.1098889999999999</v>
      </c>
      <c r="E389" s="19" t="s">
        <v>161</v>
      </c>
      <c r="F389" s="19" t="s">
        <v>162</v>
      </c>
      <c r="G389" s="19" t="s">
        <v>163</v>
      </c>
      <c r="I389" s="19" t="s">
        <v>164</v>
      </c>
      <c r="J389" s="19">
        <v>1</v>
      </c>
      <c r="K389" s="19">
        <v>3.3300000000000003E-2</v>
      </c>
      <c r="L389" s="19" t="s">
        <v>35</v>
      </c>
      <c r="M389" s="19" t="s">
        <v>165</v>
      </c>
      <c r="N389" s="19">
        <v>33.33</v>
      </c>
      <c r="O389" s="19">
        <v>33.33</v>
      </c>
      <c r="P389" s="19">
        <v>0</v>
      </c>
      <c r="Q389" s="19">
        <v>0</v>
      </c>
      <c r="S389" s="19">
        <v>1</v>
      </c>
      <c r="T389" s="19">
        <v>1</v>
      </c>
      <c r="U389" s="19">
        <v>0</v>
      </c>
      <c r="W389" s="19">
        <v>0</v>
      </c>
      <c r="X389" s="19">
        <v>33.33</v>
      </c>
      <c r="Z389" s="19">
        <v>0</v>
      </c>
      <c r="AA389" s="19">
        <v>33.33</v>
      </c>
    </row>
    <row r="390" spans="1:27" x14ac:dyDescent="0.25">
      <c r="A390" s="19" t="s">
        <v>536</v>
      </c>
      <c r="B390" s="19" t="s">
        <v>499</v>
      </c>
      <c r="C390" s="19">
        <v>43000</v>
      </c>
      <c r="D390" s="19">
        <v>2.2197779999999998</v>
      </c>
      <c r="E390" s="19" t="s">
        <v>167</v>
      </c>
      <c r="F390" s="19" t="s">
        <v>168</v>
      </c>
      <c r="G390" s="19" t="s">
        <v>163</v>
      </c>
      <c r="I390" s="19" t="s">
        <v>164</v>
      </c>
      <c r="J390" s="19">
        <v>3</v>
      </c>
      <c r="K390" s="19">
        <v>3.3300000000000003E-2</v>
      </c>
      <c r="L390" s="19" t="s">
        <v>35</v>
      </c>
      <c r="M390" s="19" t="s">
        <v>165</v>
      </c>
      <c r="N390" s="19">
        <v>66.66</v>
      </c>
      <c r="O390" s="19">
        <v>66.66</v>
      </c>
      <c r="P390" s="19">
        <v>0</v>
      </c>
      <c r="Q390" s="19">
        <v>0</v>
      </c>
      <c r="S390" s="19">
        <v>1</v>
      </c>
      <c r="T390" s="19">
        <v>1</v>
      </c>
      <c r="U390" s="19">
        <v>0</v>
      </c>
      <c r="W390" s="19">
        <v>0</v>
      </c>
      <c r="X390" s="19">
        <v>66.66</v>
      </c>
      <c r="Z390" s="19">
        <v>0</v>
      </c>
      <c r="AA390" s="19">
        <v>66.66</v>
      </c>
    </row>
    <row r="391" spans="1:27" x14ac:dyDescent="0.25">
      <c r="A391" s="19" t="s">
        <v>537</v>
      </c>
      <c r="B391" s="19" t="s">
        <v>499</v>
      </c>
      <c r="C391" s="19">
        <v>43000</v>
      </c>
      <c r="D391" s="19">
        <v>0</v>
      </c>
      <c r="E391" s="19" t="s">
        <v>170</v>
      </c>
      <c r="F391" s="19" t="s">
        <v>171</v>
      </c>
      <c r="G391" s="19" t="s">
        <v>163</v>
      </c>
      <c r="I391" s="19" t="s">
        <v>164</v>
      </c>
      <c r="J391" s="19">
        <v>2</v>
      </c>
      <c r="K391" s="19">
        <v>3.3300000000000003E-2</v>
      </c>
      <c r="L391" s="19" t="s">
        <v>35</v>
      </c>
      <c r="M391" s="19" t="s">
        <v>165</v>
      </c>
      <c r="N391" s="19">
        <v>0</v>
      </c>
      <c r="O391" s="19">
        <v>0</v>
      </c>
      <c r="P391" s="19">
        <v>0</v>
      </c>
      <c r="Q391" s="19">
        <v>0</v>
      </c>
      <c r="S391" s="19">
        <v>1</v>
      </c>
      <c r="T391" s="19">
        <v>1</v>
      </c>
      <c r="U391" s="19">
        <v>0</v>
      </c>
      <c r="W391" s="19">
        <v>0</v>
      </c>
      <c r="X391" s="19">
        <v>0</v>
      </c>
      <c r="Z391" s="19">
        <v>0</v>
      </c>
      <c r="AA391" s="19">
        <v>0</v>
      </c>
    </row>
    <row r="392" spans="1:27" x14ac:dyDescent="0.25">
      <c r="A392" s="19" t="s">
        <v>580</v>
      </c>
      <c r="B392" s="19" t="s">
        <v>581</v>
      </c>
      <c r="C392" s="19" t="s">
        <v>582</v>
      </c>
      <c r="D392" s="19">
        <v>0</v>
      </c>
      <c r="E392" s="19" t="s">
        <v>30</v>
      </c>
      <c r="F392" s="19" t="s">
        <v>31</v>
      </c>
      <c r="G392" s="19" t="s">
        <v>32</v>
      </c>
      <c r="H392" s="19" t="s">
        <v>33</v>
      </c>
      <c r="I392" s="19" t="s">
        <v>34</v>
      </c>
      <c r="J392" s="19">
        <v>17</v>
      </c>
      <c r="K392" s="19">
        <v>1.6299999999999999E-2</v>
      </c>
      <c r="L392" s="19" t="s">
        <v>35</v>
      </c>
      <c r="N392" s="19">
        <v>0</v>
      </c>
      <c r="O392" s="19">
        <v>0</v>
      </c>
      <c r="P392" s="19">
        <v>0</v>
      </c>
      <c r="Q392" s="19">
        <v>0</v>
      </c>
      <c r="S392" s="19">
        <v>1</v>
      </c>
      <c r="T392" s="19">
        <v>1</v>
      </c>
      <c r="U392" s="19">
        <v>0</v>
      </c>
      <c r="V392" s="19" t="s">
        <v>36</v>
      </c>
      <c r="W392" s="19">
        <v>0</v>
      </c>
      <c r="Z392" s="19">
        <v>0</v>
      </c>
      <c r="AA392" s="19">
        <v>0</v>
      </c>
    </row>
    <row r="393" spans="1:27" x14ac:dyDescent="0.25">
      <c r="A393" s="19" t="s">
        <v>583</v>
      </c>
      <c r="B393" s="19" t="s">
        <v>581</v>
      </c>
      <c r="C393" s="19" t="s">
        <v>582</v>
      </c>
      <c r="D393" s="19">
        <v>0</v>
      </c>
      <c r="E393" s="19" t="s">
        <v>38</v>
      </c>
      <c r="F393" s="19" t="s">
        <v>39</v>
      </c>
      <c r="G393" s="19" t="s">
        <v>32</v>
      </c>
      <c r="H393" s="19" t="s">
        <v>33</v>
      </c>
      <c r="I393" s="19" t="s">
        <v>34</v>
      </c>
      <c r="J393" s="19">
        <v>19</v>
      </c>
      <c r="K393" s="19">
        <v>1.6299999999999999E-2</v>
      </c>
      <c r="L393" s="19" t="s">
        <v>35</v>
      </c>
      <c r="N393" s="19">
        <v>0</v>
      </c>
      <c r="O393" s="19">
        <v>0</v>
      </c>
      <c r="P393" s="19">
        <v>0</v>
      </c>
      <c r="Q393" s="19">
        <v>0</v>
      </c>
      <c r="S393" s="19">
        <v>1</v>
      </c>
      <c r="T393" s="19">
        <v>1</v>
      </c>
      <c r="U393" s="19">
        <v>0</v>
      </c>
      <c r="V393" s="19" t="s">
        <v>36</v>
      </c>
      <c r="W393" s="19">
        <v>0</v>
      </c>
      <c r="Z393" s="19">
        <v>0</v>
      </c>
      <c r="AA393" s="19">
        <v>0</v>
      </c>
    </row>
    <row r="394" spans="1:27" x14ac:dyDescent="0.25">
      <c r="A394" s="19" t="s">
        <v>584</v>
      </c>
      <c r="B394" s="19" t="s">
        <v>581</v>
      </c>
      <c r="C394" s="19" t="s">
        <v>582</v>
      </c>
      <c r="D394" s="19">
        <v>0</v>
      </c>
      <c r="E394" s="19" t="s">
        <v>43</v>
      </c>
      <c r="F394" s="19" t="s">
        <v>44</v>
      </c>
      <c r="G394" s="19" t="s">
        <v>32</v>
      </c>
      <c r="H394" s="19" t="s">
        <v>33</v>
      </c>
      <c r="I394" s="19" t="s">
        <v>34</v>
      </c>
      <c r="J394" s="19">
        <v>18</v>
      </c>
      <c r="K394" s="19">
        <v>1.6299999999999999E-2</v>
      </c>
      <c r="L394" s="19" t="s">
        <v>35</v>
      </c>
      <c r="N394" s="19">
        <v>0</v>
      </c>
      <c r="O394" s="19">
        <v>0</v>
      </c>
      <c r="P394" s="19">
        <v>0</v>
      </c>
      <c r="Q394" s="19">
        <v>0</v>
      </c>
      <c r="S394" s="19">
        <v>1</v>
      </c>
      <c r="T394" s="19">
        <v>1</v>
      </c>
      <c r="U394" s="19">
        <v>0</v>
      </c>
      <c r="V394" s="19" t="s">
        <v>36</v>
      </c>
      <c r="W394" s="19">
        <v>0</v>
      </c>
      <c r="Z394" s="19">
        <v>0</v>
      </c>
      <c r="AA394" s="19">
        <v>0</v>
      </c>
    </row>
    <row r="395" spans="1:27" x14ac:dyDescent="0.25">
      <c r="A395" s="19" t="s">
        <v>585</v>
      </c>
      <c r="B395" s="19" t="s">
        <v>581</v>
      </c>
      <c r="C395" s="19" t="s">
        <v>582</v>
      </c>
      <c r="D395" s="19">
        <v>0.54327899999999996</v>
      </c>
      <c r="E395" s="19" t="s">
        <v>46</v>
      </c>
      <c r="F395" s="19" t="s">
        <v>47</v>
      </c>
      <c r="G395" s="19" t="s">
        <v>32</v>
      </c>
      <c r="H395" s="19" t="s">
        <v>33</v>
      </c>
      <c r="I395" s="19" t="s">
        <v>34</v>
      </c>
      <c r="J395" s="19">
        <v>15</v>
      </c>
      <c r="K395" s="19">
        <v>1.6299999999999999E-2</v>
      </c>
      <c r="L395" s="19" t="s">
        <v>35</v>
      </c>
      <c r="M395" s="19" t="s">
        <v>40</v>
      </c>
      <c r="N395" s="19">
        <v>33.33</v>
      </c>
      <c r="O395" s="19">
        <v>33.33</v>
      </c>
      <c r="P395" s="19">
        <v>0</v>
      </c>
      <c r="Q395" s="19">
        <v>0</v>
      </c>
      <c r="S395" s="19">
        <v>1</v>
      </c>
      <c r="T395" s="19">
        <v>1</v>
      </c>
      <c r="U395" s="19">
        <v>0</v>
      </c>
      <c r="V395" s="19" t="s">
        <v>41</v>
      </c>
      <c r="W395" s="19">
        <v>1</v>
      </c>
      <c r="Y395" s="19" t="s">
        <v>40</v>
      </c>
      <c r="Z395" s="19">
        <v>33.33</v>
      </c>
      <c r="AA395" s="19">
        <v>33.33</v>
      </c>
    </row>
    <row r="396" spans="1:27" x14ac:dyDescent="0.25">
      <c r="A396" s="19" t="s">
        <v>586</v>
      </c>
      <c r="B396" s="19" t="s">
        <v>581</v>
      </c>
      <c r="C396" s="19" t="s">
        <v>582</v>
      </c>
      <c r="D396" s="19">
        <v>0.54327899999999996</v>
      </c>
      <c r="E396" s="19" t="s">
        <v>49</v>
      </c>
      <c r="F396" s="19" t="s">
        <v>50</v>
      </c>
      <c r="G396" s="19" t="s">
        <v>32</v>
      </c>
      <c r="H396" s="19" t="s">
        <v>33</v>
      </c>
      <c r="I396" s="19" t="s">
        <v>34</v>
      </c>
      <c r="J396" s="19">
        <v>12</v>
      </c>
      <c r="K396" s="19">
        <v>1.6299999999999999E-2</v>
      </c>
      <c r="L396" s="19" t="s">
        <v>35</v>
      </c>
      <c r="M396" s="19" t="s">
        <v>40</v>
      </c>
      <c r="N396" s="19">
        <v>33.33</v>
      </c>
      <c r="O396" s="19">
        <v>33.33</v>
      </c>
      <c r="P396" s="19">
        <v>0</v>
      </c>
      <c r="Q396" s="19">
        <v>0</v>
      </c>
      <c r="S396" s="19">
        <v>1</v>
      </c>
      <c r="T396" s="19">
        <v>1</v>
      </c>
      <c r="U396" s="19">
        <v>0</v>
      </c>
      <c r="V396" s="19" t="s">
        <v>41</v>
      </c>
      <c r="W396" s="19">
        <v>1</v>
      </c>
      <c r="Y396" s="19" t="s">
        <v>40</v>
      </c>
      <c r="Z396" s="19">
        <v>33.33</v>
      </c>
      <c r="AA396" s="19">
        <v>33.33</v>
      </c>
    </row>
    <row r="397" spans="1:27" x14ac:dyDescent="0.25">
      <c r="A397" s="19" t="s">
        <v>587</v>
      </c>
      <c r="B397" s="19" t="s">
        <v>581</v>
      </c>
      <c r="C397" s="19" t="s">
        <v>582</v>
      </c>
      <c r="D397" s="19">
        <v>0</v>
      </c>
      <c r="E397" s="19" t="s">
        <v>52</v>
      </c>
      <c r="F397" s="19" t="s">
        <v>53</v>
      </c>
      <c r="G397" s="19" t="s">
        <v>32</v>
      </c>
      <c r="H397" s="19" t="s">
        <v>33</v>
      </c>
      <c r="I397" s="19" t="s">
        <v>34</v>
      </c>
      <c r="J397" s="19">
        <v>16</v>
      </c>
      <c r="K397" s="19">
        <v>1.6299999999999999E-2</v>
      </c>
      <c r="L397" s="19" t="s">
        <v>35</v>
      </c>
      <c r="M397" s="19" t="s">
        <v>40</v>
      </c>
      <c r="N397" s="19">
        <v>0</v>
      </c>
      <c r="O397" s="19">
        <v>0</v>
      </c>
      <c r="P397" s="19">
        <v>0</v>
      </c>
      <c r="Q397" s="19">
        <v>0</v>
      </c>
      <c r="S397" s="19">
        <v>1</v>
      </c>
      <c r="T397" s="19">
        <v>1</v>
      </c>
      <c r="U397" s="19">
        <v>0</v>
      </c>
      <c r="V397" s="19" t="s">
        <v>80</v>
      </c>
      <c r="W397" s="19">
        <v>0</v>
      </c>
      <c r="Y397" s="19" t="s">
        <v>40</v>
      </c>
      <c r="Z397" s="19">
        <v>33.33</v>
      </c>
      <c r="AA397" s="19">
        <v>0</v>
      </c>
    </row>
    <row r="398" spans="1:27" x14ac:dyDescent="0.25">
      <c r="A398" s="19" t="s">
        <v>588</v>
      </c>
      <c r="B398" s="19" t="s">
        <v>581</v>
      </c>
      <c r="C398" s="19" t="s">
        <v>582</v>
      </c>
      <c r="D398" s="19">
        <v>0.54327899999999996</v>
      </c>
      <c r="E398" s="19" t="s">
        <v>55</v>
      </c>
      <c r="F398" s="19" t="s">
        <v>56</v>
      </c>
      <c r="G398" s="19" t="s">
        <v>32</v>
      </c>
      <c r="H398" s="19" t="s">
        <v>33</v>
      </c>
      <c r="I398" s="19" t="s">
        <v>34</v>
      </c>
      <c r="J398" s="19">
        <v>14</v>
      </c>
      <c r="K398" s="19">
        <v>1.6299999999999999E-2</v>
      </c>
      <c r="L398" s="19" t="s">
        <v>35</v>
      </c>
      <c r="M398" s="19" t="s">
        <v>40</v>
      </c>
      <c r="N398" s="19">
        <v>33.33</v>
      </c>
      <c r="O398" s="19">
        <v>33.33</v>
      </c>
      <c r="P398" s="19">
        <v>0</v>
      </c>
      <c r="Q398" s="19">
        <v>0</v>
      </c>
      <c r="S398" s="19">
        <v>1</v>
      </c>
      <c r="T398" s="19">
        <v>1</v>
      </c>
      <c r="U398" s="19">
        <v>0</v>
      </c>
      <c r="V398" s="19" t="s">
        <v>41</v>
      </c>
      <c r="W398" s="19">
        <v>1</v>
      </c>
      <c r="Y398" s="19" t="s">
        <v>40</v>
      </c>
      <c r="Z398" s="19">
        <v>33.33</v>
      </c>
      <c r="AA398" s="19">
        <v>33.33</v>
      </c>
    </row>
    <row r="399" spans="1:27" x14ac:dyDescent="0.25">
      <c r="A399" s="19" t="s">
        <v>589</v>
      </c>
      <c r="B399" s="19" t="s">
        <v>581</v>
      </c>
      <c r="C399" s="19" t="s">
        <v>582</v>
      </c>
      <c r="D399" s="19">
        <v>0</v>
      </c>
      <c r="E399" s="19" t="s">
        <v>58</v>
      </c>
      <c r="F399" s="19" t="s">
        <v>59</v>
      </c>
      <c r="G399" s="19" t="s">
        <v>32</v>
      </c>
      <c r="H399" s="19" t="s">
        <v>33</v>
      </c>
      <c r="I399" s="19" t="s">
        <v>34</v>
      </c>
      <c r="J399" s="19">
        <v>13</v>
      </c>
      <c r="K399" s="19">
        <v>1.6299999999999999E-2</v>
      </c>
      <c r="L399" s="19" t="s">
        <v>35</v>
      </c>
      <c r="M399" s="19" t="s">
        <v>40</v>
      </c>
      <c r="N399" s="19">
        <v>0</v>
      </c>
      <c r="O399" s="19">
        <v>0</v>
      </c>
      <c r="P399" s="19">
        <v>0</v>
      </c>
      <c r="Q399" s="19">
        <v>0</v>
      </c>
      <c r="S399" s="19">
        <v>1</v>
      </c>
      <c r="T399" s="19">
        <v>1</v>
      </c>
      <c r="U399" s="19">
        <v>0</v>
      </c>
      <c r="V399" s="19" t="s">
        <v>36</v>
      </c>
      <c r="W399" s="19">
        <v>0</v>
      </c>
      <c r="Y399" s="19" t="s">
        <v>40</v>
      </c>
      <c r="Z399" s="19">
        <v>33.33</v>
      </c>
      <c r="AA399" s="19">
        <v>0</v>
      </c>
    </row>
    <row r="400" spans="1:27" x14ac:dyDescent="0.25">
      <c r="A400" s="19" t="s">
        <v>590</v>
      </c>
      <c r="B400" s="19" t="s">
        <v>581</v>
      </c>
      <c r="C400" s="19" t="s">
        <v>582</v>
      </c>
      <c r="D400" s="19">
        <v>0</v>
      </c>
      <c r="E400" s="19" t="s">
        <v>61</v>
      </c>
      <c r="F400" s="19" t="s">
        <v>62</v>
      </c>
      <c r="G400" s="19" t="s">
        <v>32</v>
      </c>
      <c r="H400" s="19" t="s">
        <v>63</v>
      </c>
      <c r="I400" s="19" t="s">
        <v>64</v>
      </c>
      <c r="J400" s="19">
        <v>22</v>
      </c>
      <c r="K400" s="19">
        <v>1.8599999999999998E-2</v>
      </c>
      <c r="L400" s="19" t="s">
        <v>35</v>
      </c>
      <c r="M400" s="19" t="s">
        <v>40</v>
      </c>
      <c r="N400" s="19">
        <v>0</v>
      </c>
      <c r="O400" s="19">
        <v>0</v>
      </c>
      <c r="P400" s="19">
        <v>0</v>
      </c>
      <c r="Q400" s="19">
        <v>0</v>
      </c>
      <c r="S400" s="19">
        <v>1</v>
      </c>
      <c r="T400" s="19">
        <v>1</v>
      </c>
      <c r="U400" s="19">
        <v>0</v>
      </c>
      <c r="V400" s="19" t="s">
        <v>80</v>
      </c>
      <c r="W400" s="19">
        <v>0</v>
      </c>
      <c r="Y400" s="19" t="s">
        <v>40</v>
      </c>
      <c r="Z400" s="19">
        <v>33.33</v>
      </c>
      <c r="AA400" s="19">
        <v>0</v>
      </c>
    </row>
    <row r="401" spans="1:27" x14ac:dyDescent="0.25">
      <c r="A401" s="19" t="s">
        <v>591</v>
      </c>
      <c r="B401" s="19" t="s">
        <v>581</v>
      </c>
      <c r="C401" s="19" t="s">
        <v>582</v>
      </c>
      <c r="D401" s="19">
        <v>0</v>
      </c>
      <c r="E401" s="19" t="s">
        <v>66</v>
      </c>
      <c r="F401" s="19" t="s">
        <v>67</v>
      </c>
      <c r="G401" s="19" t="s">
        <v>32</v>
      </c>
      <c r="H401" s="19" t="s">
        <v>63</v>
      </c>
      <c r="I401" s="19" t="s">
        <v>64</v>
      </c>
      <c r="J401" s="19">
        <v>20</v>
      </c>
      <c r="K401" s="19">
        <v>1.8599999999999998E-2</v>
      </c>
      <c r="L401" s="19" t="s">
        <v>35</v>
      </c>
      <c r="M401" s="19" t="s">
        <v>40</v>
      </c>
      <c r="N401" s="19">
        <v>0</v>
      </c>
      <c r="O401" s="19">
        <v>0</v>
      </c>
      <c r="P401" s="19">
        <v>0</v>
      </c>
      <c r="Q401" s="19">
        <v>0</v>
      </c>
      <c r="S401" s="19">
        <v>1</v>
      </c>
      <c r="T401" s="19">
        <v>1</v>
      </c>
      <c r="U401" s="19">
        <v>0</v>
      </c>
      <c r="V401" s="19" t="s">
        <v>80</v>
      </c>
      <c r="W401" s="19">
        <v>0</v>
      </c>
      <c r="Y401" s="19" t="s">
        <v>40</v>
      </c>
      <c r="Z401" s="19">
        <v>33.33</v>
      </c>
      <c r="AA401" s="19">
        <v>0</v>
      </c>
    </row>
    <row r="402" spans="1:27" x14ac:dyDescent="0.25">
      <c r="A402" s="19" t="s">
        <v>592</v>
      </c>
      <c r="B402" s="19" t="s">
        <v>581</v>
      </c>
      <c r="C402" s="19" t="s">
        <v>582</v>
      </c>
      <c r="D402" s="19">
        <v>0.61993799999999899</v>
      </c>
      <c r="E402" s="19" t="s">
        <v>69</v>
      </c>
      <c r="F402" s="19" t="s">
        <v>70</v>
      </c>
      <c r="G402" s="19" t="s">
        <v>32</v>
      </c>
      <c r="H402" s="19" t="s">
        <v>63</v>
      </c>
      <c r="I402" s="19" t="s">
        <v>64</v>
      </c>
      <c r="J402" s="19">
        <v>23</v>
      </c>
      <c r="K402" s="19">
        <v>1.8599999999999998E-2</v>
      </c>
      <c r="L402" s="19" t="s">
        <v>35</v>
      </c>
      <c r="M402" s="19" t="s">
        <v>40</v>
      </c>
      <c r="N402" s="19">
        <v>33.33</v>
      </c>
      <c r="O402" s="19">
        <v>33.33</v>
      </c>
      <c r="P402" s="19">
        <v>0</v>
      </c>
      <c r="Q402" s="19">
        <v>0</v>
      </c>
      <c r="S402" s="19">
        <v>1</v>
      </c>
      <c r="T402" s="19">
        <v>1</v>
      </c>
      <c r="U402" s="19">
        <v>0</v>
      </c>
      <c r="V402" s="19" t="s">
        <v>41</v>
      </c>
      <c r="W402" s="19">
        <v>1</v>
      </c>
      <c r="Y402" s="19" t="s">
        <v>40</v>
      </c>
      <c r="Z402" s="19">
        <v>33.33</v>
      </c>
      <c r="AA402" s="19">
        <v>33.33</v>
      </c>
    </row>
    <row r="403" spans="1:27" x14ac:dyDescent="0.25">
      <c r="A403" s="19" t="s">
        <v>593</v>
      </c>
      <c r="B403" s="19" t="s">
        <v>581</v>
      </c>
      <c r="C403" s="19" t="s">
        <v>582</v>
      </c>
      <c r="D403" s="19">
        <v>0.61993799999999899</v>
      </c>
      <c r="E403" s="19" t="s">
        <v>72</v>
      </c>
      <c r="F403" s="19" t="s">
        <v>73</v>
      </c>
      <c r="G403" s="19" t="s">
        <v>32</v>
      </c>
      <c r="H403" s="19" t="s">
        <v>63</v>
      </c>
      <c r="I403" s="19" t="s">
        <v>64</v>
      </c>
      <c r="J403" s="19">
        <v>21</v>
      </c>
      <c r="K403" s="19">
        <v>1.8599999999999998E-2</v>
      </c>
      <c r="L403" s="19" t="s">
        <v>35</v>
      </c>
      <c r="M403" s="19" t="s">
        <v>40</v>
      </c>
      <c r="N403" s="19">
        <v>33.33</v>
      </c>
      <c r="O403" s="19">
        <v>33.33</v>
      </c>
      <c r="P403" s="19">
        <v>0</v>
      </c>
      <c r="Q403" s="19">
        <v>0</v>
      </c>
      <c r="S403" s="19">
        <v>1</v>
      </c>
      <c r="T403" s="19">
        <v>1</v>
      </c>
      <c r="U403" s="19">
        <v>0</v>
      </c>
      <c r="V403" s="19" t="s">
        <v>41</v>
      </c>
      <c r="W403" s="19">
        <v>1</v>
      </c>
      <c r="Y403" s="19" t="s">
        <v>40</v>
      </c>
      <c r="Z403" s="19">
        <v>33.33</v>
      </c>
      <c r="AA403" s="19">
        <v>33.33</v>
      </c>
    </row>
    <row r="404" spans="1:27" x14ac:dyDescent="0.25">
      <c r="A404" s="19" t="s">
        <v>594</v>
      </c>
      <c r="B404" s="19" t="s">
        <v>581</v>
      </c>
      <c r="C404" s="19" t="s">
        <v>582</v>
      </c>
      <c r="D404" s="19">
        <v>0</v>
      </c>
      <c r="E404" s="19" t="s">
        <v>75</v>
      </c>
      <c r="F404" s="19" t="s">
        <v>76</v>
      </c>
      <c r="G404" s="19" t="s">
        <v>32</v>
      </c>
      <c r="H404" s="19" t="s">
        <v>63</v>
      </c>
      <c r="I404" s="19" t="s">
        <v>64</v>
      </c>
      <c r="J404" s="19">
        <v>24</v>
      </c>
      <c r="K404" s="19">
        <v>1.8599999999999998E-2</v>
      </c>
      <c r="L404" s="19" t="s">
        <v>35</v>
      </c>
      <c r="M404" s="19" t="s">
        <v>40</v>
      </c>
      <c r="N404" s="19">
        <v>0</v>
      </c>
      <c r="O404" s="19">
        <v>0</v>
      </c>
      <c r="P404" s="19">
        <v>0</v>
      </c>
      <c r="Q404" s="19">
        <v>0</v>
      </c>
      <c r="S404" s="19">
        <v>1</v>
      </c>
      <c r="T404" s="19">
        <v>1</v>
      </c>
      <c r="U404" s="19">
        <v>0</v>
      </c>
      <c r="V404" s="19" t="s">
        <v>80</v>
      </c>
      <c r="W404" s="19">
        <v>0</v>
      </c>
      <c r="Y404" s="19" t="s">
        <v>40</v>
      </c>
      <c r="Z404" s="19">
        <v>33.33</v>
      </c>
      <c r="AA404" s="19">
        <v>0</v>
      </c>
    </row>
    <row r="405" spans="1:27" x14ac:dyDescent="0.25">
      <c r="A405" s="19" t="s">
        <v>595</v>
      </c>
      <c r="B405" s="19" t="s">
        <v>581</v>
      </c>
      <c r="C405" s="19" t="s">
        <v>582</v>
      </c>
      <c r="D405" s="19">
        <v>0.309968999999999</v>
      </c>
      <c r="E405" s="19" t="s">
        <v>78</v>
      </c>
      <c r="F405" s="19" t="s">
        <v>79</v>
      </c>
      <c r="G405" s="19" t="s">
        <v>32</v>
      </c>
      <c r="H405" s="19" t="s">
        <v>63</v>
      </c>
      <c r="I405" s="19" t="s">
        <v>64</v>
      </c>
      <c r="J405" s="19">
        <v>25</v>
      </c>
      <c r="K405" s="19">
        <v>1.8599999999999998E-2</v>
      </c>
      <c r="L405" s="19" t="s">
        <v>35</v>
      </c>
      <c r="M405" s="19" t="s">
        <v>110</v>
      </c>
      <c r="N405" s="19">
        <v>16.664999999999999</v>
      </c>
      <c r="O405" s="19">
        <v>16.664999999999999</v>
      </c>
      <c r="P405" s="19">
        <v>0</v>
      </c>
      <c r="Q405" s="19">
        <v>0</v>
      </c>
      <c r="S405" s="19">
        <v>1</v>
      </c>
      <c r="T405" s="19">
        <v>1</v>
      </c>
      <c r="U405" s="19">
        <v>0</v>
      </c>
      <c r="V405" s="19" t="s">
        <v>41</v>
      </c>
      <c r="W405" s="19">
        <v>1</v>
      </c>
      <c r="Y405" s="19" t="s">
        <v>110</v>
      </c>
      <c r="Z405" s="19">
        <v>16.664999999999999</v>
      </c>
      <c r="AA405" s="19">
        <v>16.664999999999999</v>
      </c>
    </row>
    <row r="406" spans="1:27" x14ac:dyDescent="0.25">
      <c r="A406" s="19" t="s">
        <v>596</v>
      </c>
      <c r="B406" s="19" t="s">
        <v>581</v>
      </c>
      <c r="C406" s="19" t="s">
        <v>582</v>
      </c>
      <c r="D406" s="19">
        <v>0</v>
      </c>
      <c r="E406" s="19" t="s">
        <v>82</v>
      </c>
      <c r="F406" s="19" t="s">
        <v>83</v>
      </c>
      <c r="G406" s="19" t="s">
        <v>32</v>
      </c>
      <c r="H406" s="19" t="s">
        <v>63</v>
      </c>
      <c r="I406" s="19" t="s">
        <v>64</v>
      </c>
      <c r="J406" s="19">
        <v>26</v>
      </c>
      <c r="K406" s="19">
        <v>1.8599999999999998E-2</v>
      </c>
      <c r="L406" s="19" t="s">
        <v>35</v>
      </c>
      <c r="N406" s="19">
        <v>0</v>
      </c>
      <c r="O406" s="19">
        <v>0</v>
      </c>
      <c r="P406" s="19">
        <v>0</v>
      </c>
      <c r="Q406" s="19">
        <v>0</v>
      </c>
      <c r="S406" s="19">
        <v>1</v>
      </c>
      <c r="T406" s="19">
        <v>1</v>
      </c>
      <c r="U406" s="19">
        <v>0</v>
      </c>
      <c r="V406" s="19" t="s">
        <v>36</v>
      </c>
      <c r="W406" s="19">
        <v>0</v>
      </c>
      <c r="Z406" s="19">
        <v>0</v>
      </c>
      <c r="AA406" s="19">
        <v>0</v>
      </c>
    </row>
    <row r="407" spans="1:27" x14ac:dyDescent="0.25">
      <c r="A407" s="19" t="s">
        <v>597</v>
      </c>
      <c r="B407" s="19" t="s">
        <v>581</v>
      </c>
      <c r="C407" s="19" t="s">
        <v>582</v>
      </c>
      <c r="D407" s="19">
        <v>0</v>
      </c>
      <c r="E407" s="19" t="s">
        <v>85</v>
      </c>
      <c r="F407" s="19" t="s">
        <v>86</v>
      </c>
      <c r="G407" s="19" t="s">
        <v>32</v>
      </c>
      <c r="H407" s="19" t="s">
        <v>87</v>
      </c>
      <c r="I407" s="19" t="s">
        <v>88</v>
      </c>
      <c r="J407" s="19">
        <v>35</v>
      </c>
      <c r="K407" s="19">
        <v>3.2500000000000001E-2</v>
      </c>
      <c r="L407" s="19" t="s">
        <v>35</v>
      </c>
      <c r="N407" s="19">
        <v>0</v>
      </c>
      <c r="O407" s="19">
        <v>0</v>
      </c>
      <c r="P407" s="19">
        <v>0</v>
      </c>
      <c r="Q407" s="19">
        <v>0</v>
      </c>
      <c r="S407" s="19">
        <v>1</v>
      </c>
      <c r="T407" s="19">
        <v>1</v>
      </c>
      <c r="U407" s="19">
        <v>0</v>
      </c>
      <c r="V407" s="19" t="s">
        <v>36</v>
      </c>
      <c r="W407" s="19">
        <v>0</v>
      </c>
      <c r="Z407" s="19">
        <v>0</v>
      </c>
      <c r="AA407" s="19">
        <v>0</v>
      </c>
    </row>
    <row r="408" spans="1:27" x14ac:dyDescent="0.25">
      <c r="A408" s="19" t="s">
        <v>598</v>
      </c>
      <c r="B408" s="19" t="s">
        <v>581</v>
      </c>
      <c r="C408" s="19" t="s">
        <v>582</v>
      </c>
      <c r="D408" s="19">
        <v>0</v>
      </c>
      <c r="E408" s="19" t="s">
        <v>90</v>
      </c>
      <c r="F408" s="19" t="s">
        <v>91</v>
      </c>
      <c r="G408" s="19" t="s">
        <v>32</v>
      </c>
      <c r="H408" s="19" t="s">
        <v>87</v>
      </c>
      <c r="I408" s="19" t="s">
        <v>88</v>
      </c>
      <c r="J408" s="19">
        <v>33</v>
      </c>
      <c r="K408" s="19">
        <v>3.2500000000000001E-2</v>
      </c>
      <c r="L408" s="19" t="s">
        <v>35</v>
      </c>
      <c r="N408" s="19">
        <v>0</v>
      </c>
      <c r="O408" s="19">
        <v>0</v>
      </c>
      <c r="P408" s="19">
        <v>0</v>
      </c>
      <c r="Q408" s="19">
        <v>0</v>
      </c>
      <c r="S408" s="19">
        <v>1</v>
      </c>
      <c r="T408" s="19">
        <v>1</v>
      </c>
      <c r="U408" s="19">
        <v>0</v>
      </c>
      <c r="V408" s="19" t="s">
        <v>36</v>
      </c>
      <c r="W408" s="19">
        <v>0</v>
      </c>
      <c r="Z408" s="19">
        <v>0</v>
      </c>
      <c r="AA408" s="19">
        <v>0</v>
      </c>
    </row>
    <row r="409" spans="1:27" x14ac:dyDescent="0.25">
      <c r="A409" s="19" t="s">
        <v>599</v>
      </c>
      <c r="B409" s="19" t="s">
        <v>581</v>
      </c>
      <c r="C409" s="19" t="s">
        <v>582</v>
      </c>
      <c r="D409" s="19">
        <v>1.0832249999999899</v>
      </c>
      <c r="E409" s="19" t="s">
        <v>93</v>
      </c>
      <c r="F409" s="19" t="s">
        <v>94</v>
      </c>
      <c r="G409" s="19" t="s">
        <v>32</v>
      </c>
      <c r="H409" s="19" t="s">
        <v>87</v>
      </c>
      <c r="I409" s="19" t="s">
        <v>88</v>
      </c>
      <c r="J409" s="19">
        <v>34</v>
      </c>
      <c r="K409" s="19">
        <v>3.2500000000000001E-2</v>
      </c>
      <c r="L409" s="19" t="s">
        <v>35</v>
      </c>
      <c r="M409" s="19" t="s">
        <v>40</v>
      </c>
      <c r="N409" s="19">
        <v>33.33</v>
      </c>
      <c r="O409" s="19">
        <v>33.33</v>
      </c>
      <c r="P409" s="19">
        <v>0</v>
      </c>
      <c r="Q409" s="19">
        <v>0</v>
      </c>
      <c r="S409" s="19">
        <v>1</v>
      </c>
      <c r="T409" s="19">
        <v>1</v>
      </c>
      <c r="U409" s="19">
        <v>0</v>
      </c>
      <c r="V409" s="19" t="s">
        <v>41</v>
      </c>
      <c r="W409" s="19">
        <v>1</v>
      </c>
      <c r="Y409" s="19" t="s">
        <v>40</v>
      </c>
      <c r="Z409" s="19">
        <v>33.33</v>
      </c>
      <c r="AA409" s="19">
        <v>33.33</v>
      </c>
    </row>
    <row r="410" spans="1:27" x14ac:dyDescent="0.25">
      <c r="A410" s="19" t="s">
        <v>600</v>
      </c>
      <c r="B410" s="19" t="s">
        <v>581</v>
      </c>
      <c r="C410" s="19" t="s">
        <v>582</v>
      </c>
      <c r="D410" s="19">
        <v>0</v>
      </c>
      <c r="E410" s="19" t="s">
        <v>96</v>
      </c>
      <c r="F410" s="19" t="s">
        <v>97</v>
      </c>
      <c r="G410" s="19" t="s">
        <v>32</v>
      </c>
      <c r="H410" s="19" t="s">
        <v>87</v>
      </c>
      <c r="I410" s="19" t="s">
        <v>88</v>
      </c>
      <c r="J410" s="19">
        <v>36</v>
      </c>
      <c r="K410" s="19">
        <v>3.2500000000000001E-2</v>
      </c>
      <c r="L410" s="19" t="s">
        <v>35</v>
      </c>
      <c r="N410" s="19">
        <v>0</v>
      </c>
      <c r="O410" s="19">
        <v>0</v>
      </c>
      <c r="P410" s="19">
        <v>0</v>
      </c>
      <c r="Q410" s="19">
        <v>0</v>
      </c>
      <c r="S410" s="19">
        <v>1</v>
      </c>
      <c r="T410" s="19">
        <v>1</v>
      </c>
      <c r="U410" s="19">
        <v>0</v>
      </c>
      <c r="V410" s="19" t="s">
        <v>36</v>
      </c>
      <c r="W410" s="19">
        <v>0</v>
      </c>
      <c r="Z410" s="19">
        <v>0</v>
      </c>
      <c r="AA410" s="19">
        <v>0</v>
      </c>
    </row>
    <row r="411" spans="1:27" x14ac:dyDescent="0.25">
      <c r="A411" s="19" t="s">
        <v>601</v>
      </c>
      <c r="B411" s="19" t="s">
        <v>581</v>
      </c>
      <c r="C411" s="19" t="s">
        <v>582</v>
      </c>
      <c r="D411" s="19">
        <v>0</v>
      </c>
      <c r="E411" s="19" t="s">
        <v>99</v>
      </c>
      <c r="F411" s="19" t="s">
        <v>100</v>
      </c>
      <c r="G411" s="19" t="s">
        <v>32</v>
      </c>
      <c r="H411" s="19" t="s">
        <v>101</v>
      </c>
      <c r="I411" s="19" t="s">
        <v>102</v>
      </c>
      <c r="J411" s="19">
        <v>39</v>
      </c>
      <c r="K411" s="19">
        <v>4.3299999999999998E-2</v>
      </c>
      <c r="L411" s="19" t="s">
        <v>35</v>
      </c>
      <c r="M411" s="19" t="s">
        <v>103</v>
      </c>
      <c r="N411" s="19">
        <v>0</v>
      </c>
      <c r="O411" s="19">
        <v>0</v>
      </c>
      <c r="P411" s="19">
        <v>0</v>
      </c>
      <c r="Q411" s="19">
        <v>0</v>
      </c>
      <c r="S411" s="19">
        <v>1</v>
      </c>
      <c r="T411" s="19">
        <v>1</v>
      </c>
      <c r="U411" s="19">
        <v>0</v>
      </c>
      <c r="V411" s="19" t="s">
        <v>80</v>
      </c>
      <c r="W411" s="19">
        <v>0</v>
      </c>
      <c r="Y411" s="19" t="s">
        <v>103</v>
      </c>
      <c r="Z411" s="19">
        <v>50</v>
      </c>
      <c r="AA411" s="19">
        <v>0</v>
      </c>
    </row>
    <row r="412" spans="1:27" x14ac:dyDescent="0.25">
      <c r="A412" s="19" t="s">
        <v>602</v>
      </c>
      <c r="B412" s="19" t="s">
        <v>581</v>
      </c>
      <c r="C412" s="19" t="s">
        <v>582</v>
      </c>
      <c r="D412" s="19">
        <v>0</v>
      </c>
      <c r="E412" s="19" t="s">
        <v>105</v>
      </c>
      <c r="F412" s="19" t="s">
        <v>106</v>
      </c>
      <c r="G412" s="19" t="s">
        <v>32</v>
      </c>
      <c r="H412" s="19" t="s">
        <v>101</v>
      </c>
      <c r="I412" s="19" t="s">
        <v>102</v>
      </c>
      <c r="J412" s="19">
        <v>38</v>
      </c>
      <c r="K412" s="19">
        <v>4.3299999999999998E-2</v>
      </c>
      <c r="L412" s="19" t="s">
        <v>35</v>
      </c>
      <c r="M412" s="19" t="s">
        <v>103</v>
      </c>
      <c r="N412" s="19">
        <v>0</v>
      </c>
      <c r="O412" s="19">
        <v>0</v>
      </c>
      <c r="P412" s="19">
        <v>0</v>
      </c>
      <c r="Q412" s="19">
        <v>0</v>
      </c>
      <c r="S412" s="19">
        <v>1</v>
      </c>
      <c r="T412" s="19">
        <v>1</v>
      </c>
      <c r="U412" s="19">
        <v>0</v>
      </c>
      <c r="V412" s="19" t="s">
        <v>80</v>
      </c>
      <c r="W412" s="19">
        <v>0</v>
      </c>
      <c r="Y412" s="19" t="s">
        <v>103</v>
      </c>
      <c r="Z412" s="19">
        <v>50</v>
      </c>
      <c r="AA412" s="19">
        <v>0</v>
      </c>
    </row>
    <row r="413" spans="1:27" x14ac:dyDescent="0.25">
      <c r="A413" s="19" t="s">
        <v>603</v>
      </c>
      <c r="B413" s="19" t="s">
        <v>581</v>
      </c>
      <c r="C413" s="19" t="s">
        <v>582</v>
      </c>
      <c r="D413" s="19">
        <v>0</v>
      </c>
      <c r="E413" s="19" t="s">
        <v>108</v>
      </c>
      <c r="F413" s="19" t="s">
        <v>109</v>
      </c>
      <c r="G413" s="19" t="s">
        <v>32</v>
      </c>
      <c r="H413" s="19" t="s">
        <v>101</v>
      </c>
      <c r="I413" s="19" t="s">
        <v>102</v>
      </c>
      <c r="J413" s="19">
        <v>37</v>
      </c>
      <c r="K413" s="19">
        <v>4.3299999999999998E-2</v>
      </c>
      <c r="L413" s="19" t="s">
        <v>35</v>
      </c>
      <c r="M413" s="19" t="s">
        <v>40</v>
      </c>
      <c r="N413" s="19">
        <v>0</v>
      </c>
      <c r="O413" s="19">
        <v>0</v>
      </c>
      <c r="P413" s="19">
        <v>0</v>
      </c>
      <c r="Q413" s="19">
        <v>0</v>
      </c>
      <c r="S413" s="19">
        <v>1</v>
      </c>
      <c r="T413" s="19">
        <v>1</v>
      </c>
      <c r="U413" s="19">
        <v>0</v>
      </c>
      <c r="V413" s="19" t="s">
        <v>80</v>
      </c>
      <c r="W413" s="19">
        <v>0</v>
      </c>
      <c r="Y413" s="19" t="s">
        <v>40</v>
      </c>
      <c r="Z413" s="19">
        <v>33.33</v>
      </c>
      <c r="AA413" s="19">
        <v>0</v>
      </c>
    </row>
    <row r="414" spans="1:27" x14ac:dyDescent="0.25">
      <c r="A414" s="19" t="s">
        <v>604</v>
      </c>
      <c r="B414" s="19" t="s">
        <v>581</v>
      </c>
      <c r="C414" s="19" t="s">
        <v>582</v>
      </c>
      <c r="D414" s="19">
        <v>0</v>
      </c>
      <c r="E414" s="19" t="s">
        <v>112</v>
      </c>
      <c r="F414" s="19" t="s">
        <v>113</v>
      </c>
      <c r="G414" s="19" t="s">
        <v>32</v>
      </c>
      <c r="H414" s="19" t="s">
        <v>114</v>
      </c>
      <c r="I414" s="19" t="s">
        <v>115</v>
      </c>
      <c r="J414" s="19">
        <v>30</v>
      </c>
      <c r="K414" s="19">
        <v>2.1700000000000001E-2</v>
      </c>
      <c r="L414" s="19" t="s">
        <v>35</v>
      </c>
      <c r="M414" s="19" t="s">
        <v>103</v>
      </c>
      <c r="N414" s="19">
        <v>0</v>
      </c>
      <c r="O414" s="19">
        <v>0</v>
      </c>
      <c r="P414" s="19">
        <v>0</v>
      </c>
      <c r="Q414" s="19">
        <v>0</v>
      </c>
      <c r="S414" s="19">
        <v>1</v>
      </c>
      <c r="T414" s="19">
        <v>1</v>
      </c>
      <c r="U414" s="19">
        <v>0</v>
      </c>
      <c r="V414" s="19" t="s">
        <v>36</v>
      </c>
      <c r="W414" s="19">
        <v>0</v>
      </c>
      <c r="Y414" s="19" t="s">
        <v>103</v>
      </c>
      <c r="Z414" s="19">
        <v>50</v>
      </c>
      <c r="AA414" s="19">
        <v>0</v>
      </c>
    </row>
    <row r="415" spans="1:27" x14ac:dyDescent="0.25">
      <c r="A415" s="19" t="s">
        <v>605</v>
      </c>
      <c r="B415" s="19" t="s">
        <v>581</v>
      </c>
      <c r="C415" s="19" t="s">
        <v>582</v>
      </c>
      <c r="D415" s="19">
        <v>0</v>
      </c>
      <c r="E415" s="19" t="s">
        <v>117</v>
      </c>
      <c r="F415" s="19" t="s">
        <v>118</v>
      </c>
      <c r="G415" s="19" t="s">
        <v>32</v>
      </c>
      <c r="H415" s="19" t="s">
        <v>114</v>
      </c>
      <c r="I415" s="19" t="s">
        <v>115</v>
      </c>
      <c r="J415" s="19">
        <v>31</v>
      </c>
      <c r="K415" s="19">
        <v>2.1700000000000001E-2</v>
      </c>
      <c r="L415" s="19" t="s">
        <v>35</v>
      </c>
      <c r="M415" s="19" t="s">
        <v>103</v>
      </c>
      <c r="N415" s="19">
        <v>0</v>
      </c>
      <c r="O415" s="19">
        <v>0</v>
      </c>
      <c r="P415" s="19">
        <v>0</v>
      </c>
      <c r="Q415" s="19">
        <v>0</v>
      </c>
      <c r="S415" s="19">
        <v>1</v>
      </c>
      <c r="T415" s="19">
        <v>1</v>
      </c>
      <c r="U415" s="19">
        <v>0</v>
      </c>
      <c r="V415" s="19" t="s">
        <v>36</v>
      </c>
      <c r="W415" s="19">
        <v>0</v>
      </c>
      <c r="Y415" s="19" t="s">
        <v>103</v>
      </c>
      <c r="Z415" s="19">
        <v>50</v>
      </c>
      <c r="AA415" s="19">
        <v>0</v>
      </c>
    </row>
    <row r="416" spans="1:27" x14ac:dyDescent="0.25">
      <c r="A416" s="19" t="s">
        <v>606</v>
      </c>
      <c r="B416" s="19" t="s">
        <v>581</v>
      </c>
      <c r="C416" s="19" t="s">
        <v>582</v>
      </c>
      <c r="D416" s="19">
        <v>0</v>
      </c>
      <c r="E416" s="19" t="s">
        <v>120</v>
      </c>
      <c r="F416" s="19" t="s">
        <v>121</v>
      </c>
      <c r="G416" s="19" t="s">
        <v>32</v>
      </c>
      <c r="H416" s="19" t="s">
        <v>114</v>
      </c>
      <c r="I416" s="19" t="s">
        <v>115</v>
      </c>
      <c r="J416" s="19">
        <v>28</v>
      </c>
      <c r="K416" s="19">
        <v>2.1700000000000001E-2</v>
      </c>
      <c r="L416" s="19" t="s">
        <v>35</v>
      </c>
      <c r="M416" s="19" t="s">
        <v>103</v>
      </c>
      <c r="N416" s="19">
        <v>0</v>
      </c>
      <c r="O416" s="19">
        <v>0</v>
      </c>
      <c r="P416" s="19">
        <v>0</v>
      </c>
      <c r="Q416" s="19">
        <v>0</v>
      </c>
      <c r="S416" s="19">
        <v>1</v>
      </c>
      <c r="T416" s="19">
        <v>1</v>
      </c>
      <c r="U416" s="19">
        <v>0</v>
      </c>
      <c r="V416" s="19" t="s">
        <v>80</v>
      </c>
      <c r="W416" s="19">
        <v>0</v>
      </c>
      <c r="Y416" s="19" t="s">
        <v>103</v>
      </c>
      <c r="Z416" s="19">
        <v>50</v>
      </c>
      <c r="AA416" s="19">
        <v>0</v>
      </c>
    </row>
    <row r="417" spans="1:27" x14ac:dyDescent="0.25">
      <c r="A417" s="19" t="s">
        <v>607</v>
      </c>
      <c r="B417" s="19" t="s">
        <v>581</v>
      </c>
      <c r="C417" s="19" t="s">
        <v>582</v>
      </c>
      <c r="D417" s="19">
        <v>0</v>
      </c>
      <c r="E417" s="19" t="s">
        <v>123</v>
      </c>
      <c r="F417" s="19" t="s">
        <v>124</v>
      </c>
      <c r="G417" s="19" t="s">
        <v>32</v>
      </c>
      <c r="H417" s="19" t="s">
        <v>114</v>
      </c>
      <c r="I417" s="19" t="s">
        <v>115</v>
      </c>
      <c r="J417" s="19">
        <v>27</v>
      </c>
      <c r="K417" s="19">
        <v>2.1700000000000001E-2</v>
      </c>
      <c r="L417" s="19" t="s">
        <v>35</v>
      </c>
      <c r="M417" s="19" t="s">
        <v>103</v>
      </c>
      <c r="N417" s="19">
        <v>0</v>
      </c>
      <c r="O417" s="19">
        <v>0</v>
      </c>
      <c r="P417" s="19">
        <v>0</v>
      </c>
      <c r="Q417" s="19">
        <v>0</v>
      </c>
      <c r="S417" s="19">
        <v>1</v>
      </c>
      <c r="T417" s="19">
        <v>1</v>
      </c>
      <c r="U417" s="19">
        <v>0</v>
      </c>
      <c r="V417" s="19" t="s">
        <v>36</v>
      </c>
      <c r="W417" s="19">
        <v>0</v>
      </c>
      <c r="Y417" s="19" t="s">
        <v>103</v>
      </c>
      <c r="Z417" s="19">
        <v>50</v>
      </c>
      <c r="AA417" s="19">
        <v>0</v>
      </c>
    </row>
    <row r="418" spans="1:27" x14ac:dyDescent="0.25">
      <c r="A418" s="19" t="s">
        <v>608</v>
      </c>
      <c r="B418" s="19" t="s">
        <v>581</v>
      </c>
      <c r="C418" s="19" t="s">
        <v>582</v>
      </c>
      <c r="D418" s="19">
        <v>1.085</v>
      </c>
      <c r="E418" s="19" t="s">
        <v>126</v>
      </c>
      <c r="F418" s="19" t="s">
        <v>127</v>
      </c>
      <c r="G418" s="19" t="s">
        <v>32</v>
      </c>
      <c r="H418" s="19" t="s">
        <v>114</v>
      </c>
      <c r="I418" s="19" t="s">
        <v>115</v>
      </c>
      <c r="J418" s="19">
        <v>29</v>
      </c>
      <c r="K418" s="19">
        <v>2.1700000000000001E-2</v>
      </c>
      <c r="L418" s="19" t="s">
        <v>35</v>
      </c>
      <c r="M418" s="19" t="s">
        <v>103</v>
      </c>
      <c r="N418" s="19">
        <v>50</v>
      </c>
      <c r="O418" s="19">
        <v>50</v>
      </c>
      <c r="P418" s="19">
        <v>0</v>
      </c>
      <c r="Q418" s="19">
        <v>0</v>
      </c>
      <c r="S418" s="19">
        <v>1</v>
      </c>
      <c r="T418" s="19">
        <v>1</v>
      </c>
      <c r="U418" s="19">
        <v>0</v>
      </c>
      <c r="V418" s="19" t="s">
        <v>41</v>
      </c>
      <c r="W418" s="19">
        <v>1</v>
      </c>
      <c r="Y418" s="19" t="s">
        <v>103</v>
      </c>
      <c r="Z418" s="19">
        <v>50</v>
      </c>
      <c r="AA418" s="19">
        <v>50</v>
      </c>
    </row>
    <row r="419" spans="1:27" x14ac:dyDescent="0.25">
      <c r="A419" s="19" t="s">
        <v>609</v>
      </c>
      <c r="B419" s="19" t="s">
        <v>581</v>
      </c>
      <c r="C419" s="19" t="s">
        <v>582</v>
      </c>
      <c r="D419" s="19">
        <v>0</v>
      </c>
      <c r="E419" s="19" t="s">
        <v>129</v>
      </c>
      <c r="F419" s="19" t="s">
        <v>130</v>
      </c>
      <c r="G419" s="19" t="s">
        <v>32</v>
      </c>
      <c r="H419" s="19" t="s">
        <v>114</v>
      </c>
      <c r="I419" s="19" t="s">
        <v>115</v>
      </c>
      <c r="J419" s="19">
        <v>32</v>
      </c>
      <c r="K419" s="19">
        <v>2.1700000000000001E-2</v>
      </c>
      <c r="L419" s="19" t="s">
        <v>35</v>
      </c>
      <c r="M419" s="19" t="s">
        <v>103</v>
      </c>
      <c r="N419" s="19">
        <v>0</v>
      </c>
      <c r="O419" s="19">
        <v>0</v>
      </c>
      <c r="P419" s="19">
        <v>0</v>
      </c>
      <c r="Q419" s="19">
        <v>0</v>
      </c>
      <c r="S419" s="19">
        <v>1</v>
      </c>
      <c r="T419" s="19">
        <v>1</v>
      </c>
      <c r="U419" s="19">
        <v>0</v>
      </c>
      <c r="V419" s="19" t="s">
        <v>36</v>
      </c>
      <c r="W419" s="19">
        <v>0</v>
      </c>
      <c r="Y419" s="19" t="s">
        <v>103</v>
      </c>
      <c r="Z419" s="19">
        <v>50</v>
      </c>
      <c r="AA419" s="19">
        <v>0</v>
      </c>
    </row>
    <row r="420" spans="1:27" x14ac:dyDescent="0.25">
      <c r="A420" s="19" t="s">
        <v>610</v>
      </c>
      <c r="B420" s="19" t="s">
        <v>581</v>
      </c>
      <c r="C420" s="19" t="s">
        <v>582</v>
      </c>
      <c r="D420" s="19">
        <v>2.085</v>
      </c>
      <c r="E420" s="19" t="s">
        <v>132</v>
      </c>
      <c r="F420" s="19" t="s">
        <v>133</v>
      </c>
      <c r="G420" s="19" t="s">
        <v>134</v>
      </c>
      <c r="H420" s="19" t="s">
        <v>87</v>
      </c>
      <c r="I420" s="19" t="s">
        <v>135</v>
      </c>
      <c r="J420" s="19">
        <v>11</v>
      </c>
      <c r="K420" s="19">
        <v>4.1700000000000001E-2</v>
      </c>
      <c r="L420" s="19" t="s">
        <v>35</v>
      </c>
      <c r="M420" s="19" t="s">
        <v>103</v>
      </c>
      <c r="N420" s="19">
        <v>50</v>
      </c>
      <c r="O420" s="19">
        <v>50</v>
      </c>
      <c r="P420" s="19">
        <v>0</v>
      </c>
      <c r="Q420" s="19">
        <v>0</v>
      </c>
      <c r="S420" s="19">
        <v>1</v>
      </c>
      <c r="T420" s="19">
        <v>1</v>
      </c>
      <c r="U420" s="19">
        <v>0</v>
      </c>
      <c r="V420" s="19" t="s">
        <v>41</v>
      </c>
      <c r="W420" s="19">
        <v>1</v>
      </c>
      <c r="Y420" s="19" t="s">
        <v>103</v>
      </c>
      <c r="Z420" s="19">
        <v>50</v>
      </c>
      <c r="AA420" s="19">
        <v>50</v>
      </c>
    </row>
    <row r="421" spans="1:27" x14ac:dyDescent="0.25">
      <c r="A421" s="19" t="s">
        <v>611</v>
      </c>
      <c r="B421" s="19" t="s">
        <v>581</v>
      </c>
      <c r="C421" s="19" t="s">
        <v>582</v>
      </c>
      <c r="D421" s="19">
        <v>0</v>
      </c>
      <c r="E421" s="19" t="s">
        <v>137</v>
      </c>
      <c r="F421" s="19" t="s">
        <v>138</v>
      </c>
      <c r="G421" s="19" t="s">
        <v>134</v>
      </c>
      <c r="H421" s="19" t="s">
        <v>87</v>
      </c>
      <c r="I421" s="19" t="s">
        <v>135</v>
      </c>
      <c r="J421" s="19">
        <v>9</v>
      </c>
      <c r="K421" s="19">
        <v>4.1700000000000001E-2</v>
      </c>
      <c r="L421" s="19" t="s">
        <v>35</v>
      </c>
      <c r="M421" s="19" t="s">
        <v>110</v>
      </c>
      <c r="N421" s="19">
        <v>0</v>
      </c>
      <c r="O421" s="19">
        <v>0</v>
      </c>
      <c r="P421" s="19">
        <v>0</v>
      </c>
      <c r="Q421" s="19">
        <v>0</v>
      </c>
      <c r="S421" s="19">
        <v>1</v>
      </c>
      <c r="T421" s="19">
        <v>1</v>
      </c>
      <c r="U421" s="19">
        <v>0</v>
      </c>
      <c r="W421" s="19">
        <v>0</v>
      </c>
      <c r="X421" s="19">
        <v>0</v>
      </c>
      <c r="Y421" s="19" t="s">
        <v>110</v>
      </c>
      <c r="Z421" s="19">
        <v>16.664999999999999</v>
      </c>
      <c r="AA421" s="19">
        <v>0</v>
      </c>
    </row>
    <row r="422" spans="1:27" x14ac:dyDescent="0.25">
      <c r="A422" s="19" t="s">
        <v>612</v>
      </c>
      <c r="B422" s="19" t="s">
        <v>581</v>
      </c>
      <c r="C422" s="19" t="s">
        <v>582</v>
      </c>
      <c r="D422" s="19">
        <v>0</v>
      </c>
      <c r="E422" s="19" t="s">
        <v>140</v>
      </c>
      <c r="F422" s="19" t="s">
        <v>141</v>
      </c>
      <c r="G422" s="19" t="s">
        <v>134</v>
      </c>
      <c r="H422" s="19" t="s">
        <v>87</v>
      </c>
      <c r="I422" s="19" t="s">
        <v>135</v>
      </c>
      <c r="J422" s="19">
        <v>10</v>
      </c>
      <c r="K422" s="19">
        <v>4.1700000000000001E-2</v>
      </c>
      <c r="L422" s="19" t="s">
        <v>35</v>
      </c>
      <c r="N422" s="19">
        <v>0</v>
      </c>
      <c r="O422" s="19">
        <v>0</v>
      </c>
      <c r="P422" s="19">
        <v>0</v>
      </c>
      <c r="Q422" s="19">
        <v>0</v>
      </c>
      <c r="S422" s="19">
        <v>1</v>
      </c>
      <c r="T422" s="19">
        <v>1</v>
      </c>
      <c r="U422" s="19">
        <v>0</v>
      </c>
      <c r="W422" s="19">
        <v>0</v>
      </c>
      <c r="X422" s="19">
        <v>0</v>
      </c>
      <c r="Z422" s="19">
        <v>0</v>
      </c>
      <c r="AA422" s="19">
        <v>0</v>
      </c>
    </row>
    <row r="423" spans="1:27" x14ac:dyDescent="0.25">
      <c r="A423" s="19" t="s">
        <v>613</v>
      </c>
      <c r="B423" s="19" t="s">
        <v>581</v>
      </c>
      <c r="C423" s="19" t="s">
        <v>582</v>
      </c>
      <c r="D423" s="19">
        <v>1.25</v>
      </c>
      <c r="E423" s="19" t="s">
        <v>144</v>
      </c>
      <c r="F423" s="19" t="s">
        <v>145</v>
      </c>
      <c r="G423" s="19" t="s">
        <v>134</v>
      </c>
      <c r="H423" s="19" t="s">
        <v>146</v>
      </c>
      <c r="I423" s="19" t="s">
        <v>147</v>
      </c>
      <c r="J423" s="19">
        <v>4</v>
      </c>
      <c r="K423" s="19">
        <v>2.5000000000000001E-2</v>
      </c>
      <c r="L423" s="19" t="s">
        <v>35</v>
      </c>
      <c r="M423" s="19" t="s">
        <v>103</v>
      </c>
      <c r="N423" s="19">
        <v>50</v>
      </c>
      <c r="O423" s="19">
        <v>50</v>
      </c>
      <c r="P423" s="19">
        <v>0</v>
      </c>
      <c r="Q423" s="19">
        <v>0</v>
      </c>
      <c r="S423" s="19">
        <v>1</v>
      </c>
      <c r="T423" s="19">
        <v>1</v>
      </c>
      <c r="U423" s="19">
        <v>0</v>
      </c>
      <c r="V423" s="19" t="s">
        <v>41</v>
      </c>
      <c r="W423" s="19">
        <v>1</v>
      </c>
      <c r="Y423" s="19" t="s">
        <v>103</v>
      </c>
      <c r="Z423" s="19">
        <v>50</v>
      </c>
      <c r="AA423" s="19">
        <v>50</v>
      </c>
    </row>
    <row r="424" spans="1:27" x14ac:dyDescent="0.25">
      <c r="A424" s="19" t="s">
        <v>614</v>
      </c>
      <c r="B424" s="19" t="s">
        <v>581</v>
      </c>
      <c r="C424" s="19" t="s">
        <v>582</v>
      </c>
      <c r="D424" s="19">
        <v>1.25</v>
      </c>
      <c r="E424" s="19" t="s">
        <v>149</v>
      </c>
      <c r="F424" s="19" t="s">
        <v>150</v>
      </c>
      <c r="G424" s="19" t="s">
        <v>134</v>
      </c>
      <c r="H424" s="19" t="s">
        <v>146</v>
      </c>
      <c r="I424" s="19" t="s">
        <v>147</v>
      </c>
      <c r="J424" s="19">
        <v>5</v>
      </c>
      <c r="K424" s="19">
        <v>2.5000000000000001E-2</v>
      </c>
      <c r="L424" s="19" t="s">
        <v>35</v>
      </c>
      <c r="M424" s="19" t="s">
        <v>103</v>
      </c>
      <c r="N424" s="19">
        <v>50</v>
      </c>
      <c r="O424" s="19">
        <v>50</v>
      </c>
      <c r="P424" s="19">
        <v>0</v>
      </c>
      <c r="Q424" s="19">
        <v>0</v>
      </c>
      <c r="S424" s="19">
        <v>1</v>
      </c>
      <c r="T424" s="19">
        <v>1</v>
      </c>
      <c r="U424" s="19">
        <v>0</v>
      </c>
      <c r="V424" s="19" t="s">
        <v>41</v>
      </c>
      <c r="W424" s="19">
        <v>1</v>
      </c>
      <c r="Y424" s="19" t="s">
        <v>103</v>
      </c>
      <c r="Z424" s="19">
        <v>50</v>
      </c>
      <c r="AA424" s="19">
        <v>50</v>
      </c>
    </row>
    <row r="425" spans="1:27" x14ac:dyDescent="0.25">
      <c r="A425" s="19" t="s">
        <v>615</v>
      </c>
      <c r="B425" s="19" t="s">
        <v>581</v>
      </c>
      <c r="C425" s="19" t="s">
        <v>582</v>
      </c>
      <c r="D425" s="19">
        <v>1.25</v>
      </c>
      <c r="E425" s="19" t="s">
        <v>152</v>
      </c>
      <c r="F425" s="19" t="s">
        <v>153</v>
      </c>
      <c r="G425" s="19" t="s">
        <v>134</v>
      </c>
      <c r="H425" s="19" t="s">
        <v>146</v>
      </c>
      <c r="I425" s="19" t="s">
        <v>147</v>
      </c>
      <c r="J425" s="19">
        <v>6</v>
      </c>
      <c r="K425" s="19">
        <v>2.5000000000000001E-2</v>
      </c>
      <c r="L425" s="19" t="s">
        <v>35</v>
      </c>
      <c r="M425" s="19" t="s">
        <v>103</v>
      </c>
      <c r="N425" s="19">
        <v>50</v>
      </c>
      <c r="O425" s="19">
        <v>50</v>
      </c>
      <c r="P425" s="19">
        <v>0</v>
      </c>
      <c r="Q425" s="19">
        <v>0</v>
      </c>
      <c r="S425" s="19">
        <v>1</v>
      </c>
      <c r="T425" s="19">
        <v>1</v>
      </c>
      <c r="U425" s="19">
        <v>0</v>
      </c>
      <c r="V425" s="19" t="s">
        <v>41</v>
      </c>
      <c r="W425" s="19">
        <v>1</v>
      </c>
      <c r="Y425" s="19" t="s">
        <v>103</v>
      </c>
      <c r="Z425" s="19">
        <v>50</v>
      </c>
      <c r="AA425" s="19">
        <v>50</v>
      </c>
    </row>
    <row r="426" spans="1:27" x14ac:dyDescent="0.25">
      <c r="A426" s="19" t="s">
        <v>616</v>
      </c>
      <c r="B426" s="19" t="s">
        <v>581</v>
      </c>
      <c r="C426" s="19" t="s">
        <v>582</v>
      </c>
      <c r="D426" s="19">
        <v>1.25</v>
      </c>
      <c r="E426" s="19" t="s">
        <v>155</v>
      </c>
      <c r="F426" s="19" t="s">
        <v>156</v>
      </c>
      <c r="G426" s="19" t="s">
        <v>134</v>
      </c>
      <c r="H426" s="19" t="s">
        <v>146</v>
      </c>
      <c r="I426" s="19" t="s">
        <v>147</v>
      </c>
      <c r="J426" s="19">
        <v>7</v>
      </c>
      <c r="K426" s="19">
        <v>2.5000000000000001E-2</v>
      </c>
      <c r="L426" s="19" t="s">
        <v>35</v>
      </c>
      <c r="M426" s="19" t="s">
        <v>103</v>
      </c>
      <c r="N426" s="19">
        <v>50</v>
      </c>
      <c r="O426" s="19">
        <v>50</v>
      </c>
      <c r="P426" s="19">
        <v>0</v>
      </c>
      <c r="Q426" s="19">
        <v>0</v>
      </c>
      <c r="S426" s="19">
        <v>1</v>
      </c>
      <c r="T426" s="19">
        <v>1</v>
      </c>
      <c r="U426" s="19">
        <v>0</v>
      </c>
      <c r="V426" s="19" t="s">
        <v>41</v>
      </c>
      <c r="W426" s="19">
        <v>1</v>
      </c>
      <c r="Y426" s="19" t="s">
        <v>103</v>
      </c>
      <c r="Z426" s="19">
        <v>50</v>
      </c>
      <c r="AA426" s="19">
        <v>50</v>
      </c>
    </row>
    <row r="427" spans="1:27" x14ac:dyDescent="0.25">
      <c r="A427" s="19" t="s">
        <v>617</v>
      </c>
      <c r="B427" s="19" t="s">
        <v>581</v>
      </c>
      <c r="C427" s="19" t="s">
        <v>582</v>
      </c>
      <c r="D427" s="19">
        <v>1.25</v>
      </c>
      <c r="E427" s="19" t="s">
        <v>158</v>
      </c>
      <c r="F427" s="19" t="s">
        <v>159</v>
      </c>
      <c r="G427" s="19" t="s">
        <v>134</v>
      </c>
      <c r="H427" s="19" t="s">
        <v>146</v>
      </c>
      <c r="I427" s="19" t="s">
        <v>147</v>
      </c>
      <c r="J427" s="19">
        <v>8</v>
      </c>
      <c r="K427" s="19">
        <v>2.5000000000000001E-2</v>
      </c>
      <c r="L427" s="19" t="s">
        <v>35</v>
      </c>
      <c r="M427" s="19" t="s">
        <v>103</v>
      </c>
      <c r="N427" s="19">
        <v>50</v>
      </c>
      <c r="O427" s="19">
        <v>50</v>
      </c>
      <c r="P427" s="19">
        <v>0</v>
      </c>
      <c r="Q427" s="19">
        <v>0</v>
      </c>
      <c r="S427" s="19">
        <v>1</v>
      </c>
      <c r="T427" s="19">
        <v>1</v>
      </c>
      <c r="U427" s="19">
        <v>0</v>
      </c>
      <c r="V427" s="19" t="s">
        <v>41</v>
      </c>
      <c r="W427" s="19">
        <v>1</v>
      </c>
      <c r="Y427" s="19" t="s">
        <v>103</v>
      </c>
      <c r="Z427" s="19">
        <v>50</v>
      </c>
      <c r="AA427" s="19">
        <v>50</v>
      </c>
    </row>
    <row r="428" spans="1:27" x14ac:dyDescent="0.25">
      <c r="A428" s="19" t="s">
        <v>618</v>
      </c>
      <c r="B428" s="19" t="s">
        <v>581</v>
      </c>
      <c r="C428" s="19" t="s">
        <v>582</v>
      </c>
      <c r="D428" s="19">
        <v>2.2197779999999998</v>
      </c>
      <c r="E428" s="19" t="s">
        <v>161</v>
      </c>
      <c r="F428" s="19" t="s">
        <v>162</v>
      </c>
      <c r="G428" s="19" t="s">
        <v>163</v>
      </c>
      <c r="I428" s="19" t="s">
        <v>164</v>
      </c>
      <c r="J428" s="19">
        <v>1</v>
      </c>
      <c r="K428" s="19">
        <v>3.3300000000000003E-2</v>
      </c>
      <c r="L428" s="19" t="s">
        <v>35</v>
      </c>
      <c r="M428" s="19" t="s">
        <v>165</v>
      </c>
      <c r="N428" s="19">
        <v>66.66</v>
      </c>
      <c r="O428" s="19">
        <v>66.66</v>
      </c>
      <c r="P428" s="19">
        <v>0</v>
      </c>
      <c r="Q428" s="19">
        <v>0</v>
      </c>
      <c r="S428" s="19">
        <v>1</v>
      </c>
      <c r="T428" s="19">
        <v>1</v>
      </c>
      <c r="U428" s="19">
        <v>0</v>
      </c>
      <c r="W428" s="19">
        <v>0</v>
      </c>
      <c r="X428" s="19">
        <v>66.66</v>
      </c>
      <c r="Z428" s="19">
        <v>0</v>
      </c>
      <c r="AA428" s="19">
        <v>66.66</v>
      </c>
    </row>
    <row r="429" spans="1:27" x14ac:dyDescent="0.25">
      <c r="A429" s="19" t="s">
        <v>619</v>
      </c>
      <c r="B429" s="19" t="s">
        <v>581</v>
      </c>
      <c r="C429" s="19" t="s">
        <v>582</v>
      </c>
      <c r="D429" s="19">
        <v>1.1098889999999999</v>
      </c>
      <c r="E429" s="19" t="s">
        <v>167</v>
      </c>
      <c r="F429" s="19" t="s">
        <v>168</v>
      </c>
      <c r="G429" s="19" t="s">
        <v>163</v>
      </c>
      <c r="I429" s="19" t="s">
        <v>164</v>
      </c>
      <c r="J429" s="19">
        <v>3</v>
      </c>
      <c r="K429" s="19">
        <v>3.3300000000000003E-2</v>
      </c>
      <c r="L429" s="19" t="s">
        <v>35</v>
      </c>
      <c r="M429" s="19" t="s">
        <v>165</v>
      </c>
      <c r="N429" s="19">
        <v>33.33</v>
      </c>
      <c r="O429" s="19">
        <v>33.33</v>
      </c>
      <c r="P429" s="19">
        <v>0</v>
      </c>
      <c r="Q429" s="19">
        <v>0</v>
      </c>
      <c r="S429" s="19">
        <v>1</v>
      </c>
      <c r="T429" s="19">
        <v>1</v>
      </c>
      <c r="U429" s="19">
        <v>0</v>
      </c>
      <c r="W429" s="19">
        <v>0</v>
      </c>
      <c r="X429" s="19">
        <v>33.33</v>
      </c>
      <c r="Z429" s="19">
        <v>0</v>
      </c>
      <c r="AA429" s="19">
        <v>33.33</v>
      </c>
    </row>
    <row r="430" spans="1:27" x14ac:dyDescent="0.25">
      <c r="A430" s="19" t="s">
        <v>620</v>
      </c>
      <c r="B430" s="19" t="s">
        <v>581</v>
      </c>
      <c r="C430" s="19" t="s">
        <v>582</v>
      </c>
      <c r="D430" s="19">
        <v>0</v>
      </c>
      <c r="E430" s="19" t="s">
        <v>170</v>
      </c>
      <c r="F430" s="19" t="s">
        <v>171</v>
      </c>
      <c r="G430" s="19" t="s">
        <v>163</v>
      </c>
      <c r="I430" s="19" t="s">
        <v>164</v>
      </c>
      <c r="J430" s="19">
        <v>2</v>
      </c>
      <c r="K430" s="19">
        <v>3.3300000000000003E-2</v>
      </c>
      <c r="L430" s="19" t="s">
        <v>35</v>
      </c>
      <c r="M430" s="19" t="s">
        <v>165</v>
      </c>
      <c r="N430" s="19">
        <v>0</v>
      </c>
      <c r="O430" s="19">
        <v>0</v>
      </c>
      <c r="P430" s="19">
        <v>0</v>
      </c>
      <c r="Q430" s="19">
        <v>0</v>
      </c>
      <c r="S430" s="19">
        <v>1</v>
      </c>
      <c r="T430" s="19">
        <v>1</v>
      </c>
      <c r="U430" s="19">
        <v>0</v>
      </c>
      <c r="W430" s="19">
        <v>0</v>
      </c>
      <c r="X430" s="19">
        <v>0</v>
      </c>
      <c r="Z430" s="19">
        <v>0</v>
      </c>
      <c r="AA430" s="19">
        <v>0</v>
      </c>
    </row>
    <row r="431" spans="1:27" x14ac:dyDescent="0.25">
      <c r="A431" s="19" t="s">
        <v>621</v>
      </c>
      <c r="B431" s="19" t="s">
        <v>622</v>
      </c>
      <c r="C431" s="19" t="s">
        <v>623</v>
      </c>
      <c r="D431" s="19">
        <v>0</v>
      </c>
      <c r="E431" s="19" t="s">
        <v>30</v>
      </c>
      <c r="F431" s="19" t="s">
        <v>31</v>
      </c>
      <c r="G431" s="19" t="s">
        <v>32</v>
      </c>
      <c r="H431" s="19" t="s">
        <v>33</v>
      </c>
      <c r="I431" s="19" t="s">
        <v>34</v>
      </c>
      <c r="J431" s="19">
        <v>17</v>
      </c>
      <c r="K431" s="19">
        <v>1.6299999999999999E-2</v>
      </c>
      <c r="L431" s="19" t="s">
        <v>35</v>
      </c>
      <c r="M431" s="19" t="s">
        <v>142</v>
      </c>
      <c r="N431" s="19">
        <v>0</v>
      </c>
      <c r="O431" s="19">
        <v>0</v>
      </c>
      <c r="P431" s="19">
        <v>0</v>
      </c>
      <c r="Q431" s="19">
        <v>0</v>
      </c>
      <c r="S431" s="19">
        <v>1</v>
      </c>
      <c r="T431" s="19">
        <v>1</v>
      </c>
      <c r="U431" s="19">
        <v>0</v>
      </c>
      <c r="V431" s="19" t="s">
        <v>80</v>
      </c>
      <c r="W431" s="19">
        <v>0</v>
      </c>
      <c r="Y431" s="19" t="s">
        <v>142</v>
      </c>
      <c r="Z431" s="19">
        <v>50</v>
      </c>
      <c r="AA431" s="19">
        <v>0</v>
      </c>
    </row>
    <row r="432" spans="1:27" x14ac:dyDescent="0.25">
      <c r="A432" s="19" t="s">
        <v>624</v>
      </c>
      <c r="B432" s="19" t="s">
        <v>622</v>
      </c>
      <c r="C432" s="19" t="s">
        <v>623</v>
      </c>
      <c r="D432" s="19">
        <v>0.54327899999999996</v>
      </c>
      <c r="E432" s="19" t="s">
        <v>38</v>
      </c>
      <c r="F432" s="19" t="s">
        <v>39</v>
      </c>
      <c r="G432" s="19" t="s">
        <v>32</v>
      </c>
      <c r="H432" s="19" t="s">
        <v>33</v>
      </c>
      <c r="I432" s="19" t="s">
        <v>34</v>
      </c>
      <c r="J432" s="19">
        <v>19</v>
      </c>
      <c r="K432" s="19">
        <v>1.6299999999999999E-2</v>
      </c>
      <c r="L432" s="19" t="s">
        <v>35</v>
      </c>
      <c r="M432" s="19" t="s">
        <v>40</v>
      </c>
      <c r="N432" s="19">
        <v>33.33</v>
      </c>
      <c r="O432" s="19">
        <v>33.33</v>
      </c>
      <c r="P432" s="19">
        <v>0</v>
      </c>
      <c r="Q432" s="19">
        <v>0</v>
      </c>
      <c r="S432" s="19">
        <v>1</v>
      </c>
      <c r="T432" s="19">
        <v>1</v>
      </c>
      <c r="U432" s="19">
        <v>0</v>
      </c>
      <c r="V432" s="19" t="s">
        <v>41</v>
      </c>
      <c r="W432" s="19">
        <v>1</v>
      </c>
      <c r="Y432" s="19" t="s">
        <v>40</v>
      </c>
      <c r="Z432" s="19">
        <v>33.33</v>
      </c>
      <c r="AA432" s="19">
        <v>33.33</v>
      </c>
    </row>
    <row r="433" spans="1:27" x14ac:dyDescent="0.25">
      <c r="A433" s="19" t="s">
        <v>625</v>
      </c>
      <c r="B433" s="19" t="s">
        <v>622</v>
      </c>
      <c r="C433" s="19" t="s">
        <v>623</v>
      </c>
      <c r="D433" s="19">
        <v>0.81499999999999995</v>
      </c>
      <c r="E433" s="19" t="s">
        <v>43</v>
      </c>
      <c r="F433" s="19" t="s">
        <v>44</v>
      </c>
      <c r="G433" s="19" t="s">
        <v>32</v>
      </c>
      <c r="H433" s="19" t="s">
        <v>33</v>
      </c>
      <c r="I433" s="19" t="s">
        <v>34</v>
      </c>
      <c r="J433" s="19">
        <v>18</v>
      </c>
      <c r="K433" s="19">
        <v>1.6299999999999999E-2</v>
      </c>
      <c r="L433" s="19" t="s">
        <v>35</v>
      </c>
      <c r="M433" s="19" t="s">
        <v>142</v>
      </c>
      <c r="N433" s="19">
        <v>50</v>
      </c>
      <c r="O433" s="19">
        <v>50</v>
      </c>
      <c r="P433" s="19">
        <v>0</v>
      </c>
      <c r="Q433" s="19">
        <v>0</v>
      </c>
      <c r="S433" s="19">
        <v>1</v>
      </c>
      <c r="T433" s="19">
        <v>1</v>
      </c>
      <c r="U433" s="19">
        <v>0</v>
      </c>
      <c r="V433" s="19" t="s">
        <v>41</v>
      </c>
      <c r="W433" s="19">
        <v>1</v>
      </c>
      <c r="Y433" s="19" t="s">
        <v>142</v>
      </c>
      <c r="Z433" s="19">
        <v>50</v>
      </c>
      <c r="AA433" s="19">
        <v>50</v>
      </c>
    </row>
    <row r="434" spans="1:27" x14ac:dyDescent="0.25">
      <c r="A434" s="19" t="s">
        <v>626</v>
      </c>
      <c r="B434" s="19" t="s">
        <v>622</v>
      </c>
      <c r="C434" s="19" t="s">
        <v>623</v>
      </c>
      <c r="D434" s="19">
        <v>0.54327899999999996</v>
      </c>
      <c r="E434" s="19" t="s">
        <v>46</v>
      </c>
      <c r="F434" s="19" t="s">
        <v>47</v>
      </c>
      <c r="G434" s="19" t="s">
        <v>32</v>
      </c>
      <c r="H434" s="19" t="s">
        <v>33</v>
      </c>
      <c r="I434" s="19" t="s">
        <v>34</v>
      </c>
      <c r="J434" s="19">
        <v>15</v>
      </c>
      <c r="K434" s="19">
        <v>1.6299999999999999E-2</v>
      </c>
      <c r="L434" s="19" t="s">
        <v>35</v>
      </c>
      <c r="M434" s="19" t="s">
        <v>40</v>
      </c>
      <c r="N434" s="19">
        <v>33.33</v>
      </c>
      <c r="O434" s="19">
        <v>33.33</v>
      </c>
      <c r="P434" s="19">
        <v>0</v>
      </c>
      <c r="Q434" s="19">
        <v>0</v>
      </c>
      <c r="S434" s="19">
        <v>1</v>
      </c>
      <c r="T434" s="19">
        <v>1</v>
      </c>
      <c r="U434" s="19">
        <v>0</v>
      </c>
      <c r="V434" s="19" t="s">
        <v>41</v>
      </c>
      <c r="W434" s="19">
        <v>1</v>
      </c>
      <c r="Y434" s="19" t="s">
        <v>40</v>
      </c>
      <c r="Z434" s="19">
        <v>33.33</v>
      </c>
      <c r="AA434" s="19">
        <v>33.33</v>
      </c>
    </row>
    <row r="435" spans="1:27" x14ac:dyDescent="0.25">
      <c r="A435" s="19" t="s">
        <v>627</v>
      </c>
      <c r="B435" s="19" t="s">
        <v>622</v>
      </c>
      <c r="C435" s="19" t="s">
        <v>623</v>
      </c>
      <c r="D435" s="19">
        <v>0.81499999999999995</v>
      </c>
      <c r="E435" s="19" t="s">
        <v>49</v>
      </c>
      <c r="F435" s="19" t="s">
        <v>50</v>
      </c>
      <c r="G435" s="19" t="s">
        <v>32</v>
      </c>
      <c r="H435" s="19" t="s">
        <v>33</v>
      </c>
      <c r="I435" s="19" t="s">
        <v>34</v>
      </c>
      <c r="J435" s="19">
        <v>12</v>
      </c>
      <c r="K435" s="19">
        <v>1.6299999999999999E-2</v>
      </c>
      <c r="L435" s="19" t="s">
        <v>35</v>
      </c>
      <c r="M435" s="19" t="s">
        <v>142</v>
      </c>
      <c r="N435" s="19">
        <v>50</v>
      </c>
      <c r="O435" s="19">
        <v>50</v>
      </c>
      <c r="P435" s="19">
        <v>0</v>
      </c>
      <c r="Q435" s="19">
        <v>0</v>
      </c>
      <c r="S435" s="19">
        <v>1</v>
      </c>
      <c r="T435" s="19">
        <v>1</v>
      </c>
      <c r="U435" s="19">
        <v>0</v>
      </c>
      <c r="V435" s="19" t="s">
        <v>41</v>
      </c>
      <c r="W435" s="19">
        <v>1</v>
      </c>
      <c r="Y435" s="19" t="s">
        <v>142</v>
      </c>
      <c r="Z435" s="19">
        <v>50</v>
      </c>
      <c r="AA435" s="19">
        <v>50</v>
      </c>
    </row>
    <row r="436" spans="1:27" x14ac:dyDescent="0.25">
      <c r="A436" s="19" t="s">
        <v>628</v>
      </c>
      <c r="B436" s="19" t="s">
        <v>622</v>
      </c>
      <c r="C436" s="19" t="s">
        <v>623</v>
      </c>
      <c r="D436" s="19">
        <v>0</v>
      </c>
      <c r="E436" s="19" t="s">
        <v>52</v>
      </c>
      <c r="F436" s="19" t="s">
        <v>53</v>
      </c>
      <c r="G436" s="19" t="s">
        <v>32</v>
      </c>
      <c r="H436" s="19" t="s">
        <v>33</v>
      </c>
      <c r="I436" s="19" t="s">
        <v>34</v>
      </c>
      <c r="J436" s="19">
        <v>16</v>
      </c>
      <c r="K436" s="19">
        <v>1.6299999999999999E-2</v>
      </c>
      <c r="L436" s="19" t="s">
        <v>35</v>
      </c>
      <c r="M436" s="19" t="s">
        <v>110</v>
      </c>
      <c r="N436" s="19">
        <v>0</v>
      </c>
      <c r="O436" s="19">
        <v>0</v>
      </c>
      <c r="P436" s="19">
        <v>0</v>
      </c>
      <c r="Q436" s="19">
        <v>0</v>
      </c>
      <c r="S436" s="19">
        <v>1</v>
      </c>
      <c r="T436" s="19">
        <v>1</v>
      </c>
      <c r="U436" s="19">
        <v>0</v>
      </c>
      <c r="V436" s="19" t="s">
        <v>36</v>
      </c>
      <c r="W436" s="19">
        <v>0</v>
      </c>
      <c r="Y436" s="19" t="s">
        <v>110</v>
      </c>
      <c r="Z436" s="19">
        <v>16.664999999999999</v>
      </c>
      <c r="AA436" s="19">
        <v>0</v>
      </c>
    </row>
    <row r="437" spans="1:27" x14ac:dyDescent="0.25">
      <c r="A437" s="19" t="s">
        <v>629</v>
      </c>
      <c r="B437" s="19" t="s">
        <v>622</v>
      </c>
      <c r="C437" s="19" t="s">
        <v>623</v>
      </c>
      <c r="D437" s="19">
        <v>0.81499999999999995</v>
      </c>
      <c r="E437" s="19" t="s">
        <v>55</v>
      </c>
      <c r="F437" s="19" t="s">
        <v>56</v>
      </c>
      <c r="G437" s="19" t="s">
        <v>32</v>
      </c>
      <c r="H437" s="19" t="s">
        <v>33</v>
      </c>
      <c r="I437" s="19" t="s">
        <v>34</v>
      </c>
      <c r="J437" s="19">
        <v>14</v>
      </c>
      <c r="K437" s="19">
        <v>1.6299999999999999E-2</v>
      </c>
      <c r="L437" s="19" t="s">
        <v>35</v>
      </c>
      <c r="M437" s="19" t="s">
        <v>142</v>
      </c>
      <c r="N437" s="19">
        <v>50</v>
      </c>
      <c r="O437" s="19">
        <v>50</v>
      </c>
      <c r="P437" s="19">
        <v>0</v>
      </c>
      <c r="Q437" s="19">
        <v>0</v>
      </c>
      <c r="S437" s="19">
        <v>1</v>
      </c>
      <c r="T437" s="19">
        <v>1</v>
      </c>
      <c r="U437" s="19">
        <v>0</v>
      </c>
      <c r="V437" s="19" t="s">
        <v>41</v>
      </c>
      <c r="W437" s="19">
        <v>1</v>
      </c>
      <c r="Y437" s="19" t="s">
        <v>142</v>
      </c>
      <c r="Z437" s="19">
        <v>50</v>
      </c>
      <c r="AA437" s="19">
        <v>50</v>
      </c>
    </row>
    <row r="438" spans="1:27" x14ac:dyDescent="0.25">
      <c r="A438" s="19" t="s">
        <v>630</v>
      </c>
      <c r="B438" s="19" t="s">
        <v>622</v>
      </c>
      <c r="C438" s="19" t="s">
        <v>623</v>
      </c>
      <c r="D438" s="19">
        <v>0</v>
      </c>
      <c r="E438" s="19" t="s">
        <v>58</v>
      </c>
      <c r="F438" s="19" t="s">
        <v>59</v>
      </c>
      <c r="G438" s="19" t="s">
        <v>32</v>
      </c>
      <c r="H438" s="19" t="s">
        <v>33</v>
      </c>
      <c r="I438" s="19" t="s">
        <v>34</v>
      </c>
      <c r="J438" s="19">
        <v>13</v>
      </c>
      <c r="K438" s="19">
        <v>1.6299999999999999E-2</v>
      </c>
      <c r="L438" s="19" t="s">
        <v>35</v>
      </c>
      <c r="M438" s="19" t="s">
        <v>110</v>
      </c>
      <c r="N438" s="19">
        <v>0</v>
      </c>
      <c r="O438" s="19">
        <v>0</v>
      </c>
      <c r="P438" s="19">
        <v>0</v>
      </c>
      <c r="Q438" s="19">
        <v>0</v>
      </c>
      <c r="S438" s="19">
        <v>1</v>
      </c>
      <c r="T438" s="19">
        <v>1</v>
      </c>
      <c r="U438" s="19">
        <v>0</v>
      </c>
      <c r="V438" s="19" t="s">
        <v>36</v>
      </c>
      <c r="W438" s="19">
        <v>0</v>
      </c>
      <c r="Y438" s="19" t="s">
        <v>110</v>
      </c>
      <c r="Z438" s="19">
        <v>16.664999999999999</v>
      </c>
      <c r="AA438" s="19">
        <v>0</v>
      </c>
    </row>
    <row r="439" spans="1:27" x14ac:dyDescent="0.25">
      <c r="A439" s="19" t="s">
        <v>631</v>
      </c>
      <c r="B439" s="19" t="s">
        <v>622</v>
      </c>
      <c r="C439" s="19" t="s">
        <v>623</v>
      </c>
      <c r="D439" s="19">
        <v>0.92999999999999905</v>
      </c>
      <c r="E439" s="19" t="s">
        <v>61</v>
      </c>
      <c r="F439" s="19" t="s">
        <v>62</v>
      </c>
      <c r="G439" s="19" t="s">
        <v>32</v>
      </c>
      <c r="H439" s="19" t="s">
        <v>63</v>
      </c>
      <c r="I439" s="19" t="s">
        <v>64</v>
      </c>
      <c r="J439" s="19">
        <v>22</v>
      </c>
      <c r="K439" s="19">
        <v>1.8599999999999998E-2</v>
      </c>
      <c r="L439" s="19" t="s">
        <v>35</v>
      </c>
      <c r="M439" s="19" t="s">
        <v>142</v>
      </c>
      <c r="N439" s="19">
        <v>50</v>
      </c>
      <c r="O439" s="19">
        <v>50</v>
      </c>
      <c r="P439" s="19">
        <v>0</v>
      </c>
      <c r="Q439" s="19">
        <v>0</v>
      </c>
      <c r="S439" s="19">
        <v>1</v>
      </c>
      <c r="T439" s="19">
        <v>1</v>
      </c>
      <c r="U439" s="19">
        <v>0</v>
      </c>
      <c r="V439" s="19" t="s">
        <v>41</v>
      </c>
      <c r="W439" s="19">
        <v>1</v>
      </c>
      <c r="Y439" s="19" t="s">
        <v>142</v>
      </c>
      <c r="Z439" s="19">
        <v>50</v>
      </c>
      <c r="AA439" s="19">
        <v>50</v>
      </c>
    </row>
    <row r="440" spans="1:27" x14ac:dyDescent="0.25">
      <c r="A440" s="19" t="s">
        <v>632</v>
      </c>
      <c r="B440" s="19" t="s">
        <v>622</v>
      </c>
      <c r="C440" s="19" t="s">
        <v>623</v>
      </c>
      <c r="D440" s="19">
        <v>0.92999999999999905</v>
      </c>
      <c r="E440" s="19" t="s">
        <v>66</v>
      </c>
      <c r="F440" s="19" t="s">
        <v>67</v>
      </c>
      <c r="G440" s="19" t="s">
        <v>32</v>
      </c>
      <c r="H440" s="19" t="s">
        <v>63</v>
      </c>
      <c r="I440" s="19" t="s">
        <v>64</v>
      </c>
      <c r="J440" s="19">
        <v>20</v>
      </c>
      <c r="K440" s="19">
        <v>1.8599999999999998E-2</v>
      </c>
      <c r="L440" s="19" t="s">
        <v>35</v>
      </c>
      <c r="M440" s="19" t="s">
        <v>142</v>
      </c>
      <c r="N440" s="19">
        <v>50</v>
      </c>
      <c r="O440" s="19">
        <v>50</v>
      </c>
      <c r="P440" s="19">
        <v>0</v>
      </c>
      <c r="Q440" s="19">
        <v>0</v>
      </c>
      <c r="S440" s="19">
        <v>1</v>
      </c>
      <c r="T440" s="19">
        <v>1</v>
      </c>
      <c r="U440" s="19">
        <v>0</v>
      </c>
      <c r="V440" s="19" t="s">
        <v>41</v>
      </c>
      <c r="W440" s="19">
        <v>1</v>
      </c>
      <c r="Y440" s="19" t="s">
        <v>142</v>
      </c>
      <c r="Z440" s="19">
        <v>50</v>
      </c>
      <c r="AA440" s="19">
        <v>50</v>
      </c>
    </row>
    <row r="441" spans="1:27" x14ac:dyDescent="0.25">
      <c r="A441" s="19" t="s">
        <v>633</v>
      </c>
      <c r="B441" s="19" t="s">
        <v>622</v>
      </c>
      <c r="C441" s="19" t="s">
        <v>623</v>
      </c>
      <c r="D441" s="19">
        <v>0.92999999999999905</v>
      </c>
      <c r="E441" s="19" t="s">
        <v>69</v>
      </c>
      <c r="F441" s="19" t="s">
        <v>70</v>
      </c>
      <c r="G441" s="19" t="s">
        <v>32</v>
      </c>
      <c r="H441" s="19" t="s">
        <v>63</v>
      </c>
      <c r="I441" s="19" t="s">
        <v>64</v>
      </c>
      <c r="J441" s="19">
        <v>23</v>
      </c>
      <c r="K441" s="19">
        <v>1.8599999999999998E-2</v>
      </c>
      <c r="L441" s="19" t="s">
        <v>35</v>
      </c>
      <c r="M441" s="19" t="s">
        <v>142</v>
      </c>
      <c r="N441" s="19">
        <v>50</v>
      </c>
      <c r="O441" s="19">
        <v>50</v>
      </c>
      <c r="P441" s="19">
        <v>0</v>
      </c>
      <c r="Q441" s="19">
        <v>0</v>
      </c>
      <c r="S441" s="19">
        <v>1</v>
      </c>
      <c r="T441" s="19">
        <v>1</v>
      </c>
      <c r="U441" s="19">
        <v>0</v>
      </c>
      <c r="V441" s="19" t="s">
        <v>41</v>
      </c>
      <c r="W441" s="19">
        <v>1</v>
      </c>
      <c r="Y441" s="19" t="s">
        <v>142</v>
      </c>
      <c r="Z441" s="19">
        <v>50</v>
      </c>
      <c r="AA441" s="19">
        <v>50</v>
      </c>
    </row>
    <row r="442" spans="1:27" x14ac:dyDescent="0.25">
      <c r="A442" s="19" t="s">
        <v>634</v>
      </c>
      <c r="B442" s="19" t="s">
        <v>622</v>
      </c>
      <c r="C442" s="19" t="s">
        <v>623</v>
      </c>
      <c r="D442" s="19">
        <v>0.92999999999999905</v>
      </c>
      <c r="E442" s="19" t="s">
        <v>72</v>
      </c>
      <c r="F442" s="19" t="s">
        <v>73</v>
      </c>
      <c r="G442" s="19" t="s">
        <v>32</v>
      </c>
      <c r="H442" s="19" t="s">
        <v>63</v>
      </c>
      <c r="I442" s="19" t="s">
        <v>64</v>
      </c>
      <c r="J442" s="19">
        <v>21</v>
      </c>
      <c r="K442" s="19">
        <v>1.8599999999999998E-2</v>
      </c>
      <c r="L442" s="19" t="s">
        <v>35</v>
      </c>
      <c r="M442" s="19" t="s">
        <v>142</v>
      </c>
      <c r="N442" s="19">
        <v>50</v>
      </c>
      <c r="O442" s="19">
        <v>50</v>
      </c>
      <c r="P442" s="19">
        <v>0</v>
      </c>
      <c r="Q442" s="19">
        <v>0</v>
      </c>
      <c r="S442" s="19">
        <v>1</v>
      </c>
      <c r="T442" s="19">
        <v>1</v>
      </c>
      <c r="U442" s="19">
        <v>0</v>
      </c>
      <c r="V442" s="19" t="s">
        <v>41</v>
      </c>
      <c r="W442" s="19">
        <v>1</v>
      </c>
      <c r="Y442" s="19" t="s">
        <v>142</v>
      </c>
      <c r="Z442" s="19">
        <v>50</v>
      </c>
      <c r="AA442" s="19">
        <v>50</v>
      </c>
    </row>
    <row r="443" spans="1:27" x14ac:dyDescent="0.25">
      <c r="A443" s="19" t="s">
        <v>635</v>
      </c>
      <c r="B443" s="19" t="s">
        <v>622</v>
      </c>
      <c r="C443" s="19" t="s">
        <v>623</v>
      </c>
      <c r="D443" s="19">
        <v>0.92999999999999905</v>
      </c>
      <c r="E443" s="19" t="s">
        <v>75</v>
      </c>
      <c r="F443" s="19" t="s">
        <v>76</v>
      </c>
      <c r="G443" s="19" t="s">
        <v>32</v>
      </c>
      <c r="H443" s="19" t="s">
        <v>63</v>
      </c>
      <c r="I443" s="19" t="s">
        <v>64</v>
      </c>
      <c r="J443" s="19">
        <v>24</v>
      </c>
      <c r="K443" s="19">
        <v>1.8599999999999998E-2</v>
      </c>
      <c r="L443" s="19" t="s">
        <v>35</v>
      </c>
      <c r="M443" s="19" t="s">
        <v>142</v>
      </c>
      <c r="N443" s="19">
        <v>50</v>
      </c>
      <c r="O443" s="19">
        <v>50</v>
      </c>
      <c r="P443" s="19">
        <v>0</v>
      </c>
      <c r="Q443" s="19">
        <v>0</v>
      </c>
      <c r="S443" s="19">
        <v>1</v>
      </c>
      <c r="T443" s="19">
        <v>1</v>
      </c>
      <c r="U443" s="19">
        <v>0</v>
      </c>
      <c r="V443" s="19" t="s">
        <v>41</v>
      </c>
      <c r="W443" s="19">
        <v>1</v>
      </c>
      <c r="Y443" s="19" t="s">
        <v>142</v>
      </c>
      <c r="Z443" s="19">
        <v>50</v>
      </c>
      <c r="AA443" s="19">
        <v>50</v>
      </c>
    </row>
    <row r="444" spans="1:27" x14ac:dyDescent="0.25">
      <c r="A444" s="19" t="s">
        <v>636</v>
      </c>
      <c r="B444" s="19" t="s">
        <v>622</v>
      </c>
      <c r="C444" s="19" t="s">
        <v>623</v>
      </c>
      <c r="D444" s="19">
        <v>0.61993799999999899</v>
      </c>
      <c r="E444" s="19" t="s">
        <v>78</v>
      </c>
      <c r="F444" s="19" t="s">
        <v>79</v>
      </c>
      <c r="G444" s="19" t="s">
        <v>32</v>
      </c>
      <c r="H444" s="19" t="s">
        <v>63</v>
      </c>
      <c r="I444" s="19" t="s">
        <v>64</v>
      </c>
      <c r="J444" s="19">
        <v>25</v>
      </c>
      <c r="K444" s="19">
        <v>1.8599999999999998E-2</v>
      </c>
      <c r="L444" s="19" t="s">
        <v>35</v>
      </c>
      <c r="M444" s="19" t="s">
        <v>40</v>
      </c>
      <c r="N444" s="19">
        <v>33.33</v>
      </c>
      <c r="O444" s="19">
        <v>33.33</v>
      </c>
      <c r="P444" s="19">
        <v>0</v>
      </c>
      <c r="Q444" s="19">
        <v>0</v>
      </c>
      <c r="S444" s="19">
        <v>1</v>
      </c>
      <c r="T444" s="19">
        <v>1</v>
      </c>
      <c r="U444" s="19">
        <v>0</v>
      </c>
      <c r="V444" s="19" t="s">
        <v>41</v>
      </c>
      <c r="W444" s="19">
        <v>1</v>
      </c>
      <c r="Y444" s="19" t="s">
        <v>40</v>
      </c>
      <c r="Z444" s="19">
        <v>33.33</v>
      </c>
      <c r="AA444" s="19">
        <v>33.33</v>
      </c>
    </row>
    <row r="445" spans="1:27" x14ac:dyDescent="0.25">
      <c r="A445" s="19" t="s">
        <v>637</v>
      </c>
      <c r="B445" s="19" t="s">
        <v>622</v>
      </c>
      <c r="C445" s="19" t="s">
        <v>623</v>
      </c>
      <c r="D445" s="19">
        <v>0.61993799999999899</v>
      </c>
      <c r="E445" s="19" t="s">
        <v>82</v>
      </c>
      <c r="F445" s="19" t="s">
        <v>83</v>
      </c>
      <c r="G445" s="19" t="s">
        <v>32</v>
      </c>
      <c r="H445" s="19" t="s">
        <v>63</v>
      </c>
      <c r="I445" s="19" t="s">
        <v>64</v>
      </c>
      <c r="J445" s="19">
        <v>26</v>
      </c>
      <c r="K445" s="19">
        <v>1.8599999999999998E-2</v>
      </c>
      <c r="L445" s="19" t="s">
        <v>35</v>
      </c>
      <c r="M445" s="19" t="s">
        <v>40</v>
      </c>
      <c r="N445" s="19">
        <v>33.33</v>
      </c>
      <c r="O445" s="19">
        <v>33.33</v>
      </c>
      <c r="P445" s="19">
        <v>0</v>
      </c>
      <c r="Q445" s="19">
        <v>0</v>
      </c>
      <c r="S445" s="19">
        <v>1</v>
      </c>
      <c r="T445" s="19">
        <v>1</v>
      </c>
      <c r="U445" s="19">
        <v>0</v>
      </c>
      <c r="V445" s="19" t="s">
        <v>41</v>
      </c>
      <c r="W445" s="19">
        <v>1</v>
      </c>
      <c r="Y445" s="19" t="s">
        <v>40</v>
      </c>
      <c r="Z445" s="19">
        <v>33.33</v>
      </c>
      <c r="AA445" s="19">
        <v>33.33</v>
      </c>
    </row>
    <row r="446" spans="1:27" x14ac:dyDescent="0.25">
      <c r="A446" s="19" t="s">
        <v>638</v>
      </c>
      <c r="B446" s="19" t="s">
        <v>622</v>
      </c>
      <c r="C446" s="19" t="s">
        <v>623</v>
      </c>
      <c r="D446" s="19">
        <v>0</v>
      </c>
      <c r="E446" s="19" t="s">
        <v>85</v>
      </c>
      <c r="F446" s="19" t="s">
        <v>86</v>
      </c>
      <c r="G446" s="19" t="s">
        <v>32</v>
      </c>
      <c r="H446" s="19" t="s">
        <v>87</v>
      </c>
      <c r="I446" s="19" t="s">
        <v>88</v>
      </c>
      <c r="J446" s="19">
        <v>35</v>
      </c>
      <c r="K446" s="19">
        <v>3.2500000000000001E-2</v>
      </c>
      <c r="L446" s="19" t="s">
        <v>35</v>
      </c>
      <c r="M446" s="19" t="s">
        <v>110</v>
      </c>
      <c r="N446" s="19">
        <v>0</v>
      </c>
      <c r="O446" s="19">
        <v>0</v>
      </c>
      <c r="P446" s="19">
        <v>0</v>
      </c>
      <c r="Q446" s="19">
        <v>0</v>
      </c>
      <c r="S446" s="19">
        <v>1</v>
      </c>
      <c r="T446" s="19">
        <v>1</v>
      </c>
      <c r="U446" s="19">
        <v>0</v>
      </c>
      <c r="V446" s="19" t="s">
        <v>36</v>
      </c>
      <c r="W446" s="19">
        <v>0</v>
      </c>
      <c r="Y446" s="19" t="s">
        <v>110</v>
      </c>
      <c r="Z446" s="19">
        <v>16.664999999999999</v>
      </c>
      <c r="AA446" s="19">
        <v>0</v>
      </c>
    </row>
    <row r="447" spans="1:27" x14ac:dyDescent="0.25">
      <c r="A447" s="19" t="s">
        <v>639</v>
      </c>
      <c r="B447" s="19" t="s">
        <v>622</v>
      </c>
      <c r="C447" s="19" t="s">
        <v>623</v>
      </c>
      <c r="D447" s="19">
        <v>0</v>
      </c>
      <c r="E447" s="19" t="s">
        <v>90</v>
      </c>
      <c r="F447" s="19" t="s">
        <v>91</v>
      </c>
      <c r="G447" s="19" t="s">
        <v>32</v>
      </c>
      <c r="H447" s="19" t="s">
        <v>87</v>
      </c>
      <c r="I447" s="19" t="s">
        <v>88</v>
      </c>
      <c r="J447" s="19">
        <v>33</v>
      </c>
      <c r="K447" s="19">
        <v>3.2500000000000001E-2</v>
      </c>
      <c r="L447" s="19" t="s">
        <v>35</v>
      </c>
      <c r="M447" s="19" t="s">
        <v>110</v>
      </c>
      <c r="N447" s="19">
        <v>0</v>
      </c>
      <c r="O447" s="19">
        <v>0</v>
      </c>
      <c r="P447" s="19">
        <v>0</v>
      </c>
      <c r="Q447" s="19">
        <v>0</v>
      </c>
      <c r="S447" s="19">
        <v>1</v>
      </c>
      <c r="T447" s="19">
        <v>1</v>
      </c>
      <c r="U447" s="19">
        <v>0</v>
      </c>
      <c r="V447" s="19" t="s">
        <v>36</v>
      </c>
      <c r="W447" s="19">
        <v>0</v>
      </c>
      <c r="Y447" s="19" t="s">
        <v>110</v>
      </c>
      <c r="Z447" s="19">
        <v>16.664999999999999</v>
      </c>
      <c r="AA447" s="19">
        <v>0</v>
      </c>
    </row>
    <row r="448" spans="1:27" x14ac:dyDescent="0.25">
      <c r="A448" s="19" t="s">
        <v>640</v>
      </c>
      <c r="B448" s="19" t="s">
        <v>622</v>
      </c>
      <c r="C448" s="19" t="s">
        <v>623</v>
      </c>
      <c r="D448" s="19">
        <v>1.625</v>
      </c>
      <c r="E448" s="19" t="s">
        <v>93</v>
      </c>
      <c r="F448" s="19" t="s">
        <v>94</v>
      </c>
      <c r="G448" s="19" t="s">
        <v>32</v>
      </c>
      <c r="H448" s="19" t="s">
        <v>87</v>
      </c>
      <c r="I448" s="19" t="s">
        <v>88</v>
      </c>
      <c r="J448" s="19">
        <v>34</v>
      </c>
      <c r="K448" s="19">
        <v>3.2500000000000001E-2</v>
      </c>
      <c r="L448" s="19" t="s">
        <v>35</v>
      </c>
      <c r="M448" s="19" t="s">
        <v>142</v>
      </c>
      <c r="N448" s="19">
        <v>50</v>
      </c>
      <c r="O448" s="19">
        <v>50</v>
      </c>
      <c r="P448" s="19">
        <v>0</v>
      </c>
      <c r="Q448" s="19">
        <v>0</v>
      </c>
      <c r="S448" s="19">
        <v>1</v>
      </c>
      <c r="T448" s="19">
        <v>1</v>
      </c>
      <c r="U448" s="19">
        <v>0</v>
      </c>
      <c r="V448" s="19" t="s">
        <v>41</v>
      </c>
      <c r="W448" s="19">
        <v>1</v>
      </c>
      <c r="Y448" s="19" t="s">
        <v>142</v>
      </c>
      <c r="Z448" s="19">
        <v>50</v>
      </c>
      <c r="AA448" s="19">
        <v>50</v>
      </c>
    </row>
    <row r="449" spans="1:27" x14ac:dyDescent="0.25">
      <c r="A449" s="19" t="s">
        <v>641</v>
      </c>
      <c r="B449" s="19" t="s">
        <v>622</v>
      </c>
      <c r="C449" s="19" t="s">
        <v>623</v>
      </c>
      <c r="D449" s="19">
        <v>0</v>
      </c>
      <c r="E449" s="19" t="s">
        <v>96</v>
      </c>
      <c r="F449" s="19" t="s">
        <v>97</v>
      </c>
      <c r="G449" s="19" t="s">
        <v>32</v>
      </c>
      <c r="H449" s="19" t="s">
        <v>87</v>
      </c>
      <c r="I449" s="19" t="s">
        <v>88</v>
      </c>
      <c r="J449" s="19">
        <v>36</v>
      </c>
      <c r="K449" s="19">
        <v>3.2500000000000001E-2</v>
      </c>
      <c r="L449" s="19" t="s">
        <v>35</v>
      </c>
      <c r="M449" s="19" t="s">
        <v>40</v>
      </c>
      <c r="N449" s="19">
        <v>0</v>
      </c>
      <c r="O449" s="19">
        <v>0</v>
      </c>
      <c r="P449" s="19">
        <v>0</v>
      </c>
      <c r="Q449" s="19">
        <v>0</v>
      </c>
      <c r="S449" s="19">
        <v>1</v>
      </c>
      <c r="T449" s="19">
        <v>1</v>
      </c>
      <c r="U449" s="19">
        <v>0</v>
      </c>
      <c r="V449" s="19" t="s">
        <v>36</v>
      </c>
      <c r="W449" s="19">
        <v>0</v>
      </c>
      <c r="Y449" s="19" t="s">
        <v>40</v>
      </c>
      <c r="Z449" s="19">
        <v>33.33</v>
      </c>
      <c r="AA449" s="19">
        <v>0</v>
      </c>
    </row>
    <row r="450" spans="1:27" x14ac:dyDescent="0.25">
      <c r="A450" s="19" t="s">
        <v>642</v>
      </c>
      <c r="B450" s="19" t="s">
        <v>622</v>
      </c>
      <c r="C450" s="19" t="s">
        <v>623</v>
      </c>
      <c r="D450" s="19">
        <v>2.165</v>
      </c>
      <c r="E450" s="19" t="s">
        <v>99</v>
      </c>
      <c r="F450" s="19" t="s">
        <v>100</v>
      </c>
      <c r="G450" s="19" t="s">
        <v>32</v>
      </c>
      <c r="H450" s="19" t="s">
        <v>101</v>
      </c>
      <c r="I450" s="19" t="s">
        <v>102</v>
      </c>
      <c r="J450" s="19">
        <v>39</v>
      </c>
      <c r="K450" s="19">
        <v>4.3299999999999998E-2</v>
      </c>
      <c r="L450" s="19" t="s">
        <v>35</v>
      </c>
      <c r="M450" s="19" t="s">
        <v>103</v>
      </c>
      <c r="N450" s="19">
        <v>50</v>
      </c>
      <c r="O450" s="19">
        <v>50</v>
      </c>
      <c r="P450" s="19">
        <v>0</v>
      </c>
      <c r="Q450" s="19">
        <v>0</v>
      </c>
      <c r="S450" s="19">
        <v>1</v>
      </c>
      <c r="T450" s="19">
        <v>1</v>
      </c>
      <c r="U450" s="19">
        <v>0</v>
      </c>
      <c r="V450" s="19" t="s">
        <v>41</v>
      </c>
      <c r="W450" s="19">
        <v>1</v>
      </c>
      <c r="Y450" s="19" t="s">
        <v>103</v>
      </c>
      <c r="Z450" s="19">
        <v>50</v>
      </c>
      <c r="AA450" s="19">
        <v>50</v>
      </c>
    </row>
    <row r="451" spans="1:27" x14ac:dyDescent="0.25">
      <c r="A451" s="19" t="s">
        <v>643</v>
      </c>
      <c r="B451" s="19" t="s">
        <v>622</v>
      </c>
      <c r="C451" s="19" t="s">
        <v>623</v>
      </c>
      <c r="D451" s="19">
        <v>2.165</v>
      </c>
      <c r="E451" s="19" t="s">
        <v>105</v>
      </c>
      <c r="F451" s="19" t="s">
        <v>106</v>
      </c>
      <c r="G451" s="19" t="s">
        <v>32</v>
      </c>
      <c r="H451" s="19" t="s">
        <v>101</v>
      </c>
      <c r="I451" s="19" t="s">
        <v>102</v>
      </c>
      <c r="J451" s="19">
        <v>38</v>
      </c>
      <c r="K451" s="19">
        <v>4.3299999999999998E-2</v>
      </c>
      <c r="L451" s="19" t="s">
        <v>35</v>
      </c>
      <c r="M451" s="19" t="s">
        <v>103</v>
      </c>
      <c r="N451" s="19">
        <v>50</v>
      </c>
      <c r="O451" s="19">
        <v>50</v>
      </c>
      <c r="P451" s="19">
        <v>0</v>
      </c>
      <c r="Q451" s="19">
        <v>0</v>
      </c>
      <c r="S451" s="19">
        <v>1</v>
      </c>
      <c r="T451" s="19">
        <v>1</v>
      </c>
      <c r="U451" s="19">
        <v>0</v>
      </c>
      <c r="V451" s="19" t="s">
        <v>41</v>
      </c>
      <c r="W451" s="19">
        <v>1</v>
      </c>
      <c r="Y451" s="19" t="s">
        <v>103</v>
      </c>
      <c r="Z451" s="19">
        <v>50</v>
      </c>
      <c r="AA451" s="19">
        <v>50</v>
      </c>
    </row>
    <row r="452" spans="1:27" x14ac:dyDescent="0.25">
      <c r="A452" s="19" t="s">
        <v>644</v>
      </c>
      <c r="B452" s="19" t="s">
        <v>622</v>
      </c>
      <c r="C452" s="19" t="s">
        <v>623</v>
      </c>
      <c r="D452" s="19">
        <v>1.4431889999999901</v>
      </c>
      <c r="E452" s="19" t="s">
        <v>108</v>
      </c>
      <c r="F452" s="19" t="s">
        <v>109</v>
      </c>
      <c r="G452" s="19" t="s">
        <v>32</v>
      </c>
      <c r="H452" s="19" t="s">
        <v>101</v>
      </c>
      <c r="I452" s="19" t="s">
        <v>102</v>
      </c>
      <c r="J452" s="19">
        <v>37</v>
      </c>
      <c r="K452" s="19">
        <v>4.3299999999999998E-2</v>
      </c>
      <c r="L452" s="19" t="s">
        <v>35</v>
      </c>
      <c r="M452" s="19" t="s">
        <v>40</v>
      </c>
      <c r="N452" s="19">
        <v>33.33</v>
      </c>
      <c r="O452" s="19">
        <v>33.33</v>
      </c>
      <c r="P452" s="19">
        <v>0</v>
      </c>
      <c r="Q452" s="19">
        <v>0</v>
      </c>
      <c r="S452" s="19">
        <v>1</v>
      </c>
      <c r="T452" s="19">
        <v>1</v>
      </c>
      <c r="U452" s="19">
        <v>0</v>
      </c>
      <c r="V452" s="19" t="s">
        <v>41</v>
      </c>
      <c r="W452" s="19">
        <v>1</v>
      </c>
      <c r="Y452" s="19" t="s">
        <v>40</v>
      </c>
      <c r="Z452" s="19">
        <v>33.33</v>
      </c>
      <c r="AA452" s="19">
        <v>33.33</v>
      </c>
    </row>
    <row r="453" spans="1:27" x14ac:dyDescent="0.25">
      <c r="A453" s="19" t="s">
        <v>645</v>
      </c>
      <c r="B453" s="19" t="s">
        <v>622</v>
      </c>
      <c r="C453" s="19" t="s">
        <v>623</v>
      </c>
      <c r="D453" s="19">
        <v>1.085</v>
      </c>
      <c r="E453" s="19" t="s">
        <v>112</v>
      </c>
      <c r="F453" s="19" t="s">
        <v>113</v>
      </c>
      <c r="G453" s="19" t="s">
        <v>32</v>
      </c>
      <c r="H453" s="19" t="s">
        <v>114</v>
      </c>
      <c r="I453" s="19" t="s">
        <v>115</v>
      </c>
      <c r="J453" s="19">
        <v>30</v>
      </c>
      <c r="K453" s="19">
        <v>2.1700000000000001E-2</v>
      </c>
      <c r="L453" s="19" t="s">
        <v>35</v>
      </c>
      <c r="M453" s="19" t="s">
        <v>103</v>
      </c>
      <c r="N453" s="19">
        <v>50</v>
      </c>
      <c r="O453" s="19">
        <v>50</v>
      </c>
      <c r="P453" s="19">
        <v>0</v>
      </c>
      <c r="Q453" s="19">
        <v>0</v>
      </c>
      <c r="S453" s="19">
        <v>1</v>
      </c>
      <c r="T453" s="19">
        <v>1</v>
      </c>
      <c r="U453" s="19">
        <v>0</v>
      </c>
      <c r="V453" s="19" t="s">
        <v>41</v>
      </c>
      <c r="W453" s="19">
        <v>1</v>
      </c>
      <c r="Y453" s="19" t="s">
        <v>103</v>
      </c>
      <c r="Z453" s="19">
        <v>50</v>
      </c>
      <c r="AA453" s="19">
        <v>50</v>
      </c>
    </row>
    <row r="454" spans="1:27" x14ac:dyDescent="0.25">
      <c r="A454" s="19" t="s">
        <v>646</v>
      </c>
      <c r="B454" s="19" t="s">
        <v>622</v>
      </c>
      <c r="C454" s="19" t="s">
        <v>623</v>
      </c>
      <c r="D454" s="19">
        <v>0</v>
      </c>
      <c r="E454" s="19" t="s">
        <v>117</v>
      </c>
      <c r="F454" s="19" t="s">
        <v>118</v>
      </c>
      <c r="G454" s="19" t="s">
        <v>32</v>
      </c>
      <c r="H454" s="19" t="s">
        <v>114</v>
      </c>
      <c r="I454" s="19" t="s">
        <v>115</v>
      </c>
      <c r="J454" s="19">
        <v>31</v>
      </c>
      <c r="K454" s="19">
        <v>2.1700000000000001E-2</v>
      </c>
      <c r="L454" s="19" t="s">
        <v>35</v>
      </c>
      <c r="M454" s="19" t="s">
        <v>103</v>
      </c>
      <c r="N454" s="19">
        <v>0</v>
      </c>
      <c r="O454" s="19">
        <v>0</v>
      </c>
      <c r="P454" s="19">
        <v>0</v>
      </c>
      <c r="Q454" s="19">
        <v>0</v>
      </c>
      <c r="S454" s="19">
        <v>1</v>
      </c>
      <c r="T454" s="19">
        <v>1</v>
      </c>
      <c r="U454" s="19">
        <v>0</v>
      </c>
      <c r="V454" s="19" t="s">
        <v>36</v>
      </c>
      <c r="W454" s="19">
        <v>0</v>
      </c>
      <c r="Y454" s="19" t="s">
        <v>103</v>
      </c>
      <c r="Z454" s="19">
        <v>50</v>
      </c>
      <c r="AA454" s="19">
        <v>0</v>
      </c>
    </row>
    <row r="455" spans="1:27" x14ac:dyDescent="0.25">
      <c r="A455" s="19" t="s">
        <v>647</v>
      </c>
      <c r="B455" s="19" t="s">
        <v>622</v>
      </c>
      <c r="C455" s="19" t="s">
        <v>623</v>
      </c>
      <c r="D455" s="19">
        <v>1.085</v>
      </c>
      <c r="E455" s="19" t="s">
        <v>120</v>
      </c>
      <c r="F455" s="19" t="s">
        <v>121</v>
      </c>
      <c r="G455" s="19" t="s">
        <v>32</v>
      </c>
      <c r="H455" s="19" t="s">
        <v>114</v>
      </c>
      <c r="I455" s="19" t="s">
        <v>115</v>
      </c>
      <c r="J455" s="19">
        <v>28</v>
      </c>
      <c r="K455" s="19">
        <v>2.1700000000000001E-2</v>
      </c>
      <c r="L455" s="19" t="s">
        <v>35</v>
      </c>
      <c r="M455" s="19" t="s">
        <v>103</v>
      </c>
      <c r="N455" s="19">
        <v>50</v>
      </c>
      <c r="O455" s="19">
        <v>50</v>
      </c>
      <c r="P455" s="19">
        <v>0</v>
      </c>
      <c r="Q455" s="19">
        <v>0</v>
      </c>
      <c r="S455" s="19">
        <v>1</v>
      </c>
      <c r="T455" s="19">
        <v>1</v>
      </c>
      <c r="U455" s="19">
        <v>0</v>
      </c>
      <c r="V455" s="19" t="s">
        <v>41</v>
      </c>
      <c r="W455" s="19">
        <v>1</v>
      </c>
      <c r="Y455" s="19" t="s">
        <v>103</v>
      </c>
      <c r="Z455" s="19">
        <v>50</v>
      </c>
      <c r="AA455" s="19">
        <v>50</v>
      </c>
    </row>
    <row r="456" spans="1:27" x14ac:dyDescent="0.25">
      <c r="A456" s="19" t="s">
        <v>648</v>
      </c>
      <c r="B456" s="19" t="s">
        <v>622</v>
      </c>
      <c r="C456" s="19" t="s">
        <v>623</v>
      </c>
      <c r="D456" s="19">
        <v>1.085</v>
      </c>
      <c r="E456" s="19" t="s">
        <v>123</v>
      </c>
      <c r="F456" s="19" t="s">
        <v>124</v>
      </c>
      <c r="G456" s="19" t="s">
        <v>32</v>
      </c>
      <c r="H456" s="19" t="s">
        <v>114</v>
      </c>
      <c r="I456" s="19" t="s">
        <v>115</v>
      </c>
      <c r="J456" s="19">
        <v>27</v>
      </c>
      <c r="K456" s="19">
        <v>2.1700000000000001E-2</v>
      </c>
      <c r="L456" s="19" t="s">
        <v>35</v>
      </c>
      <c r="M456" s="19" t="s">
        <v>103</v>
      </c>
      <c r="N456" s="19">
        <v>50</v>
      </c>
      <c r="O456" s="19">
        <v>50</v>
      </c>
      <c r="P456" s="19">
        <v>0</v>
      </c>
      <c r="Q456" s="19">
        <v>0</v>
      </c>
      <c r="S456" s="19">
        <v>1</v>
      </c>
      <c r="T456" s="19">
        <v>1</v>
      </c>
      <c r="U456" s="19">
        <v>0</v>
      </c>
      <c r="V456" s="19" t="s">
        <v>41</v>
      </c>
      <c r="W456" s="19">
        <v>1</v>
      </c>
      <c r="Y456" s="19" t="s">
        <v>103</v>
      </c>
      <c r="Z456" s="19">
        <v>50</v>
      </c>
      <c r="AA456" s="19">
        <v>50</v>
      </c>
    </row>
    <row r="457" spans="1:27" x14ac:dyDescent="0.25">
      <c r="A457" s="19" t="s">
        <v>649</v>
      </c>
      <c r="B457" s="19" t="s">
        <v>622</v>
      </c>
      <c r="C457" s="19" t="s">
        <v>623</v>
      </c>
      <c r="D457" s="19">
        <v>1.085</v>
      </c>
      <c r="E457" s="19" t="s">
        <v>126</v>
      </c>
      <c r="F457" s="19" t="s">
        <v>127</v>
      </c>
      <c r="G457" s="19" t="s">
        <v>32</v>
      </c>
      <c r="H457" s="19" t="s">
        <v>114</v>
      </c>
      <c r="I457" s="19" t="s">
        <v>115</v>
      </c>
      <c r="J457" s="19">
        <v>29</v>
      </c>
      <c r="K457" s="19">
        <v>2.1700000000000001E-2</v>
      </c>
      <c r="L457" s="19" t="s">
        <v>35</v>
      </c>
      <c r="M457" s="19" t="s">
        <v>103</v>
      </c>
      <c r="N457" s="19">
        <v>50</v>
      </c>
      <c r="O457" s="19">
        <v>50</v>
      </c>
      <c r="P457" s="19">
        <v>0</v>
      </c>
      <c r="Q457" s="19">
        <v>0</v>
      </c>
      <c r="S457" s="19">
        <v>1</v>
      </c>
      <c r="T457" s="19">
        <v>1</v>
      </c>
      <c r="U457" s="19">
        <v>0</v>
      </c>
      <c r="V457" s="19" t="s">
        <v>41</v>
      </c>
      <c r="W457" s="19">
        <v>1</v>
      </c>
      <c r="Y457" s="19" t="s">
        <v>103</v>
      </c>
      <c r="Z457" s="19">
        <v>50</v>
      </c>
      <c r="AA457" s="19">
        <v>50</v>
      </c>
    </row>
    <row r="458" spans="1:27" x14ac:dyDescent="0.25">
      <c r="A458" s="19" t="s">
        <v>650</v>
      </c>
      <c r="B458" s="19" t="s">
        <v>622</v>
      </c>
      <c r="C458" s="19" t="s">
        <v>623</v>
      </c>
      <c r="D458" s="19">
        <v>1.085</v>
      </c>
      <c r="E458" s="19" t="s">
        <v>129</v>
      </c>
      <c r="F458" s="19" t="s">
        <v>130</v>
      </c>
      <c r="G458" s="19" t="s">
        <v>32</v>
      </c>
      <c r="H458" s="19" t="s">
        <v>114</v>
      </c>
      <c r="I458" s="19" t="s">
        <v>115</v>
      </c>
      <c r="J458" s="19">
        <v>32</v>
      </c>
      <c r="K458" s="19">
        <v>2.1700000000000001E-2</v>
      </c>
      <c r="L458" s="19" t="s">
        <v>35</v>
      </c>
      <c r="M458" s="19" t="s">
        <v>103</v>
      </c>
      <c r="N458" s="19">
        <v>50</v>
      </c>
      <c r="O458" s="19">
        <v>50</v>
      </c>
      <c r="P458" s="19">
        <v>0</v>
      </c>
      <c r="Q458" s="19">
        <v>0</v>
      </c>
      <c r="S458" s="19">
        <v>1</v>
      </c>
      <c r="T458" s="19">
        <v>1</v>
      </c>
      <c r="U458" s="19">
        <v>0</v>
      </c>
      <c r="V458" s="19" t="s">
        <v>41</v>
      </c>
      <c r="W458" s="19">
        <v>1</v>
      </c>
      <c r="Y458" s="19" t="s">
        <v>103</v>
      </c>
      <c r="Z458" s="19">
        <v>50</v>
      </c>
      <c r="AA458" s="19">
        <v>50</v>
      </c>
    </row>
    <row r="459" spans="1:27" x14ac:dyDescent="0.25">
      <c r="A459" s="19" t="s">
        <v>651</v>
      </c>
      <c r="B459" s="19" t="s">
        <v>622</v>
      </c>
      <c r="C459" s="19" t="s">
        <v>623</v>
      </c>
      <c r="D459" s="19">
        <v>2.085</v>
      </c>
      <c r="E459" s="19" t="s">
        <v>132</v>
      </c>
      <c r="F459" s="19" t="s">
        <v>133</v>
      </c>
      <c r="G459" s="19" t="s">
        <v>134</v>
      </c>
      <c r="H459" s="19" t="s">
        <v>87</v>
      </c>
      <c r="I459" s="19" t="s">
        <v>135</v>
      </c>
      <c r="J459" s="19">
        <v>11</v>
      </c>
      <c r="K459" s="19">
        <v>4.1700000000000001E-2</v>
      </c>
      <c r="L459" s="19" t="s">
        <v>35</v>
      </c>
      <c r="M459" s="19" t="s">
        <v>103</v>
      </c>
      <c r="N459" s="19">
        <v>50</v>
      </c>
      <c r="O459" s="19">
        <v>50</v>
      </c>
      <c r="P459" s="19">
        <v>0</v>
      </c>
      <c r="Q459" s="19">
        <v>0</v>
      </c>
      <c r="S459" s="19">
        <v>1</v>
      </c>
      <c r="T459" s="19">
        <v>1</v>
      </c>
      <c r="U459" s="19">
        <v>0</v>
      </c>
      <c r="V459" s="19" t="s">
        <v>41</v>
      </c>
      <c r="W459" s="19">
        <v>1</v>
      </c>
      <c r="Y459" s="19" t="s">
        <v>103</v>
      </c>
      <c r="Z459" s="19">
        <v>50</v>
      </c>
      <c r="AA459" s="19">
        <v>50</v>
      </c>
    </row>
    <row r="460" spans="1:27" x14ac:dyDescent="0.25">
      <c r="A460" s="19" t="s">
        <v>652</v>
      </c>
      <c r="B460" s="19" t="s">
        <v>622</v>
      </c>
      <c r="C460" s="19" t="s">
        <v>623</v>
      </c>
      <c r="D460" s="19">
        <v>2.085</v>
      </c>
      <c r="E460" s="19" t="s">
        <v>137</v>
      </c>
      <c r="F460" s="19" t="s">
        <v>138</v>
      </c>
      <c r="G460" s="19" t="s">
        <v>134</v>
      </c>
      <c r="H460" s="19" t="s">
        <v>87</v>
      </c>
      <c r="I460" s="19" t="s">
        <v>135</v>
      </c>
      <c r="J460" s="19">
        <v>9</v>
      </c>
      <c r="K460" s="19">
        <v>4.1700000000000001E-2</v>
      </c>
      <c r="L460" s="19" t="s">
        <v>35</v>
      </c>
      <c r="M460" s="19" t="s">
        <v>142</v>
      </c>
      <c r="N460" s="19">
        <v>50</v>
      </c>
      <c r="O460" s="19">
        <v>50</v>
      </c>
      <c r="P460" s="19">
        <v>0</v>
      </c>
      <c r="Q460" s="19">
        <v>0</v>
      </c>
      <c r="S460" s="19">
        <v>1</v>
      </c>
      <c r="T460" s="19">
        <v>1</v>
      </c>
      <c r="U460" s="19">
        <v>0</v>
      </c>
      <c r="W460" s="19">
        <v>0</v>
      </c>
      <c r="X460" s="19">
        <v>3</v>
      </c>
      <c r="Y460" s="19" t="s">
        <v>142</v>
      </c>
      <c r="Z460" s="19">
        <v>50</v>
      </c>
      <c r="AA460" s="19">
        <v>50</v>
      </c>
    </row>
    <row r="461" spans="1:27" x14ac:dyDescent="0.25">
      <c r="A461" s="19" t="s">
        <v>653</v>
      </c>
      <c r="B461" s="19" t="s">
        <v>622</v>
      </c>
      <c r="C461" s="19" t="s">
        <v>623</v>
      </c>
      <c r="D461" s="19">
        <v>0.69499999999999995</v>
      </c>
      <c r="E461" s="19" t="s">
        <v>140</v>
      </c>
      <c r="F461" s="19" t="s">
        <v>141</v>
      </c>
      <c r="G461" s="19" t="s">
        <v>134</v>
      </c>
      <c r="H461" s="19" t="s">
        <v>87</v>
      </c>
      <c r="I461" s="19" t="s">
        <v>135</v>
      </c>
      <c r="J461" s="19">
        <v>10</v>
      </c>
      <c r="K461" s="19">
        <v>4.1700000000000001E-2</v>
      </c>
      <c r="L461" s="19" t="s">
        <v>35</v>
      </c>
      <c r="M461" s="19" t="s">
        <v>142</v>
      </c>
      <c r="N461" s="19">
        <v>16.666666666699999</v>
      </c>
      <c r="O461" s="19">
        <v>16.666666666699999</v>
      </c>
      <c r="P461" s="19">
        <v>0</v>
      </c>
      <c r="Q461" s="19">
        <v>0</v>
      </c>
      <c r="S461" s="19">
        <v>1</v>
      </c>
      <c r="T461" s="19">
        <v>1</v>
      </c>
      <c r="U461" s="19">
        <v>0</v>
      </c>
      <c r="W461" s="19">
        <v>0</v>
      </c>
      <c r="X461" s="19">
        <v>1</v>
      </c>
      <c r="Y461" s="19" t="s">
        <v>142</v>
      </c>
      <c r="Z461" s="19">
        <v>50</v>
      </c>
      <c r="AA461" s="19">
        <v>16.666666666699999</v>
      </c>
    </row>
    <row r="462" spans="1:27" x14ac:dyDescent="0.25">
      <c r="A462" s="19" t="s">
        <v>654</v>
      </c>
      <c r="B462" s="19" t="s">
        <v>622</v>
      </c>
      <c r="C462" s="19" t="s">
        <v>623</v>
      </c>
      <c r="D462" s="19">
        <v>1.25</v>
      </c>
      <c r="E462" s="19" t="s">
        <v>144</v>
      </c>
      <c r="F462" s="19" t="s">
        <v>145</v>
      </c>
      <c r="G462" s="19" t="s">
        <v>134</v>
      </c>
      <c r="H462" s="19" t="s">
        <v>146</v>
      </c>
      <c r="I462" s="19" t="s">
        <v>147</v>
      </c>
      <c r="J462" s="19">
        <v>4</v>
      </c>
      <c r="K462" s="19">
        <v>2.5000000000000001E-2</v>
      </c>
      <c r="L462" s="19" t="s">
        <v>35</v>
      </c>
      <c r="M462" s="19" t="s">
        <v>103</v>
      </c>
      <c r="N462" s="19">
        <v>50</v>
      </c>
      <c r="O462" s="19">
        <v>50</v>
      </c>
      <c r="P462" s="19">
        <v>0</v>
      </c>
      <c r="Q462" s="19">
        <v>0</v>
      </c>
      <c r="S462" s="19">
        <v>1</v>
      </c>
      <c r="T462" s="19">
        <v>1</v>
      </c>
      <c r="U462" s="19">
        <v>0</v>
      </c>
      <c r="V462" s="19" t="s">
        <v>41</v>
      </c>
      <c r="W462" s="19">
        <v>1</v>
      </c>
      <c r="Y462" s="19" t="s">
        <v>103</v>
      </c>
      <c r="Z462" s="19">
        <v>50</v>
      </c>
      <c r="AA462" s="19">
        <v>50</v>
      </c>
    </row>
    <row r="463" spans="1:27" x14ac:dyDescent="0.25">
      <c r="A463" s="19" t="s">
        <v>655</v>
      </c>
      <c r="B463" s="19" t="s">
        <v>622</v>
      </c>
      <c r="C463" s="19" t="s">
        <v>623</v>
      </c>
      <c r="D463" s="19">
        <v>1.25</v>
      </c>
      <c r="E463" s="19" t="s">
        <v>149</v>
      </c>
      <c r="F463" s="19" t="s">
        <v>150</v>
      </c>
      <c r="G463" s="19" t="s">
        <v>134</v>
      </c>
      <c r="H463" s="19" t="s">
        <v>146</v>
      </c>
      <c r="I463" s="19" t="s">
        <v>147</v>
      </c>
      <c r="J463" s="19">
        <v>5</v>
      </c>
      <c r="K463" s="19">
        <v>2.5000000000000001E-2</v>
      </c>
      <c r="L463" s="19" t="s">
        <v>35</v>
      </c>
      <c r="M463" s="19" t="s">
        <v>103</v>
      </c>
      <c r="N463" s="19">
        <v>50</v>
      </c>
      <c r="O463" s="19">
        <v>50</v>
      </c>
      <c r="P463" s="19">
        <v>0</v>
      </c>
      <c r="Q463" s="19">
        <v>0</v>
      </c>
      <c r="S463" s="19">
        <v>1</v>
      </c>
      <c r="T463" s="19">
        <v>1</v>
      </c>
      <c r="U463" s="19">
        <v>0</v>
      </c>
      <c r="V463" s="19" t="s">
        <v>41</v>
      </c>
      <c r="W463" s="19">
        <v>1</v>
      </c>
      <c r="Y463" s="19" t="s">
        <v>103</v>
      </c>
      <c r="Z463" s="19">
        <v>50</v>
      </c>
      <c r="AA463" s="19">
        <v>50</v>
      </c>
    </row>
    <row r="464" spans="1:27" x14ac:dyDescent="0.25">
      <c r="A464" s="19" t="s">
        <v>656</v>
      </c>
      <c r="B464" s="19" t="s">
        <v>622</v>
      </c>
      <c r="C464" s="19" t="s">
        <v>623</v>
      </c>
      <c r="D464" s="19">
        <v>1.25</v>
      </c>
      <c r="E464" s="19" t="s">
        <v>152</v>
      </c>
      <c r="F464" s="19" t="s">
        <v>153</v>
      </c>
      <c r="G464" s="19" t="s">
        <v>134</v>
      </c>
      <c r="H464" s="19" t="s">
        <v>146</v>
      </c>
      <c r="I464" s="19" t="s">
        <v>147</v>
      </c>
      <c r="J464" s="19">
        <v>6</v>
      </c>
      <c r="K464" s="19">
        <v>2.5000000000000001E-2</v>
      </c>
      <c r="L464" s="19" t="s">
        <v>35</v>
      </c>
      <c r="M464" s="19" t="s">
        <v>103</v>
      </c>
      <c r="N464" s="19">
        <v>50</v>
      </c>
      <c r="O464" s="19">
        <v>50</v>
      </c>
      <c r="P464" s="19">
        <v>0</v>
      </c>
      <c r="Q464" s="19">
        <v>0</v>
      </c>
      <c r="S464" s="19">
        <v>1</v>
      </c>
      <c r="T464" s="19">
        <v>1</v>
      </c>
      <c r="U464" s="19">
        <v>0</v>
      </c>
      <c r="V464" s="19" t="s">
        <v>41</v>
      </c>
      <c r="W464" s="19">
        <v>1</v>
      </c>
      <c r="Y464" s="19" t="s">
        <v>103</v>
      </c>
      <c r="Z464" s="19">
        <v>50</v>
      </c>
      <c r="AA464" s="19">
        <v>50</v>
      </c>
    </row>
    <row r="465" spans="1:27" x14ac:dyDescent="0.25">
      <c r="A465" s="19" t="s">
        <v>657</v>
      </c>
      <c r="B465" s="19" t="s">
        <v>622</v>
      </c>
      <c r="C465" s="19" t="s">
        <v>623</v>
      </c>
      <c r="D465" s="19">
        <v>1.25</v>
      </c>
      <c r="E465" s="19" t="s">
        <v>155</v>
      </c>
      <c r="F465" s="19" t="s">
        <v>156</v>
      </c>
      <c r="G465" s="19" t="s">
        <v>134</v>
      </c>
      <c r="H465" s="19" t="s">
        <v>146</v>
      </c>
      <c r="I465" s="19" t="s">
        <v>147</v>
      </c>
      <c r="J465" s="19">
        <v>7</v>
      </c>
      <c r="K465" s="19">
        <v>2.5000000000000001E-2</v>
      </c>
      <c r="L465" s="19" t="s">
        <v>35</v>
      </c>
      <c r="M465" s="19" t="s">
        <v>103</v>
      </c>
      <c r="N465" s="19">
        <v>50</v>
      </c>
      <c r="O465" s="19">
        <v>50</v>
      </c>
      <c r="P465" s="19">
        <v>0</v>
      </c>
      <c r="Q465" s="19">
        <v>0</v>
      </c>
      <c r="S465" s="19">
        <v>1</v>
      </c>
      <c r="T465" s="19">
        <v>1</v>
      </c>
      <c r="U465" s="19">
        <v>0</v>
      </c>
      <c r="V465" s="19" t="s">
        <v>41</v>
      </c>
      <c r="W465" s="19">
        <v>1</v>
      </c>
      <c r="Y465" s="19" t="s">
        <v>103</v>
      </c>
      <c r="Z465" s="19">
        <v>50</v>
      </c>
      <c r="AA465" s="19">
        <v>50</v>
      </c>
    </row>
    <row r="466" spans="1:27" x14ac:dyDescent="0.25">
      <c r="A466" s="19" t="s">
        <v>658</v>
      </c>
      <c r="B466" s="19" t="s">
        <v>622</v>
      </c>
      <c r="C466" s="19" t="s">
        <v>623</v>
      </c>
      <c r="D466" s="19">
        <v>1.25</v>
      </c>
      <c r="E466" s="19" t="s">
        <v>158</v>
      </c>
      <c r="F466" s="19" t="s">
        <v>159</v>
      </c>
      <c r="G466" s="19" t="s">
        <v>134</v>
      </c>
      <c r="H466" s="19" t="s">
        <v>146</v>
      </c>
      <c r="I466" s="19" t="s">
        <v>147</v>
      </c>
      <c r="J466" s="19">
        <v>8</v>
      </c>
      <c r="K466" s="19">
        <v>2.5000000000000001E-2</v>
      </c>
      <c r="L466" s="19" t="s">
        <v>35</v>
      </c>
      <c r="M466" s="19" t="s">
        <v>103</v>
      </c>
      <c r="N466" s="19">
        <v>50</v>
      </c>
      <c r="O466" s="19">
        <v>50</v>
      </c>
      <c r="P466" s="19">
        <v>0</v>
      </c>
      <c r="Q466" s="19">
        <v>0</v>
      </c>
      <c r="S466" s="19">
        <v>1</v>
      </c>
      <c r="T466" s="19">
        <v>1</v>
      </c>
      <c r="U466" s="19">
        <v>0</v>
      </c>
      <c r="V466" s="19" t="s">
        <v>41</v>
      </c>
      <c r="W466" s="19">
        <v>1</v>
      </c>
      <c r="Y466" s="19" t="s">
        <v>103</v>
      </c>
      <c r="Z466" s="19">
        <v>50</v>
      </c>
      <c r="AA466" s="19">
        <v>50</v>
      </c>
    </row>
    <row r="467" spans="1:27" x14ac:dyDescent="0.25">
      <c r="A467" s="19" t="s">
        <v>659</v>
      </c>
      <c r="B467" s="19" t="s">
        <v>622</v>
      </c>
      <c r="C467" s="19" t="s">
        <v>623</v>
      </c>
      <c r="D467" s="19">
        <v>2.2197779999999998</v>
      </c>
      <c r="E467" s="19" t="s">
        <v>161</v>
      </c>
      <c r="F467" s="19" t="s">
        <v>162</v>
      </c>
      <c r="G467" s="19" t="s">
        <v>163</v>
      </c>
      <c r="I467" s="19" t="s">
        <v>164</v>
      </c>
      <c r="J467" s="19">
        <v>1</v>
      </c>
      <c r="K467" s="19">
        <v>3.3300000000000003E-2</v>
      </c>
      <c r="L467" s="19" t="s">
        <v>35</v>
      </c>
      <c r="M467" s="19" t="s">
        <v>165</v>
      </c>
      <c r="N467" s="19">
        <v>66.66</v>
      </c>
      <c r="O467" s="19">
        <v>66.66</v>
      </c>
      <c r="P467" s="19">
        <v>0</v>
      </c>
      <c r="Q467" s="19">
        <v>0</v>
      </c>
      <c r="S467" s="19">
        <v>1</v>
      </c>
      <c r="T467" s="19">
        <v>1</v>
      </c>
      <c r="U467" s="19">
        <v>0</v>
      </c>
      <c r="W467" s="19">
        <v>0</v>
      </c>
      <c r="X467" s="19">
        <v>66.66</v>
      </c>
      <c r="Z467" s="19">
        <v>0</v>
      </c>
      <c r="AA467" s="19">
        <v>66.66</v>
      </c>
    </row>
    <row r="468" spans="1:27" x14ac:dyDescent="0.25">
      <c r="A468" s="19" t="s">
        <v>660</v>
      </c>
      <c r="B468" s="19" t="s">
        <v>622</v>
      </c>
      <c r="C468" s="19" t="s">
        <v>623</v>
      </c>
      <c r="D468" s="19">
        <v>0</v>
      </c>
      <c r="E468" s="19" t="s">
        <v>167</v>
      </c>
      <c r="F468" s="19" t="s">
        <v>168</v>
      </c>
      <c r="G468" s="19" t="s">
        <v>163</v>
      </c>
      <c r="I468" s="19" t="s">
        <v>164</v>
      </c>
      <c r="J468" s="19">
        <v>3</v>
      </c>
      <c r="K468" s="19">
        <v>3.3300000000000003E-2</v>
      </c>
      <c r="L468" s="19" t="s">
        <v>35</v>
      </c>
      <c r="M468" s="19" t="s">
        <v>165</v>
      </c>
      <c r="N468" s="19">
        <v>0</v>
      </c>
      <c r="O468" s="19">
        <v>0</v>
      </c>
      <c r="P468" s="19">
        <v>0</v>
      </c>
      <c r="Q468" s="19">
        <v>0</v>
      </c>
      <c r="S468" s="19">
        <v>1</v>
      </c>
      <c r="T468" s="19">
        <v>1</v>
      </c>
      <c r="U468" s="19">
        <v>0</v>
      </c>
      <c r="W468" s="19">
        <v>0</v>
      </c>
      <c r="X468" s="19">
        <v>0</v>
      </c>
      <c r="Z468" s="19">
        <v>0</v>
      </c>
      <c r="AA468" s="19">
        <v>0</v>
      </c>
    </row>
    <row r="469" spans="1:27" x14ac:dyDescent="0.25">
      <c r="A469" s="19" t="s">
        <v>661</v>
      </c>
      <c r="B469" s="19" t="s">
        <v>622</v>
      </c>
      <c r="C469" s="19" t="s">
        <v>623</v>
      </c>
      <c r="D469" s="19">
        <v>1.31535</v>
      </c>
      <c r="E469" s="19" t="s">
        <v>170</v>
      </c>
      <c r="F469" s="19" t="s">
        <v>171</v>
      </c>
      <c r="G469" s="19" t="s">
        <v>163</v>
      </c>
      <c r="I469" s="19" t="s">
        <v>164</v>
      </c>
      <c r="J469" s="19">
        <v>2</v>
      </c>
      <c r="K469" s="19">
        <v>3.3300000000000003E-2</v>
      </c>
      <c r="L469" s="19" t="s">
        <v>35</v>
      </c>
      <c r="M469" s="19" t="s">
        <v>165</v>
      </c>
      <c r="N469" s="19">
        <v>39.5</v>
      </c>
      <c r="O469" s="19">
        <v>39.5</v>
      </c>
      <c r="P469" s="19">
        <v>0</v>
      </c>
      <c r="Q469" s="19">
        <v>0</v>
      </c>
      <c r="S469" s="19">
        <v>1</v>
      </c>
      <c r="T469" s="19">
        <v>1</v>
      </c>
      <c r="U469" s="19">
        <v>0</v>
      </c>
      <c r="W469" s="19">
        <v>0</v>
      </c>
      <c r="X469" s="19">
        <v>39.5</v>
      </c>
      <c r="Z469" s="19">
        <v>0</v>
      </c>
      <c r="AA469" s="19">
        <v>39.5</v>
      </c>
    </row>
    <row r="470" spans="1:27" x14ac:dyDescent="0.25">
      <c r="A470" s="19" t="s">
        <v>662</v>
      </c>
      <c r="B470" s="19" t="s">
        <v>663</v>
      </c>
      <c r="C470" s="19" t="s">
        <v>664</v>
      </c>
      <c r="D470" s="19">
        <v>0</v>
      </c>
      <c r="E470" s="19" t="s">
        <v>30</v>
      </c>
      <c r="F470" s="19" t="s">
        <v>31</v>
      </c>
      <c r="G470" s="19" t="s">
        <v>32</v>
      </c>
      <c r="H470" s="19" t="s">
        <v>33</v>
      </c>
      <c r="I470" s="19" t="s">
        <v>34</v>
      </c>
      <c r="J470" s="19">
        <v>17</v>
      </c>
      <c r="K470" s="19">
        <v>1.6299999999999999E-2</v>
      </c>
      <c r="L470" s="19" t="s">
        <v>35</v>
      </c>
      <c r="M470" s="19" t="s">
        <v>142</v>
      </c>
      <c r="N470" s="19">
        <v>0</v>
      </c>
      <c r="O470" s="19">
        <v>0</v>
      </c>
      <c r="P470" s="19">
        <v>0</v>
      </c>
      <c r="Q470" s="19">
        <v>0</v>
      </c>
      <c r="S470" s="19">
        <v>1</v>
      </c>
      <c r="T470" s="19">
        <v>1</v>
      </c>
      <c r="U470" s="19">
        <v>0</v>
      </c>
      <c r="V470" s="19" t="s">
        <v>36</v>
      </c>
      <c r="W470" s="19">
        <v>0</v>
      </c>
      <c r="Y470" s="19" t="s">
        <v>142</v>
      </c>
      <c r="Z470" s="19">
        <v>50</v>
      </c>
      <c r="AA470" s="19">
        <v>0</v>
      </c>
    </row>
    <row r="471" spans="1:27" x14ac:dyDescent="0.25">
      <c r="A471" s="19" t="s">
        <v>665</v>
      </c>
      <c r="B471" s="19" t="s">
        <v>663</v>
      </c>
      <c r="C471" s="19" t="s">
        <v>664</v>
      </c>
      <c r="D471" s="19">
        <v>0.54327899999999996</v>
      </c>
      <c r="E471" s="19" t="s">
        <v>38</v>
      </c>
      <c r="F471" s="19" t="s">
        <v>39</v>
      </c>
      <c r="G471" s="19" t="s">
        <v>32</v>
      </c>
      <c r="H471" s="19" t="s">
        <v>33</v>
      </c>
      <c r="I471" s="19" t="s">
        <v>34</v>
      </c>
      <c r="J471" s="19">
        <v>19</v>
      </c>
      <c r="K471" s="19">
        <v>1.6299999999999999E-2</v>
      </c>
      <c r="L471" s="19" t="s">
        <v>35</v>
      </c>
      <c r="M471" s="19" t="s">
        <v>40</v>
      </c>
      <c r="N471" s="19">
        <v>33.33</v>
      </c>
      <c r="O471" s="19">
        <v>33.33</v>
      </c>
      <c r="P471" s="19">
        <v>0</v>
      </c>
      <c r="Q471" s="19">
        <v>0</v>
      </c>
      <c r="S471" s="19">
        <v>1</v>
      </c>
      <c r="T471" s="19">
        <v>1</v>
      </c>
      <c r="U471" s="19">
        <v>0</v>
      </c>
      <c r="V471" s="19" t="s">
        <v>41</v>
      </c>
      <c r="W471" s="19">
        <v>1</v>
      </c>
      <c r="Y471" s="19" t="s">
        <v>40</v>
      </c>
      <c r="Z471" s="19">
        <v>33.33</v>
      </c>
      <c r="AA471" s="19">
        <v>33.33</v>
      </c>
    </row>
    <row r="472" spans="1:27" x14ac:dyDescent="0.25">
      <c r="A472" s="19" t="s">
        <v>666</v>
      </c>
      <c r="B472" s="19" t="s">
        <v>663</v>
      </c>
      <c r="C472" s="19" t="s">
        <v>664</v>
      </c>
      <c r="D472" s="19">
        <v>0.27163949999999998</v>
      </c>
      <c r="E472" s="19" t="s">
        <v>43</v>
      </c>
      <c r="F472" s="19" t="s">
        <v>44</v>
      </c>
      <c r="G472" s="19" t="s">
        <v>32</v>
      </c>
      <c r="H472" s="19" t="s">
        <v>33</v>
      </c>
      <c r="I472" s="19" t="s">
        <v>34</v>
      </c>
      <c r="J472" s="19">
        <v>18</v>
      </c>
      <c r="K472" s="19">
        <v>1.6299999999999999E-2</v>
      </c>
      <c r="L472" s="19" t="s">
        <v>35</v>
      </c>
      <c r="M472" s="19" t="s">
        <v>110</v>
      </c>
      <c r="N472" s="19">
        <v>16.664999999999999</v>
      </c>
      <c r="O472" s="19">
        <v>16.664999999999999</v>
      </c>
      <c r="P472" s="19">
        <v>0</v>
      </c>
      <c r="Q472" s="19">
        <v>0</v>
      </c>
      <c r="S472" s="19">
        <v>1</v>
      </c>
      <c r="T472" s="19">
        <v>1</v>
      </c>
      <c r="U472" s="19">
        <v>0</v>
      </c>
      <c r="V472" s="19" t="s">
        <v>41</v>
      </c>
      <c r="W472" s="19">
        <v>1</v>
      </c>
      <c r="Y472" s="19" t="s">
        <v>110</v>
      </c>
      <c r="Z472" s="19">
        <v>16.664999999999999</v>
      </c>
      <c r="AA472" s="19">
        <v>16.664999999999999</v>
      </c>
    </row>
    <row r="473" spans="1:27" x14ac:dyDescent="0.25">
      <c r="A473" s="19" t="s">
        <v>667</v>
      </c>
      <c r="B473" s="19" t="s">
        <v>663</v>
      </c>
      <c r="C473" s="19" t="s">
        <v>664</v>
      </c>
      <c r="D473" s="19">
        <v>0.81499999999999995</v>
      </c>
      <c r="E473" s="19" t="s">
        <v>46</v>
      </c>
      <c r="F473" s="19" t="s">
        <v>47</v>
      </c>
      <c r="G473" s="19" t="s">
        <v>32</v>
      </c>
      <c r="H473" s="19" t="s">
        <v>33</v>
      </c>
      <c r="I473" s="19" t="s">
        <v>34</v>
      </c>
      <c r="J473" s="19">
        <v>15</v>
      </c>
      <c r="K473" s="19">
        <v>1.6299999999999999E-2</v>
      </c>
      <c r="L473" s="19" t="s">
        <v>35</v>
      </c>
      <c r="M473" s="19" t="s">
        <v>142</v>
      </c>
      <c r="N473" s="19">
        <v>50</v>
      </c>
      <c r="O473" s="19">
        <v>50</v>
      </c>
      <c r="P473" s="19">
        <v>0</v>
      </c>
      <c r="Q473" s="19">
        <v>0</v>
      </c>
      <c r="S473" s="19">
        <v>1</v>
      </c>
      <c r="T473" s="19">
        <v>1</v>
      </c>
      <c r="U473" s="19">
        <v>0</v>
      </c>
      <c r="V473" s="19" t="s">
        <v>41</v>
      </c>
      <c r="W473" s="19">
        <v>1</v>
      </c>
      <c r="Y473" s="19" t="s">
        <v>142</v>
      </c>
      <c r="Z473" s="19">
        <v>50</v>
      </c>
      <c r="AA473" s="19">
        <v>50</v>
      </c>
    </row>
    <row r="474" spans="1:27" x14ac:dyDescent="0.25">
      <c r="A474" s="19" t="s">
        <v>668</v>
      </c>
      <c r="B474" s="19" t="s">
        <v>663</v>
      </c>
      <c r="C474" s="19" t="s">
        <v>664</v>
      </c>
      <c r="D474" s="19">
        <v>0.81499999999999995</v>
      </c>
      <c r="E474" s="19" t="s">
        <v>49</v>
      </c>
      <c r="F474" s="19" t="s">
        <v>50</v>
      </c>
      <c r="G474" s="19" t="s">
        <v>32</v>
      </c>
      <c r="H474" s="19" t="s">
        <v>33</v>
      </c>
      <c r="I474" s="19" t="s">
        <v>34</v>
      </c>
      <c r="J474" s="19">
        <v>12</v>
      </c>
      <c r="K474" s="19">
        <v>1.6299999999999999E-2</v>
      </c>
      <c r="L474" s="19" t="s">
        <v>35</v>
      </c>
      <c r="M474" s="19" t="s">
        <v>142</v>
      </c>
      <c r="N474" s="19">
        <v>50</v>
      </c>
      <c r="O474" s="19">
        <v>50</v>
      </c>
      <c r="P474" s="19">
        <v>0</v>
      </c>
      <c r="Q474" s="19">
        <v>0</v>
      </c>
      <c r="S474" s="19">
        <v>1</v>
      </c>
      <c r="T474" s="19">
        <v>1</v>
      </c>
      <c r="U474" s="19">
        <v>0</v>
      </c>
      <c r="V474" s="19" t="s">
        <v>41</v>
      </c>
      <c r="W474" s="19">
        <v>1</v>
      </c>
      <c r="Y474" s="19" t="s">
        <v>142</v>
      </c>
      <c r="Z474" s="19">
        <v>50</v>
      </c>
      <c r="AA474" s="19">
        <v>50</v>
      </c>
    </row>
    <row r="475" spans="1:27" x14ac:dyDescent="0.25">
      <c r="A475" s="19" t="s">
        <v>669</v>
      </c>
      <c r="B475" s="19" t="s">
        <v>663</v>
      </c>
      <c r="C475" s="19" t="s">
        <v>664</v>
      </c>
      <c r="D475" s="19">
        <v>0.81499999999999995</v>
      </c>
      <c r="E475" s="19" t="s">
        <v>52</v>
      </c>
      <c r="F475" s="19" t="s">
        <v>53</v>
      </c>
      <c r="G475" s="19" t="s">
        <v>32</v>
      </c>
      <c r="H475" s="19" t="s">
        <v>33</v>
      </c>
      <c r="I475" s="19" t="s">
        <v>34</v>
      </c>
      <c r="J475" s="19">
        <v>16</v>
      </c>
      <c r="K475" s="19">
        <v>1.6299999999999999E-2</v>
      </c>
      <c r="L475" s="19" t="s">
        <v>35</v>
      </c>
      <c r="M475" s="19" t="s">
        <v>142</v>
      </c>
      <c r="N475" s="19">
        <v>50</v>
      </c>
      <c r="O475" s="19">
        <v>50</v>
      </c>
      <c r="P475" s="19">
        <v>0</v>
      </c>
      <c r="Q475" s="19">
        <v>0</v>
      </c>
      <c r="S475" s="19">
        <v>1</v>
      </c>
      <c r="T475" s="19">
        <v>1</v>
      </c>
      <c r="U475" s="19">
        <v>0</v>
      </c>
      <c r="V475" s="19" t="s">
        <v>41</v>
      </c>
      <c r="W475" s="19">
        <v>1</v>
      </c>
      <c r="Y475" s="19" t="s">
        <v>142</v>
      </c>
      <c r="Z475" s="19">
        <v>50</v>
      </c>
      <c r="AA475" s="19">
        <v>50</v>
      </c>
    </row>
    <row r="476" spans="1:27" x14ac:dyDescent="0.25">
      <c r="A476" s="19" t="s">
        <v>670</v>
      </c>
      <c r="B476" s="19" t="s">
        <v>663</v>
      </c>
      <c r="C476" s="19" t="s">
        <v>664</v>
      </c>
      <c r="D476" s="19">
        <v>0.81499999999999995</v>
      </c>
      <c r="E476" s="19" t="s">
        <v>55</v>
      </c>
      <c r="F476" s="19" t="s">
        <v>56</v>
      </c>
      <c r="G476" s="19" t="s">
        <v>32</v>
      </c>
      <c r="H476" s="19" t="s">
        <v>33</v>
      </c>
      <c r="I476" s="19" t="s">
        <v>34</v>
      </c>
      <c r="J476" s="19">
        <v>14</v>
      </c>
      <c r="K476" s="19">
        <v>1.6299999999999999E-2</v>
      </c>
      <c r="L476" s="19" t="s">
        <v>35</v>
      </c>
      <c r="M476" s="19" t="s">
        <v>142</v>
      </c>
      <c r="N476" s="19">
        <v>50</v>
      </c>
      <c r="O476" s="19">
        <v>50</v>
      </c>
      <c r="P476" s="19">
        <v>0</v>
      </c>
      <c r="Q476" s="19">
        <v>0</v>
      </c>
      <c r="S476" s="19">
        <v>1</v>
      </c>
      <c r="T476" s="19">
        <v>1</v>
      </c>
      <c r="U476" s="19">
        <v>0</v>
      </c>
      <c r="V476" s="19" t="s">
        <v>41</v>
      </c>
      <c r="W476" s="19">
        <v>1</v>
      </c>
      <c r="Y476" s="19" t="s">
        <v>142</v>
      </c>
      <c r="Z476" s="19">
        <v>50</v>
      </c>
      <c r="AA476" s="19">
        <v>50</v>
      </c>
    </row>
    <row r="477" spans="1:27" x14ac:dyDescent="0.25">
      <c r="A477" s="19" t="s">
        <v>671</v>
      </c>
      <c r="B477" s="19" t="s">
        <v>663</v>
      </c>
      <c r="C477" s="19" t="s">
        <v>664</v>
      </c>
      <c r="D477" s="19">
        <v>0.54327899999999996</v>
      </c>
      <c r="E477" s="19" t="s">
        <v>58</v>
      </c>
      <c r="F477" s="19" t="s">
        <v>59</v>
      </c>
      <c r="G477" s="19" t="s">
        <v>32</v>
      </c>
      <c r="H477" s="19" t="s">
        <v>33</v>
      </c>
      <c r="I477" s="19" t="s">
        <v>34</v>
      </c>
      <c r="J477" s="19">
        <v>13</v>
      </c>
      <c r="K477" s="19">
        <v>1.6299999999999999E-2</v>
      </c>
      <c r="L477" s="19" t="s">
        <v>35</v>
      </c>
      <c r="M477" s="19" t="s">
        <v>40</v>
      </c>
      <c r="N477" s="19">
        <v>33.33</v>
      </c>
      <c r="O477" s="19">
        <v>33.33</v>
      </c>
      <c r="P477" s="19">
        <v>0</v>
      </c>
      <c r="Q477" s="19">
        <v>0</v>
      </c>
      <c r="S477" s="19">
        <v>1</v>
      </c>
      <c r="T477" s="19">
        <v>1</v>
      </c>
      <c r="U477" s="19">
        <v>0</v>
      </c>
      <c r="V477" s="19" t="s">
        <v>41</v>
      </c>
      <c r="W477" s="19">
        <v>1</v>
      </c>
      <c r="Y477" s="19" t="s">
        <v>40</v>
      </c>
      <c r="Z477" s="19">
        <v>33.33</v>
      </c>
      <c r="AA477" s="19">
        <v>33.33</v>
      </c>
    </row>
    <row r="478" spans="1:27" x14ac:dyDescent="0.25">
      <c r="A478" s="19" t="s">
        <v>672</v>
      </c>
      <c r="B478" s="19" t="s">
        <v>663</v>
      </c>
      <c r="C478" s="19" t="s">
        <v>664</v>
      </c>
      <c r="D478" s="19">
        <v>0.92999999999999905</v>
      </c>
      <c r="E478" s="19" t="s">
        <v>61</v>
      </c>
      <c r="F478" s="19" t="s">
        <v>62</v>
      </c>
      <c r="G478" s="19" t="s">
        <v>32</v>
      </c>
      <c r="H478" s="19" t="s">
        <v>63</v>
      </c>
      <c r="I478" s="19" t="s">
        <v>64</v>
      </c>
      <c r="J478" s="19">
        <v>22</v>
      </c>
      <c r="K478" s="19">
        <v>1.8599999999999998E-2</v>
      </c>
      <c r="L478" s="19" t="s">
        <v>35</v>
      </c>
      <c r="M478" s="19" t="s">
        <v>142</v>
      </c>
      <c r="N478" s="19">
        <v>50</v>
      </c>
      <c r="O478" s="19">
        <v>50</v>
      </c>
      <c r="P478" s="19">
        <v>0</v>
      </c>
      <c r="Q478" s="19">
        <v>0</v>
      </c>
      <c r="S478" s="19">
        <v>1</v>
      </c>
      <c r="T478" s="19">
        <v>1</v>
      </c>
      <c r="U478" s="19">
        <v>0</v>
      </c>
      <c r="V478" s="19" t="s">
        <v>41</v>
      </c>
      <c r="W478" s="19">
        <v>1</v>
      </c>
      <c r="Y478" s="19" t="s">
        <v>142</v>
      </c>
      <c r="Z478" s="19">
        <v>50</v>
      </c>
      <c r="AA478" s="19">
        <v>50</v>
      </c>
    </row>
    <row r="479" spans="1:27" x14ac:dyDescent="0.25">
      <c r="A479" s="19" t="s">
        <v>673</v>
      </c>
      <c r="B479" s="19" t="s">
        <v>663</v>
      </c>
      <c r="C479" s="19" t="s">
        <v>664</v>
      </c>
      <c r="D479" s="19">
        <v>0.92999999999999905</v>
      </c>
      <c r="E479" s="19" t="s">
        <v>66</v>
      </c>
      <c r="F479" s="19" t="s">
        <v>67</v>
      </c>
      <c r="G479" s="19" t="s">
        <v>32</v>
      </c>
      <c r="H479" s="19" t="s">
        <v>63</v>
      </c>
      <c r="I479" s="19" t="s">
        <v>64</v>
      </c>
      <c r="J479" s="19">
        <v>20</v>
      </c>
      <c r="K479" s="19">
        <v>1.8599999999999998E-2</v>
      </c>
      <c r="L479" s="19" t="s">
        <v>35</v>
      </c>
      <c r="M479" s="19" t="s">
        <v>142</v>
      </c>
      <c r="N479" s="19">
        <v>50</v>
      </c>
      <c r="O479" s="19">
        <v>50</v>
      </c>
      <c r="P479" s="19">
        <v>0</v>
      </c>
      <c r="Q479" s="19">
        <v>0</v>
      </c>
      <c r="S479" s="19">
        <v>1</v>
      </c>
      <c r="T479" s="19">
        <v>1</v>
      </c>
      <c r="U479" s="19">
        <v>0</v>
      </c>
      <c r="V479" s="19" t="s">
        <v>41</v>
      </c>
      <c r="W479" s="19">
        <v>1</v>
      </c>
      <c r="Y479" s="19" t="s">
        <v>142</v>
      </c>
      <c r="Z479" s="19">
        <v>50</v>
      </c>
      <c r="AA479" s="19">
        <v>50</v>
      </c>
    </row>
    <row r="480" spans="1:27" x14ac:dyDescent="0.25">
      <c r="A480" s="19" t="s">
        <v>674</v>
      </c>
      <c r="B480" s="19" t="s">
        <v>663</v>
      </c>
      <c r="C480" s="19" t="s">
        <v>664</v>
      </c>
      <c r="D480" s="19">
        <v>0</v>
      </c>
      <c r="E480" s="19" t="s">
        <v>69</v>
      </c>
      <c r="F480" s="19" t="s">
        <v>70</v>
      </c>
      <c r="G480" s="19" t="s">
        <v>32</v>
      </c>
      <c r="H480" s="19" t="s">
        <v>63</v>
      </c>
      <c r="I480" s="19" t="s">
        <v>64</v>
      </c>
      <c r="J480" s="19">
        <v>23</v>
      </c>
      <c r="K480" s="19">
        <v>1.8599999999999998E-2</v>
      </c>
      <c r="L480" s="19" t="s">
        <v>35</v>
      </c>
      <c r="M480" s="19" t="s">
        <v>110</v>
      </c>
      <c r="N480" s="19">
        <v>0</v>
      </c>
      <c r="O480" s="19">
        <v>0</v>
      </c>
      <c r="P480" s="19">
        <v>0</v>
      </c>
      <c r="Q480" s="19">
        <v>0</v>
      </c>
      <c r="S480" s="19">
        <v>1</v>
      </c>
      <c r="T480" s="19">
        <v>1</v>
      </c>
      <c r="U480" s="19">
        <v>0</v>
      </c>
      <c r="V480" s="19" t="s">
        <v>80</v>
      </c>
      <c r="W480" s="19">
        <v>0</v>
      </c>
      <c r="Y480" s="19" t="s">
        <v>110</v>
      </c>
      <c r="Z480" s="19">
        <v>16.664999999999999</v>
      </c>
      <c r="AA480" s="19">
        <v>0</v>
      </c>
    </row>
    <row r="481" spans="1:27" x14ac:dyDescent="0.25">
      <c r="A481" s="19" t="s">
        <v>675</v>
      </c>
      <c r="B481" s="19" t="s">
        <v>663</v>
      </c>
      <c r="C481" s="19" t="s">
        <v>664</v>
      </c>
      <c r="D481" s="19">
        <v>0</v>
      </c>
      <c r="E481" s="19" t="s">
        <v>72</v>
      </c>
      <c r="F481" s="19" t="s">
        <v>73</v>
      </c>
      <c r="G481" s="19" t="s">
        <v>32</v>
      </c>
      <c r="H481" s="19" t="s">
        <v>63</v>
      </c>
      <c r="I481" s="19" t="s">
        <v>64</v>
      </c>
      <c r="J481" s="19">
        <v>21</v>
      </c>
      <c r="K481" s="19">
        <v>1.8599999999999998E-2</v>
      </c>
      <c r="L481" s="19" t="s">
        <v>35</v>
      </c>
      <c r="M481" s="19" t="s">
        <v>40</v>
      </c>
      <c r="N481" s="19">
        <v>0</v>
      </c>
      <c r="O481" s="19">
        <v>0</v>
      </c>
      <c r="P481" s="19">
        <v>0</v>
      </c>
      <c r="Q481" s="19">
        <v>0</v>
      </c>
      <c r="S481" s="19">
        <v>1</v>
      </c>
      <c r="T481" s="19">
        <v>1</v>
      </c>
      <c r="U481" s="19">
        <v>0</v>
      </c>
      <c r="V481" s="19" t="s">
        <v>36</v>
      </c>
      <c r="W481" s="19">
        <v>0</v>
      </c>
      <c r="Y481" s="19" t="s">
        <v>40</v>
      </c>
      <c r="Z481" s="19">
        <v>33.33</v>
      </c>
      <c r="AA481" s="19">
        <v>0</v>
      </c>
    </row>
    <row r="482" spans="1:27" x14ac:dyDescent="0.25">
      <c r="A482" s="19" t="s">
        <v>676</v>
      </c>
      <c r="B482" s="19" t="s">
        <v>663</v>
      </c>
      <c r="C482" s="19" t="s">
        <v>664</v>
      </c>
      <c r="D482" s="19">
        <v>0.92999999999999905</v>
      </c>
      <c r="E482" s="19" t="s">
        <v>75</v>
      </c>
      <c r="F482" s="19" t="s">
        <v>76</v>
      </c>
      <c r="G482" s="19" t="s">
        <v>32</v>
      </c>
      <c r="H482" s="19" t="s">
        <v>63</v>
      </c>
      <c r="I482" s="19" t="s">
        <v>64</v>
      </c>
      <c r="J482" s="19">
        <v>24</v>
      </c>
      <c r="K482" s="19">
        <v>1.8599999999999998E-2</v>
      </c>
      <c r="L482" s="19" t="s">
        <v>35</v>
      </c>
      <c r="M482" s="19" t="s">
        <v>142</v>
      </c>
      <c r="N482" s="19">
        <v>50</v>
      </c>
      <c r="O482" s="19">
        <v>50</v>
      </c>
      <c r="P482" s="19">
        <v>0</v>
      </c>
      <c r="Q482" s="19">
        <v>0</v>
      </c>
      <c r="S482" s="19">
        <v>1</v>
      </c>
      <c r="T482" s="19">
        <v>1</v>
      </c>
      <c r="U482" s="19">
        <v>0</v>
      </c>
      <c r="V482" s="19" t="s">
        <v>41</v>
      </c>
      <c r="W482" s="19">
        <v>1</v>
      </c>
      <c r="Y482" s="19" t="s">
        <v>142</v>
      </c>
      <c r="Z482" s="19">
        <v>50</v>
      </c>
      <c r="AA482" s="19">
        <v>50</v>
      </c>
    </row>
    <row r="483" spans="1:27" x14ac:dyDescent="0.25">
      <c r="A483" s="19" t="s">
        <v>677</v>
      </c>
      <c r="B483" s="19" t="s">
        <v>663</v>
      </c>
      <c r="C483" s="19" t="s">
        <v>664</v>
      </c>
      <c r="D483" s="19">
        <v>0</v>
      </c>
      <c r="E483" s="19" t="s">
        <v>78</v>
      </c>
      <c r="F483" s="19" t="s">
        <v>79</v>
      </c>
      <c r="G483" s="19" t="s">
        <v>32</v>
      </c>
      <c r="H483" s="19" t="s">
        <v>63</v>
      </c>
      <c r="I483" s="19" t="s">
        <v>64</v>
      </c>
      <c r="J483" s="19">
        <v>25</v>
      </c>
      <c r="K483" s="19">
        <v>1.8599999999999998E-2</v>
      </c>
      <c r="L483" s="19" t="s">
        <v>35</v>
      </c>
      <c r="N483" s="19">
        <v>0</v>
      </c>
      <c r="O483" s="19">
        <v>0</v>
      </c>
      <c r="P483" s="19">
        <v>0</v>
      </c>
      <c r="Q483" s="19">
        <v>0</v>
      </c>
      <c r="S483" s="19">
        <v>1</v>
      </c>
      <c r="T483" s="19">
        <v>1</v>
      </c>
      <c r="U483" s="19">
        <v>0</v>
      </c>
      <c r="V483" s="19" t="s">
        <v>36</v>
      </c>
      <c r="W483" s="19">
        <v>0</v>
      </c>
      <c r="Z483" s="19">
        <v>0</v>
      </c>
      <c r="AA483" s="19">
        <v>0</v>
      </c>
    </row>
    <row r="484" spans="1:27" x14ac:dyDescent="0.25">
      <c r="A484" s="19" t="s">
        <v>678</v>
      </c>
      <c r="B484" s="19" t="s">
        <v>663</v>
      </c>
      <c r="C484" s="19" t="s">
        <v>664</v>
      </c>
      <c r="D484" s="19">
        <v>0</v>
      </c>
      <c r="E484" s="19" t="s">
        <v>82</v>
      </c>
      <c r="F484" s="19" t="s">
        <v>83</v>
      </c>
      <c r="G484" s="19" t="s">
        <v>32</v>
      </c>
      <c r="H484" s="19" t="s">
        <v>63</v>
      </c>
      <c r="I484" s="19" t="s">
        <v>64</v>
      </c>
      <c r="J484" s="19">
        <v>26</v>
      </c>
      <c r="K484" s="19">
        <v>1.8599999999999998E-2</v>
      </c>
      <c r="L484" s="19" t="s">
        <v>35</v>
      </c>
      <c r="N484" s="19">
        <v>0</v>
      </c>
      <c r="O484" s="19">
        <v>0</v>
      </c>
      <c r="P484" s="19">
        <v>0</v>
      </c>
      <c r="Q484" s="19">
        <v>0</v>
      </c>
      <c r="S484" s="19">
        <v>1</v>
      </c>
      <c r="T484" s="19">
        <v>1</v>
      </c>
      <c r="U484" s="19">
        <v>0</v>
      </c>
      <c r="V484" s="19" t="s">
        <v>36</v>
      </c>
      <c r="W484" s="19">
        <v>0</v>
      </c>
      <c r="Z484" s="19">
        <v>0</v>
      </c>
      <c r="AA484" s="19">
        <v>0</v>
      </c>
    </row>
    <row r="485" spans="1:27" x14ac:dyDescent="0.25">
      <c r="A485" s="19" t="s">
        <v>679</v>
      </c>
      <c r="B485" s="19" t="s">
        <v>663</v>
      </c>
      <c r="C485" s="19" t="s">
        <v>664</v>
      </c>
      <c r="D485" s="19">
        <v>0</v>
      </c>
      <c r="E485" s="19" t="s">
        <v>85</v>
      </c>
      <c r="F485" s="19" t="s">
        <v>86</v>
      </c>
      <c r="G485" s="19" t="s">
        <v>32</v>
      </c>
      <c r="H485" s="19" t="s">
        <v>87</v>
      </c>
      <c r="I485" s="19" t="s">
        <v>88</v>
      </c>
      <c r="J485" s="19">
        <v>35</v>
      </c>
      <c r="K485" s="19">
        <v>3.2500000000000001E-2</v>
      </c>
      <c r="L485" s="19" t="s">
        <v>35</v>
      </c>
      <c r="N485" s="19">
        <v>0</v>
      </c>
      <c r="O485" s="19">
        <v>0</v>
      </c>
      <c r="P485" s="19">
        <v>0</v>
      </c>
      <c r="Q485" s="19">
        <v>0</v>
      </c>
      <c r="S485" s="19">
        <v>1</v>
      </c>
      <c r="T485" s="19">
        <v>1</v>
      </c>
      <c r="U485" s="19">
        <v>0</v>
      </c>
      <c r="V485" s="19" t="s">
        <v>36</v>
      </c>
      <c r="W485" s="19">
        <v>0</v>
      </c>
      <c r="Z485" s="19">
        <v>0</v>
      </c>
      <c r="AA485" s="19">
        <v>0</v>
      </c>
    </row>
    <row r="486" spans="1:27" x14ac:dyDescent="0.25">
      <c r="A486" s="19" t="s">
        <v>680</v>
      </c>
      <c r="B486" s="19" t="s">
        <v>663</v>
      </c>
      <c r="C486" s="19" t="s">
        <v>664</v>
      </c>
      <c r="D486" s="19">
        <v>0</v>
      </c>
      <c r="E486" s="19" t="s">
        <v>90</v>
      </c>
      <c r="F486" s="19" t="s">
        <v>91</v>
      </c>
      <c r="G486" s="19" t="s">
        <v>32</v>
      </c>
      <c r="H486" s="19" t="s">
        <v>87</v>
      </c>
      <c r="I486" s="19" t="s">
        <v>88</v>
      </c>
      <c r="J486" s="19">
        <v>33</v>
      </c>
      <c r="K486" s="19">
        <v>3.2500000000000001E-2</v>
      </c>
      <c r="L486" s="19" t="s">
        <v>35</v>
      </c>
      <c r="N486" s="19">
        <v>0</v>
      </c>
      <c r="O486" s="19">
        <v>0</v>
      </c>
      <c r="P486" s="19">
        <v>0</v>
      </c>
      <c r="Q486" s="19">
        <v>0</v>
      </c>
      <c r="S486" s="19">
        <v>1</v>
      </c>
      <c r="T486" s="19">
        <v>1</v>
      </c>
      <c r="U486" s="19">
        <v>0</v>
      </c>
      <c r="V486" s="19" t="s">
        <v>36</v>
      </c>
      <c r="W486" s="19">
        <v>0</v>
      </c>
      <c r="Z486" s="19">
        <v>0</v>
      </c>
      <c r="AA486" s="19">
        <v>0</v>
      </c>
    </row>
    <row r="487" spans="1:27" x14ac:dyDescent="0.25">
      <c r="A487" s="19" t="s">
        <v>681</v>
      </c>
      <c r="B487" s="19" t="s">
        <v>663</v>
      </c>
      <c r="C487" s="19" t="s">
        <v>664</v>
      </c>
      <c r="D487" s="19">
        <v>1.625</v>
      </c>
      <c r="E487" s="19" t="s">
        <v>93</v>
      </c>
      <c r="F487" s="19" t="s">
        <v>94</v>
      </c>
      <c r="G487" s="19" t="s">
        <v>32</v>
      </c>
      <c r="H487" s="19" t="s">
        <v>87</v>
      </c>
      <c r="I487" s="19" t="s">
        <v>88</v>
      </c>
      <c r="J487" s="19">
        <v>34</v>
      </c>
      <c r="K487" s="19">
        <v>3.2500000000000001E-2</v>
      </c>
      <c r="L487" s="19" t="s">
        <v>35</v>
      </c>
      <c r="M487" s="19" t="s">
        <v>142</v>
      </c>
      <c r="N487" s="19">
        <v>50</v>
      </c>
      <c r="O487" s="19">
        <v>50</v>
      </c>
      <c r="P487" s="19">
        <v>0</v>
      </c>
      <c r="Q487" s="19">
        <v>0</v>
      </c>
      <c r="S487" s="19">
        <v>1</v>
      </c>
      <c r="T487" s="19">
        <v>1</v>
      </c>
      <c r="U487" s="19">
        <v>0</v>
      </c>
      <c r="V487" s="19" t="s">
        <v>41</v>
      </c>
      <c r="W487" s="19">
        <v>1</v>
      </c>
      <c r="Y487" s="19" t="s">
        <v>142</v>
      </c>
      <c r="Z487" s="19">
        <v>50</v>
      </c>
      <c r="AA487" s="19">
        <v>50</v>
      </c>
    </row>
    <row r="488" spans="1:27" x14ac:dyDescent="0.25">
      <c r="A488" s="19" t="s">
        <v>682</v>
      </c>
      <c r="B488" s="19" t="s">
        <v>663</v>
      </c>
      <c r="C488" s="19" t="s">
        <v>664</v>
      </c>
      <c r="D488" s="19">
        <v>0</v>
      </c>
      <c r="E488" s="19" t="s">
        <v>96</v>
      </c>
      <c r="F488" s="19" t="s">
        <v>97</v>
      </c>
      <c r="G488" s="19" t="s">
        <v>32</v>
      </c>
      <c r="H488" s="19" t="s">
        <v>87</v>
      </c>
      <c r="I488" s="19" t="s">
        <v>88</v>
      </c>
      <c r="J488" s="19">
        <v>36</v>
      </c>
      <c r="K488" s="19">
        <v>3.2500000000000001E-2</v>
      </c>
      <c r="L488" s="19" t="s">
        <v>35</v>
      </c>
      <c r="N488" s="19">
        <v>0</v>
      </c>
      <c r="O488" s="19">
        <v>0</v>
      </c>
      <c r="P488" s="19">
        <v>0</v>
      </c>
      <c r="Q488" s="19">
        <v>0</v>
      </c>
      <c r="S488" s="19">
        <v>1</v>
      </c>
      <c r="T488" s="19">
        <v>1</v>
      </c>
      <c r="U488" s="19">
        <v>0</v>
      </c>
      <c r="V488" s="19" t="s">
        <v>36</v>
      </c>
      <c r="W488" s="19">
        <v>0</v>
      </c>
      <c r="Z488" s="19">
        <v>0</v>
      </c>
      <c r="AA488" s="19">
        <v>0</v>
      </c>
    </row>
    <row r="489" spans="1:27" x14ac:dyDescent="0.25">
      <c r="A489" s="19" t="s">
        <v>683</v>
      </c>
      <c r="B489" s="19" t="s">
        <v>663</v>
      </c>
      <c r="C489" s="19" t="s">
        <v>664</v>
      </c>
      <c r="D489" s="19">
        <v>0</v>
      </c>
      <c r="E489" s="19" t="s">
        <v>99</v>
      </c>
      <c r="F489" s="19" t="s">
        <v>100</v>
      </c>
      <c r="G489" s="19" t="s">
        <v>32</v>
      </c>
      <c r="H489" s="19" t="s">
        <v>101</v>
      </c>
      <c r="I489" s="19" t="s">
        <v>102</v>
      </c>
      <c r="J489" s="19">
        <v>39</v>
      </c>
      <c r="K489" s="19">
        <v>4.3299999999999998E-2</v>
      </c>
      <c r="L489" s="19" t="s">
        <v>35</v>
      </c>
      <c r="M489" s="19" t="s">
        <v>103</v>
      </c>
      <c r="N489" s="19">
        <v>0</v>
      </c>
      <c r="O489" s="19">
        <v>0</v>
      </c>
      <c r="P489" s="19">
        <v>0</v>
      </c>
      <c r="Q489" s="19">
        <v>0</v>
      </c>
      <c r="S489" s="19">
        <v>1</v>
      </c>
      <c r="T489" s="19">
        <v>1</v>
      </c>
      <c r="U489" s="19">
        <v>0</v>
      </c>
      <c r="V489" s="19" t="s">
        <v>36</v>
      </c>
      <c r="W489" s="19">
        <v>0</v>
      </c>
      <c r="Y489" s="19" t="s">
        <v>103</v>
      </c>
      <c r="Z489" s="19">
        <v>50</v>
      </c>
      <c r="AA489" s="19">
        <v>0</v>
      </c>
    </row>
    <row r="490" spans="1:27" x14ac:dyDescent="0.25">
      <c r="A490" s="19" t="s">
        <v>684</v>
      </c>
      <c r="B490" s="19" t="s">
        <v>663</v>
      </c>
      <c r="C490" s="19" t="s">
        <v>664</v>
      </c>
      <c r="D490" s="19">
        <v>0</v>
      </c>
      <c r="E490" s="19" t="s">
        <v>105</v>
      </c>
      <c r="F490" s="19" t="s">
        <v>106</v>
      </c>
      <c r="G490" s="19" t="s">
        <v>32</v>
      </c>
      <c r="H490" s="19" t="s">
        <v>101</v>
      </c>
      <c r="I490" s="19" t="s">
        <v>102</v>
      </c>
      <c r="J490" s="19">
        <v>38</v>
      </c>
      <c r="K490" s="19">
        <v>4.3299999999999998E-2</v>
      </c>
      <c r="L490" s="19" t="s">
        <v>35</v>
      </c>
      <c r="M490" s="19" t="s">
        <v>103</v>
      </c>
      <c r="N490" s="19">
        <v>0</v>
      </c>
      <c r="O490" s="19">
        <v>0</v>
      </c>
      <c r="P490" s="19">
        <v>0</v>
      </c>
      <c r="Q490" s="19">
        <v>0</v>
      </c>
      <c r="S490" s="19">
        <v>1</v>
      </c>
      <c r="T490" s="19">
        <v>1</v>
      </c>
      <c r="U490" s="19">
        <v>0</v>
      </c>
      <c r="V490" s="19" t="s">
        <v>36</v>
      </c>
      <c r="W490" s="19">
        <v>0</v>
      </c>
      <c r="Y490" s="19" t="s">
        <v>103</v>
      </c>
      <c r="Z490" s="19">
        <v>50</v>
      </c>
      <c r="AA490" s="19">
        <v>0</v>
      </c>
    </row>
    <row r="491" spans="1:27" x14ac:dyDescent="0.25">
      <c r="A491" s="19" t="s">
        <v>685</v>
      </c>
      <c r="B491" s="19" t="s">
        <v>663</v>
      </c>
      <c r="C491" s="19" t="s">
        <v>664</v>
      </c>
      <c r="D491" s="19">
        <v>0</v>
      </c>
      <c r="E491" s="19" t="s">
        <v>108</v>
      </c>
      <c r="F491" s="19" t="s">
        <v>109</v>
      </c>
      <c r="G491" s="19" t="s">
        <v>32</v>
      </c>
      <c r="H491" s="19" t="s">
        <v>101</v>
      </c>
      <c r="I491" s="19" t="s">
        <v>102</v>
      </c>
      <c r="J491" s="19">
        <v>37</v>
      </c>
      <c r="K491" s="19">
        <v>4.3299999999999998E-2</v>
      </c>
      <c r="L491" s="19" t="s">
        <v>35</v>
      </c>
      <c r="M491" s="19" t="s">
        <v>110</v>
      </c>
      <c r="N491" s="19">
        <v>0</v>
      </c>
      <c r="O491" s="19">
        <v>0</v>
      </c>
      <c r="P491" s="19">
        <v>0</v>
      </c>
      <c r="Q491" s="19">
        <v>0</v>
      </c>
      <c r="S491" s="19">
        <v>1</v>
      </c>
      <c r="T491" s="19">
        <v>1</v>
      </c>
      <c r="U491" s="19">
        <v>0</v>
      </c>
      <c r="V491" s="19" t="s">
        <v>80</v>
      </c>
      <c r="W491" s="19">
        <v>0</v>
      </c>
      <c r="Y491" s="19" t="s">
        <v>110</v>
      </c>
      <c r="Z491" s="19">
        <v>16.664999999999999</v>
      </c>
      <c r="AA491" s="19">
        <v>0</v>
      </c>
    </row>
    <row r="492" spans="1:27" x14ac:dyDescent="0.25">
      <c r="A492" s="19" t="s">
        <v>686</v>
      </c>
      <c r="B492" s="19" t="s">
        <v>663</v>
      </c>
      <c r="C492" s="19" t="s">
        <v>664</v>
      </c>
      <c r="D492" s="19">
        <v>0</v>
      </c>
      <c r="E492" s="19" t="s">
        <v>112</v>
      </c>
      <c r="F492" s="19" t="s">
        <v>113</v>
      </c>
      <c r="G492" s="19" t="s">
        <v>32</v>
      </c>
      <c r="H492" s="19" t="s">
        <v>114</v>
      </c>
      <c r="I492" s="19" t="s">
        <v>115</v>
      </c>
      <c r="J492" s="19">
        <v>30</v>
      </c>
      <c r="K492" s="19">
        <v>2.1700000000000001E-2</v>
      </c>
      <c r="L492" s="19" t="s">
        <v>35</v>
      </c>
      <c r="M492" s="19" t="s">
        <v>103</v>
      </c>
      <c r="N492" s="19">
        <v>0</v>
      </c>
      <c r="O492" s="19">
        <v>0</v>
      </c>
      <c r="P492" s="19">
        <v>0</v>
      </c>
      <c r="Q492" s="19">
        <v>0</v>
      </c>
      <c r="S492" s="19">
        <v>1</v>
      </c>
      <c r="T492" s="19">
        <v>1</v>
      </c>
      <c r="U492" s="19">
        <v>0</v>
      </c>
      <c r="V492" s="19" t="s">
        <v>36</v>
      </c>
      <c r="W492" s="19">
        <v>0</v>
      </c>
      <c r="Y492" s="19" t="s">
        <v>103</v>
      </c>
      <c r="Z492" s="19">
        <v>50</v>
      </c>
      <c r="AA492" s="19">
        <v>0</v>
      </c>
    </row>
    <row r="493" spans="1:27" x14ac:dyDescent="0.25">
      <c r="A493" s="19" t="s">
        <v>687</v>
      </c>
      <c r="B493" s="19" t="s">
        <v>663</v>
      </c>
      <c r="C493" s="19" t="s">
        <v>664</v>
      </c>
      <c r="D493" s="19">
        <v>0</v>
      </c>
      <c r="E493" s="19" t="s">
        <v>117</v>
      </c>
      <c r="F493" s="19" t="s">
        <v>118</v>
      </c>
      <c r="G493" s="19" t="s">
        <v>32</v>
      </c>
      <c r="H493" s="19" t="s">
        <v>114</v>
      </c>
      <c r="I493" s="19" t="s">
        <v>115</v>
      </c>
      <c r="J493" s="19">
        <v>31</v>
      </c>
      <c r="K493" s="19">
        <v>2.1700000000000001E-2</v>
      </c>
      <c r="L493" s="19" t="s">
        <v>35</v>
      </c>
      <c r="M493" s="19" t="s">
        <v>103</v>
      </c>
      <c r="N493" s="19">
        <v>0</v>
      </c>
      <c r="O493" s="19">
        <v>0</v>
      </c>
      <c r="P493" s="19">
        <v>0</v>
      </c>
      <c r="Q493" s="19">
        <v>0</v>
      </c>
      <c r="S493" s="19">
        <v>1</v>
      </c>
      <c r="T493" s="19">
        <v>1</v>
      </c>
      <c r="U493" s="19">
        <v>0</v>
      </c>
      <c r="V493" s="19" t="s">
        <v>80</v>
      </c>
      <c r="W493" s="19">
        <v>0</v>
      </c>
      <c r="Y493" s="19" t="s">
        <v>103</v>
      </c>
      <c r="Z493" s="19">
        <v>50</v>
      </c>
      <c r="AA493" s="19">
        <v>0</v>
      </c>
    </row>
    <row r="494" spans="1:27" x14ac:dyDescent="0.25">
      <c r="A494" s="19" t="s">
        <v>688</v>
      </c>
      <c r="B494" s="19" t="s">
        <v>663</v>
      </c>
      <c r="C494" s="19" t="s">
        <v>664</v>
      </c>
      <c r="D494" s="19">
        <v>0</v>
      </c>
      <c r="E494" s="19" t="s">
        <v>120</v>
      </c>
      <c r="F494" s="19" t="s">
        <v>121</v>
      </c>
      <c r="G494" s="19" t="s">
        <v>32</v>
      </c>
      <c r="H494" s="19" t="s">
        <v>114</v>
      </c>
      <c r="I494" s="19" t="s">
        <v>115</v>
      </c>
      <c r="J494" s="19">
        <v>28</v>
      </c>
      <c r="K494" s="19">
        <v>2.1700000000000001E-2</v>
      </c>
      <c r="L494" s="19" t="s">
        <v>35</v>
      </c>
      <c r="M494" s="19" t="s">
        <v>103</v>
      </c>
      <c r="N494" s="19">
        <v>0</v>
      </c>
      <c r="O494" s="19">
        <v>0</v>
      </c>
      <c r="P494" s="19">
        <v>0</v>
      </c>
      <c r="Q494" s="19">
        <v>0</v>
      </c>
      <c r="S494" s="19">
        <v>1</v>
      </c>
      <c r="T494" s="19">
        <v>1</v>
      </c>
      <c r="U494" s="19">
        <v>0</v>
      </c>
      <c r="V494" s="19" t="s">
        <v>80</v>
      </c>
      <c r="W494" s="19">
        <v>0</v>
      </c>
      <c r="Y494" s="19" t="s">
        <v>103</v>
      </c>
      <c r="Z494" s="19">
        <v>50</v>
      </c>
      <c r="AA494" s="19">
        <v>0</v>
      </c>
    </row>
    <row r="495" spans="1:27" x14ac:dyDescent="0.25">
      <c r="A495" s="19" t="s">
        <v>689</v>
      </c>
      <c r="B495" s="19" t="s">
        <v>663</v>
      </c>
      <c r="C495" s="19" t="s">
        <v>664</v>
      </c>
      <c r="D495" s="19">
        <v>0</v>
      </c>
      <c r="E495" s="19" t="s">
        <v>123</v>
      </c>
      <c r="F495" s="19" t="s">
        <v>124</v>
      </c>
      <c r="G495" s="19" t="s">
        <v>32</v>
      </c>
      <c r="H495" s="19" t="s">
        <v>114</v>
      </c>
      <c r="I495" s="19" t="s">
        <v>115</v>
      </c>
      <c r="J495" s="19">
        <v>27</v>
      </c>
      <c r="K495" s="19">
        <v>2.1700000000000001E-2</v>
      </c>
      <c r="L495" s="19" t="s">
        <v>35</v>
      </c>
      <c r="M495" s="19" t="s">
        <v>103</v>
      </c>
      <c r="N495" s="19">
        <v>0</v>
      </c>
      <c r="O495" s="19">
        <v>0</v>
      </c>
      <c r="P495" s="19">
        <v>0</v>
      </c>
      <c r="Q495" s="19">
        <v>0</v>
      </c>
      <c r="S495" s="19">
        <v>1</v>
      </c>
      <c r="T495" s="19">
        <v>1</v>
      </c>
      <c r="U495" s="19">
        <v>0</v>
      </c>
      <c r="V495" s="19" t="s">
        <v>80</v>
      </c>
      <c r="W495" s="19">
        <v>0</v>
      </c>
      <c r="Y495" s="19" t="s">
        <v>103</v>
      </c>
      <c r="Z495" s="19">
        <v>50</v>
      </c>
      <c r="AA495" s="19">
        <v>0</v>
      </c>
    </row>
    <row r="496" spans="1:27" x14ac:dyDescent="0.25">
      <c r="A496" s="19" t="s">
        <v>690</v>
      </c>
      <c r="B496" s="19" t="s">
        <v>663</v>
      </c>
      <c r="C496" s="19" t="s">
        <v>664</v>
      </c>
      <c r="D496" s="19">
        <v>0</v>
      </c>
      <c r="E496" s="19" t="s">
        <v>126</v>
      </c>
      <c r="F496" s="19" t="s">
        <v>127</v>
      </c>
      <c r="G496" s="19" t="s">
        <v>32</v>
      </c>
      <c r="H496" s="19" t="s">
        <v>114</v>
      </c>
      <c r="I496" s="19" t="s">
        <v>115</v>
      </c>
      <c r="J496" s="19">
        <v>29</v>
      </c>
      <c r="K496" s="19">
        <v>2.1700000000000001E-2</v>
      </c>
      <c r="L496" s="19" t="s">
        <v>35</v>
      </c>
      <c r="M496" s="19" t="s">
        <v>103</v>
      </c>
      <c r="N496" s="19">
        <v>0</v>
      </c>
      <c r="O496" s="19">
        <v>0</v>
      </c>
      <c r="P496" s="19">
        <v>0</v>
      </c>
      <c r="Q496" s="19">
        <v>0</v>
      </c>
      <c r="S496" s="19">
        <v>1</v>
      </c>
      <c r="T496" s="19">
        <v>1</v>
      </c>
      <c r="U496" s="19">
        <v>0</v>
      </c>
      <c r="V496" s="19" t="s">
        <v>36</v>
      </c>
      <c r="W496" s="19">
        <v>0</v>
      </c>
      <c r="Y496" s="19" t="s">
        <v>103</v>
      </c>
      <c r="Z496" s="19">
        <v>50</v>
      </c>
      <c r="AA496" s="19">
        <v>0</v>
      </c>
    </row>
    <row r="497" spans="1:27" x14ac:dyDescent="0.25">
      <c r="A497" s="19" t="s">
        <v>691</v>
      </c>
      <c r="B497" s="19" t="s">
        <v>663</v>
      </c>
      <c r="C497" s="19" t="s">
        <v>664</v>
      </c>
      <c r="D497" s="19">
        <v>0</v>
      </c>
      <c r="E497" s="19" t="s">
        <v>129</v>
      </c>
      <c r="F497" s="19" t="s">
        <v>130</v>
      </c>
      <c r="G497" s="19" t="s">
        <v>32</v>
      </c>
      <c r="H497" s="19" t="s">
        <v>114</v>
      </c>
      <c r="I497" s="19" t="s">
        <v>115</v>
      </c>
      <c r="J497" s="19">
        <v>32</v>
      </c>
      <c r="K497" s="19">
        <v>2.1700000000000001E-2</v>
      </c>
      <c r="L497" s="19" t="s">
        <v>35</v>
      </c>
      <c r="M497" s="19" t="s">
        <v>103</v>
      </c>
      <c r="N497" s="19">
        <v>0</v>
      </c>
      <c r="O497" s="19">
        <v>0</v>
      </c>
      <c r="P497" s="19">
        <v>0</v>
      </c>
      <c r="Q497" s="19">
        <v>0</v>
      </c>
      <c r="S497" s="19">
        <v>1</v>
      </c>
      <c r="T497" s="19">
        <v>1</v>
      </c>
      <c r="U497" s="19">
        <v>0</v>
      </c>
      <c r="V497" s="19" t="s">
        <v>80</v>
      </c>
      <c r="W497" s="19">
        <v>0</v>
      </c>
      <c r="Y497" s="19" t="s">
        <v>103</v>
      </c>
      <c r="Z497" s="19">
        <v>50</v>
      </c>
      <c r="AA497" s="19">
        <v>0</v>
      </c>
    </row>
    <row r="498" spans="1:27" x14ac:dyDescent="0.25">
      <c r="A498" s="19" t="s">
        <v>692</v>
      </c>
      <c r="B498" s="19" t="s">
        <v>663</v>
      </c>
      <c r="C498" s="19" t="s">
        <v>664</v>
      </c>
      <c r="D498" s="19">
        <v>2.085</v>
      </c>
      <c r="E498" s="19" t="s">
        <v>132</v>
      </c>
      <c r="F498" s="19" t="s">
        <v>133</v>
      </c>
      <c r="G498" s="19" t="s">
        <v>134</v>
      </c>
      <c r="H498" s="19" t="s">
        <v>87</v>
      </c>
      <c r="I498" s="19" t="s">
        <v>135</v>
      </c>
      <c r="J498" s="19">
        <v>11</v>
      </c>
      <c r="K498" s="19">
        <v>4.1700000000000001E-2</v>
      </c>
      <c r="L498" s="19" t="s">
        <v>35</v>
      </c>
      <c r="M498" s="19" t="s">
        <v>103</v>
      </c>
      <c r="N498" s="19">
        <v>50</v>
      </c>
      <c r="O498" s="19">
        <v>50</v>
      </c>
      <c r="P498" s="19">
        <v>0</v>
      </c>
      <c r="Q498" s="19">
        <v>0</v>
      </c>
      <c r="S498" s="19">
        <v>1</v>
      </c>
      <c r="T498" s="19">
        <v>1</v>
      </c>
      <c r="U498" s="19">
        <v>0</v>
      </c>
      <c r="V498" s="19" t="s">
        <v>41</v>
      </c>
      <c r="W498" s="19">
        <v>1</v>
      </c>
      <c r="Y498" s="19" t="s">
        <v>103</v>
      </c>
      <c r="Z498" s="19">
        <v>50</v>
      </c>
      <c r="AA498" s="19">
        <v>50</v>
      </c>
    </row>
    <row r="499" spans="1:27" x14ac:dyDescent="0.25">
      <c r="A499" s="19" t="s">
        <v>693</v>
      </c>
      <c r="B499" s="19" t="s">
        <v>663</v>
      </c>
      <c r="C499" s="19" t="s">
        <v>664</v>
      </c>
      <c r="D499" s="19">
        <v>0.463287</v>
      </c>
      <c r="E499" s="19" t="s">
        <v>137</v>
      </c>
      <c r="F499" s="19" t="s">
        <v>138</v>
      </c>
      <c r="G499" s="19" t="s">
        <v>134</v>
      </c>
      <c r="H499" s="19" t="s">
        <v>87</v>
      </c>
      <c r="I499" s="19" t="s">
        <v>135</v>
      </c>
      <c r="J499" s="19">
        <v>9</v>
      </c>
      <c r="K499" s="19">
        <v>4.1700000000000001E-2</v>
      </c>
      <c r="L499" s="19" t="s">
        <v>35</v>
      </c>
      <c r="M499" s="19" t="s">
        <v>110</v>
      </c>
      <c r="N499" s="19">
        <v>11.11</v>
      </c>
      <c r="O499" s="19">
        <v>11.11</v>
      </c>
      <c r="P499" s="19">
        <v>0</v>
      </c>
      <c r="Q499" s="19">
        <v>0</v>
      </c>
      <c r="S499" s="19">
        <v>1</v>
      </c>
      <c r="T499" s="19">
        <v>1</v>
      </c>
      <c r="U499" s="19">
        <v>0</v>
      </c>
      <c r="W499" s="19">
        <v>0</v>
      </c>
      <c r="X499" s="19">
        <v>2</v>
      </c>
      <c r="Y499" s="19" t="s">
        <v>110</v>
      </c>
      <c r="Z499" s="19">
        <v>16.664999999999999</v>
      </c>
      <c r="AA499" s="19">
        <v>11.11</v>
      </c>
    </row>
    <row r="500" spans="1:27" x14ac:dyDescent="0.25">
      <c r="A500" s="19" t="s">
        <v>694</v>
      </c>
      <c r="B500" s="19" t="s">
        <v>663</v>
      </c>
      <c r="C500" s="19" t="s">
        <v>664</v>
      </c>
      <c r="D500" s="19">
        <v>0.2316435</v>
      </c>
      <c r="E500" s="19" t="s">
        <v>140</v>
      </c>
      <c r="F500" s="19" t="s">
        <v>141</v>
      </c>
      <c r="G500" s="19" t="s">
        <v>134</v>
      </c>
      <c r="H500" s="19" t="s">
        <v>87</v>
      </c>
      <c r="I500" s="19" t="s">
        <v>135</v>
      </c>
      <c r="J500" s="19">
        <v>10</v>
      </c>
      <c r="K500" s="19">
        <v>4.1700000000000001E-2</v>
      </c>
      <c r="L500" s="19" t="s">
        <v>35</v>
      </c>
      <c r="M500" s="19" t="s">
        <v>110</v>
      </c>
      <c r="N500" s="19">
        <v>5.5549999999999997</v>
      </c>
      <c r="O500" s="19">
        <v>5.5549999999999997</v>
      </c>
      <c r="P500" s="19">
        <v>0</v>
      </c>
      <c r="Q500" s="19">
        <v>0</v>
      </c>
      <c r="S500" s="19">
        <v>1</v>
      </c>
      <c r="T500" s="19">
        <v>1</v>
      </c>
      <c r="U500" s="19">
        <v>0</v>
      </c>
      <c r="W500" s="19">
        <v>0</v>
      </c>
      <c r="X500" s="19">
        <v>1</v>
      </c>
      <c r="Y500" s="19" t="s">
        <v>110</v>
      </c>
      <c r="Z500" s="19">
        <v>16.664999999999999</v>
      </c>
      <c r="AA500" s="19">
        <v>5.5549999999999997</v>
      </c>
    </row>
    <row r="501" spans="1:27" x14ac:dyDescent="0.25">
      <c r="A501" s="19" t="s">
        <v>695</v>
      </c>
      <c r="B501" s="19" t="s">
        <v>663</v>
      </c>
      <c r="C501" s="19" t="s">
        <v>664</v>
      </c>
      <c r="D501" s="19">
        <v>1.25</v>
      </c>
      <c r="E501" s="19" t="s">
        <v>144</v>
      </c>
      <c r="F501" s="19" t="s">
        <v>145</v>
      </c>
      <c r="G501" s="19" t="s">
        <v>134</v>
      </c>
      <c r="H501" s="19" t="s">
        <v>146</v>
      </c>
      <c r="I501" s="19" t="s">
        <v>147</v>
      </c>
      <c r="J501" s="19">
        <v>4</v>
      </c>
      <c r="K501" s="19">
        <v>2.5000000000000001E-2</v>
      </c>
      <c r="L501" s="19" t="s">
        <v>35</v>
      </c>
      <c r="M501" s="19" t="s">
        <v>103</v>
      </c>
      <c r="N501" s="19">
        <v>50</v>
      </c>
      <c r="O501" s="19">
        <v>50</v>
      </c>
      <c r="P501" s="19">
        <v>0</v>
      </c>
      <c r="Q501" s="19">
        <v>0</v>
      </c>
      <c r="S501" s="19">
        <v>1</v>
      </c>
      <c r="T501" s="19">
        <v>1</v>
      </c>
      <c r="U501" s="19">
        <v>0</v>
      </c>
      <c r="V501" s="19" t="s">
        <v>41</v>
      </c>
      <c r="W501" s="19">
        <v>1</v>
      </c>
      <c r="Y501" s="19" t="s">
        <v>103</v>
      </c>
      <c r="Z501" s="19">
        <v>50</v>
      </c>
      <c r="AA501" s="19">
        <v>50</v>
      </c>
    </row>
    <row r="502" spans="1:27" x14ac:dyDescent="0.25">
      <c r="A502" s="19" t="s">
        <v>696</v>
      </c>
      <c r="B502" s="19" t="s">
        <v>663</v>
      </c>
      <c r="C502" s="19" t="s">
        <v>664</v>
      </c>
      <c r="D502" s="19">
        <v>1.25</v>
      </c>
      <c r="E502" s="19" t="s">
        <v>149</v>
      </c>
      <c r="F502" s="19" t="s">
        <v>150</v>
      </c>
      <c r="G502" s="19" t="s">
        <v>134</v>
      </c>
      <c r="H502" s="19" t="s">
        <v>146</v>
      </c>
      <c r="I502" s="19" t="s">
        <v>147</v>
      </c>
      <c r="J502" s="19">
        <v>5</v>
      </c>
      <c r="K502" s="19">
        <v>2.5000000000000001E-2</v>
      </c>
      <c r="L502" s="19" t="s">
        <v>35</v>
      </c>
      <c r="M502" s="19" t="s">
        <v>103</v>
      </c>
      <c r="N502" s="19">
        <v>50</v>
      </c>
      <c r="O502" s="19">
        <v>50</v>
      </c>
      <c r="P502" s="19">
        <v>0</v>
      </c>
      <c r="Q502" s="19">
        <v>0</v>
      </c>
      <c r="S502" s="19">
        <v>1</v>
      </c>
      <c r="T502" s="19">
        <v>1</v>
      </c>
      <c r="U502" s="19">
        <v>0</v>
      </c>
      <c r="V502" s="19" t="s">
        <v>41</v>
      </c>
      <c r="W502" s="19">
        <v>1</v>
      </c>
      <c r="Y502" s="19" t="s">
        <v>103</v>
      </c>
      <c r="Z502" s="19">
        <v>50</v>
      </c>
      <c r="AA502" s="19">
        <v>50</v>
      </c>
    </row>
    <row r="503" spans="1:27" x14ac:dyDescent="0.25">
      <c r="A503" s="19" t="s">
        <v>697</v>
      </c>
      <c r="B503" s="19" t="s">
        <v>663</v>
      </c>
      <c r="C503" s="19" t="s">
        <v>664</v>
      </c>
      <c r="D503" s="19">
        <v>1.25</v>
      </c>
      <c r="E503" s="19" t="s">
        <v>152</v>
      </c>
      <c r="F503" s="19" t="s">
        <v>153</v>
      </c>
      <c r="G503" s="19" t="s">
        <v>134</v>
      </c>
      <c r="H503" s="19" t="s">
        <v>146</v>
      </c>
      <c r="I503" s="19" t="s">
        <v>147</v>
      </c>
      <c r="J503" s="19">
        <v>6</v>
      </c>
      <c r="K503" s="19">
        <v>2.5000000000000001E-2</v>
      </c>
      <c r="L503" s="19" t="s">
        <v>35</v>
      </c>
      <c r="M503" s="19" t="s">
        <v>103</v>
      </c>
      <c r="N503" s="19">
        <v>50</v>
      </c>
      <c r="O503" s="19">
        <v>50</v>
      </c>
      <c r="P503" s="19">
        <v>0</v>
      </c>
      <c r="Q503" s="19">
        <v>0</v>
      </c>
      <c r="S503" s="19">
        <v>1</v>
      </c>
      <c r="T503" s="19">
        <v>1</v>
      </c>
      <c r="U503" s="19">
        <v>0</v>
      </c>
      <c r="V503" s="19" t="s">
        <v>41</v>
      </c>
      <c r="W503" s="19">
        <v>1</v>
      </c>
      <c r="Y503" s="19" t="s">
        <v>103</v>
      </c>
      <c r="Z503" s="19">
        <v>50</v>
      </c>
      <c r="AA503" s="19">
        <v>50</v>
      </c>
    </row>
    <row r="504" spans="1:27" x14ac:dyDescent="0.25">
      <c r="A504" s="19" t="s">
        <v>698</v>
      </c>
      <c r="B504" s="19" t="s">
        <v>663</v>
      </c>
      <c r="C504" s="19" t="s">
        <v>664</v>
      </c>
      <c r="D504" s="19">
        <v>1.25</v>
      </c>
      <c r="E504" s="19" t="s">
        <v>155</v>
      </c>
      <c r="F504" s="19" t="s">
        <v>156</v>
      </c>
      <c r="G504" s="19" t="s">
        <v>134</v>
      </c>
      <c r="H504" s="19" t="s">
        <v>146</v>
      </c>
      <c r="I504" s="19" t="s">
        <v>147</v>
      </c>
      <c r="J504" s="19">
        <v>7</v>
      </c>
      <c r="K504" s="19">
        <v>2.5000000000000001E-2</v>
      </c>
      <c r="L504" s="19" t="s">
        <v>35</v>
      </c>
      <c r="M504" s="19" t="s">
        <v>103</v>
      </c>
      <c r="N504" s="19">
        <v>50</v>
      </c>
      <c r="O504" s="19">
        <v>50</v>
      </c>
      <c r="P504" s="19">
        <v>0</v>
      </c>
      <c r="Q504" s="19">
        <v>0</v>
      </c>
      <c r="S504" s="19">
        <v>1</v>
      </c>
      <c r="T504" s="19">
        <v>1</v>
      </c>
      <c r="U504" s="19">
        <v>0</v>
      </c>
      <c r="V504" s="19" t="s">
        <v>41</v>
      </c>
      <c r="W504" s="19">
        <v>1</v>
      </c>
      <c r="Y504" s="19" t="s">
        <v>103</v>
      </c>
      <c r="Z504" s="19">
        <v>50</v>
      </c>
      <c r="AA504" s="19">
        <v>50</v>
      </c>
    </row>
    <row r="505" spans="1:27" x14ac:dyDescent="0.25">
      <c r="A505" s="19" t="s">
        <v>699</v>
      </c>
      <c r="B505" s="19" t="s">
        <v>663</v>
      </c>
      <c r="C505" s="19" t="s">
        <v>664</v>
      </c>
      <c r="D505" s="19">
        <v>0</v>
      </c>
      <c r="E505" s="19" t="s">
        <v>158</v>
      </c>
      <c r="F505" s="19" t="s">
        <v>159</v>
      </c>
      <c r="G505" s="19" t="s">
        <v>134</v>
      </c>
      <c r="H505" s="19" t="s">
        <v>146</v>
      </c>
      <c r="I505" s="19" t="s">
        <v>147</v>
      </c>
      <c r="J505" s="19">
        <v>8</v>
      </c>
      <c r="K505" s="19">
        <v>2.5000000000000001E-2</v>
      </c>
      <c r="L505" s="19" t="s">
        <v>35</v>
      </c>
      <c r="M505" s="19" t="s">
        <v>103</v>
      </c>
      <c r="N505" s="19">
        <v>0</v>
      </c>
      <c r="O505" s="19">
        <v>0</v>
      </c>
      <c r="P505" s="19">
        <v>0</v>
      </c>
      <c r="Q505" s="19">
        <v>0</v>
      </c>
      <c r="S505" s="19">
        <v>1</v>
      </c>
      <c r="T505" s="19">
        <v>1</v>
      </c>
      <c r="U505" s="19">
        <v>0</v>
      </c>
      <c r="V505" s="19" t="s">
        <v>80</v>
      </c>
      <c r="W505" s="19">
        <v>0</v>
      </c>
      <c r="Y505" s="19" t="s">
        <v>103</v>
      </c>
      <c r="Z505" s="19">
        <v>50</v>
      </c>
      <c r="AA505" s="19">
        <v>0</v>
      </c>
    </row>
    <row r="506" spans="1:27" x14ac:dyDescent="0.25">
      <c r="A506" s="19" t="s">
        <v>700</v>
      </c>
      <c r="B506" s="19" t="s">
        <v>663</v>
      </c>
      <c r="C506" s="19" t="s">
        <v>664</v>
      </c>
      <c r="D506" s="19">
        <v>2.2197779999999998</v>
      </c>
      <c r="E506" s="19" t="s">
        <v>161</v>
      </c>
      <c r="F506" s="19" t="s">
        <v>162</v>
      </c>
      <c r="G506" s="19" t="s">
        <v>163</v>
      </c>
      <c r="I506" s="19" t="s">
        <v>164</v>
      </c>
      <c r="J506" s="19">
        <v>1</v>
      </c>
      <c r="K506" s="19">
        <v>3.3300000000000003E-2</v>
      </c>
      <c r="L506" s="19" t="s">
        <v>35</v>
      </c>
      <c r="M506" s="19" t="s">
        <v>165</v>
      </c>
      <c r="N506" s="19">
        <v>66.66</v>
      </c>
      <c r="O506" s="19">
        <v>66.66</v>
      </c>
      <c r="P506" s="19">
        <v>0</v>
      </c>
      <c r="Q506" s="19">
        <v>0</v>
      </c>
      <c r="S506" s="19">
        <v>1</v>
      </c>
      <c r="T506" s="19">
        <v>1</v>
      </c>
      <c r="U506" s="19">
        <v>0</v>
      </c>
      <c r="W506" s="19">
        <v>0</v>
      </c>
      <c r="X506" s="19">
        <v>66.66</v>
      </c>
      <c r="Z506" s="19">
        <v>0</v>
      </c>
      <c r="AA506" s="19">
        <v>66.66</v>
      </c>
    </row>
    <row r="507" spans="1:27" x14ac:dyDescent="0.25">
      <c r="A507" s="19" t="s">
        <v>701</v>
      </c>
      <c r="B507" s="19" t="s">
        <v>663</v>
      </c>
      <c r="C507" s="19" t="s">
        <v>664</v>
      </c>
      <c r="D507" s="19">
        <v>0</v>
      </c>
      <c r="E507" s="19" t="s">
        <v>167</v>
      </c>
      <c r="F507" s="19" t="s">
        <v>168</v>
      </c>
      <c r="G507" s="19" t="s">
        <v>163</v>
      </c>
      <c r="I507" s="19" t="s">
        <v>164</v>
      </c>
      <c r="J507" s="19">
        <v>3</v>
      </c>
      <c r="K507" s="19">
        <v>3.3300000000000003E-2</v>
      </c>
      <c r="L507" s="19" t="s">
        <v>35</v>
      </c>
      <c r="M507" s="19" t="s">
        <v>165</v>
      </c>
      <c r="N507" s="19">
        <v>0</v>
      </c>
      <c r="O507" s="19">
        <v>0</v>
      </c>
      <c r="P507" s="19">
        <v>0</v>
      </c>
      <c r="Q507" s="19">
        <v>0</v>
      </c>
      <c r="S507" s="19">
        <v>1</v>
      </c>
      <c r="T507" s="19">
        <v>1</v>
      </c>
      <c r="U507" s="19">
        <v>0</v>
      </c>
      <c r="W507" s="19">
        <v>0</v>
      </c>
      <c r="X507" s="19">
        <v>0</v>
      </c>
      <c r="Z507" s="19">
        <v>0</v>
      </c>
      <c r="AA507" s="19">
        <v>0</v>
      </c>
    </row>
    <row r="508" spans="1:27" x14ac:dyDescent="0.25">
      <c r="A508" s="19" t="s">
        <v>702</v>
      </c>
      <c r="B508" s="19" t="s">
        <v>663</v>
      </c>
      <c r="C508" s="19" t="s">
        <v>664</v>
      </c>
      <c r="D508" s="19">
        <v>0</v>
      </c>
      <c r="E508" s="19" t="s">
        <v>170</v>
      </c>
      <c r="F508" s="19" t="s">
        <v>171</v>
      </c>
      <c r="G508" s="19" t="s">
        <v>163</v>
      </c>
      <c r="I508" s="19" t="s">
        <v>164</v>
      </c>
      <c r="J508" s="19">
        <v>2</v>
      </c>
      <c r="K508" s="19">
        <v>3.3300000000000003E-2</v>
      </c>
      <c r="L508" s="19" t="s">
        <v>35</v>
      </c>
      <c r="M508" s="19" t="s">
        <v>165</v>
      </c>
      <c r="N508" s="19">
        <v>0</v>
      </c>
      <c r="O508" s="19">
        <v>0</v>
      </c>
      <c r="P508" s="19">
        <v>0</v>
      </c>
      <c r="Q508" s="19">
        <v>0</v>
      </c>
      <c r="S508" s="19">
        <v>1</v>
      </c>
      <c r="T508" s="19">
        <v>1</v>
      </c>
      <c r="U508" s="19">
        <v>0</v>
      </c>
      <c r="W508" s="19">
        <v>0</v>
      </c>
      <c r="X508" s="19">
        <v>0</v>
      </c>
      <c r="Z508" s="19">
        <v>0</v>
      </c>
      <c r="AA508" s="19">
        <v>0</v>
      </c>
    </row>
    <row r="509" spans="1:27" x14ac:dyDescent="0.25">
      <c r="A509" s="19" t="s">
        <v>703</v>
      </c>
      <c r="B509" s="19" t="s">
        <v>704</v>
      </c>
      <c r="C509" s="19" t="s">
        <v>705</v>
      </c>
      <c r="D509" s="19">
        <v>0</v>
      </c>
      <c r="E509" s="19" t="s">
        <v>30</v>
      </c>
      <c r="F509" s="19" t="s">
        <v>31</v>
      </c>
      <c r="G509" s="19" t="s">
        <v>32</v>
      </c>
      <c r="H509" s="19" t="s">
        <v>33</v>
      </c>
      <c r="I509" s="19" t="s">
        <v>34</v>
      </c>
      <c r="J509" s="19">
        <v>17</v>
      </c>
      <c r="K509" s="19">
        <v>1.6299999999999999E-2</v>
      </c>
      <c r="L509" s="19" t="s">
        <v>35</v>
      </c>
      <c r="N509" s="19">
        <v>0</v>
      </c>
      <c r="O509" s="19">
        <v>0</v>
      </c>
      <c r="P509" s="19">
        <v>0</v>
      </c>
      <c r="Q509" s="19">
        <v>0</v>
      </c>
      <c r="S509" s="19">
        <v>1</v>
      </c>
      <c r="T509" s="19">
        <v>1</v>
      </c>
      <c r="U509" s="19">
        <v>0</v>
      </c>
      <c r="V509" s="19" t="s">
        <v>36</v>
      </c>
      <c r="W509" s="19">
        <v>0</v>
      </c>
      <c r="Z509" s="19">
        <v>0</v>
      </c>
      <c r="AA509" s="19">
        <v>0</v>
      </c>
    </row>
    <row r="510" spans="1:27" x14ac:dyDescent="0.25">
      <c r="A510" s="19" t="s">
        <v>706</v>
      </c>
      <c r="B510" s="19" t="s">
        <v>704</v>
      </c>
      <c r="C510" s="19" t="s">
        <v>705</v>
      </c>
      <c r="D510" s="19">
        <v>0.54327899999999996</v>
      </c>
      <c r="E510" s="19" t="s">
        <v>38</v>
      </c>
      <c r="F510" s="19" t="s">
        <v>39</v>
      </c>
      <c r="G510" s="19" t="s">
        <v>32</v>
      </c>
      <c r="H510" s="19" t="s">
        <v>33</v>
      </c>
      <c r="I510" s="19" t="s">
        <v>34</v>
      </c>
      <c r="J510" s="19">
        <v>19</v>
      </c>
      <c r="K510" s="19">
        <v>1.6299999999999999E-2</v>
      </c>
      <c r="L510" s="19" t="s">
        <v>35</v>
      </c>
      <c r="M510" s="19" t="s">
        <v>40</v>
      </c>
      <c r="N510" s="19">
        <v>33.33</v>
      </c>
      <c r="O510" s="19">
        <v>33.33</v>
      </c>
      <c r="P510" s="19">
        <v>0</v>
      </c>
      <c r="Q510" s="19">
        <v>0</v>
      </c>
      <c r="S510" s="19">
        <v>1</v>
      </c>
      <c r="T510" s="19">
        <v>1</v>
      </c>
      <c r="U510" s="19">
        <v>0</v>
      </c>
      <c r="V510" s="19" t="s">
        <v>41</v>
      </c>
      <c r="W510" s="19">
        <v>1</v>
      </c>
      <c r="Y510" s="19" t="s">
        <v>40</v>
      </c>
      <c r="Z510" s="19">
        <v>33.33</v>
      </c>
      <c r="AA510" s="19">
        <v>33.33</v>
      </c>
    </row>
    <row r="511" spans="1:27" x14ac:dyDescent="0.25">
      <c r="A511" s="19" t="s">
        <v>707</v>
      </c>
      <c r="B511" s="19" t="s">
        <v>704</v>
      </c>
      <c r="C511" s="19" t="s">
        <v>705</v>
      </c>
      <c r="D511" s="19">
        <v>0.54327899999999996</v>
      </c>
      <c r="E511" s="19" t="s">
        <v>43</v>
      </c>
      <c r="F511" s="19" t="s">
        <v>44</v>
      </c>
      <c r="G511" s="19" t="s">
        <v>32</v>
      </c>
      <c r="H511" s="19" t="s">
        <v>33</v>
      </c>
      <c r="I511" s="19" t="s">
        <v>34</v>
      </c>
      <c r="J511" s="19">
        <v>18</v>
      </c>
      <c r="K511" s="19">
        <v>1.6299999999999999E-2</v>
      </c>
      <c r="L511" s="19" t="s">
        <v>35</v>
      </c>
      <c r="M511" s="19" t="s">
        <v>40</v>
      </c>
      <c r="N511" s="19">
        <v>33.33</v>
      </c>
      <c r="O511" s="19">
        <v>33.33</v>
      </c>
      <c r="P511" s="19">
        <v>0</v>
      </c>
      <c r="Q511" s="19">
        <v>0</v>
      </c>
      <c r="S511" s="19">
        <v>1</v>
      </c>
      <c r="T511" s="19">
        <v>1</v>
      </c>
      <c r="U511" s="19">
        <v>0</v>
      </c>
      <c r="V511" s="19" t="s">
        <v>41</v>
      </c>
      <c r="W511" s="19">
        <v>1</v>
      </c>
      <c r="Y511" s="19" t="s">
        <v>40</v>
      </c>
      <c r="Z511" s="19">
        <v>33.33</v>
      </c>
      <c r="AA511" s="19">
        <v>33.33</v>
      </c>
    </row>
    <row r="512" spans="1:27" x14ac:dyDescent="0.25">
      <c r="A512" s="19" t="s">
        <v>708</v>
      </c>
      <c r="B512" s="19" t="s">
        <v>704</v>
      </c>
      <c r="C512" s="19" t="s">
        <v>705</v>
      </c>
      <c r="D512" s="19">
        <v>0.54327899999999996</v>
      </c>
      <c r="E512" s="19" t="s">
        <v>46</v>
      </c>
      <c r="F512" s="19" t="s">
        <v>47</v>
      </c>
      <c r="G512" s="19" t="s">
        <v>32</v>
      </c>
      <c r="H512" s="19" t="s">
        <v>33</v>
      </c>
      <c r="I512" s="19" t="s">
        <v>34</v>
      </c>
      <c r="J512" s="19">
        <v>15</v>
      </c>
      <c r="K512" s="19">
        <v>1.6299999999999999E-2</v>
      </c>
      <c r="L512" s="19" t="s">
        <v>35</v>
      </c>
      <c r="M512" s="19" t="s">
        <v>40</v>
      </c>
      <c r="N512" s="19">
        <v>33.33</v>
      </c>
      <c r="O512" s="19">
        <v>33.33</v>
      </c>
      <c r="P512" s="19">
        <v>0</v>
      </c>
      <c r="Q512" s="19">
        <v>0</v>
      </c>
      <c r="S512" s="19">
        <v>1</v>
      </c>
      <c r="T512" s="19">
        <v>1</v>
      </c>
      <c r="U512" s="19">
        <v>0</v>
      </c>
      <c r="V512" s="19" t="s">
        <v>41</v>
      </c>
      <c r="W512" s="19">
        <v>1</v>
      </c>
      <c r="Y512" s="19" t="s">
        <v>40</v>
      </c>
      <c r="Z512" s="19">
        <v>33.33</v>
      </c>
      <c r="AA512" s="19">
        <v>33.33</v>
      </c>
    </row>
    <row r="513" spans="1:27" x14ac:dyDescent="0.25">
      <c r="A513" s="19" t="s">
        <v>709</v>
      </c>
      <c r="B513" s="19" t="s">
        <v>704</v>
      </c>
      <c r="C513" s="19" t="s">
        <v>705</v>
      </c>
      <c r="D513" s="19">
        <v>0.54327899999999996</v>
      </c>
      <c r="E513" s="19" t="s">
        <v>49</v>
      </c>
      <c r="F513" s="19" t="s">
        <v>50</v>
      </c>
      <c r="G513" s="19" t="s">
        <v>32</v>
      </c>
      <c r="H513" s="19" t="s">
        <v>33</v>
      </c>
      <c r="I513" s="19" t="s">
        <v>34</v>
      </c>
      <c r="J513" s="19">
        <v>12</v>
      </c>
      <c r="K513" s="19">
        <v>1.6299999999999999E-2</v>
      </c>
      <c r="L513" s="19" t="s">
        <v>35</v>
      </c>
      <c r="M513" s="19" t="s">
        <v>40</v>
      </c>
      <c r="N513" s="19">
        <v>33.33</v>
      </c>
      <c r="O513" s="19">
        <v>33.33</v>
      </c>
      <c r="P513" s="19">
        <v>0</v>
      </c>
      <c r="Q513" s="19">
        <v>0</v>
      </c>
      <c r="S513" s="19">
        <v>1</v>
      </c>
      <c r="T513" s="19">
        <v>1</v>
      </c>
      <c r="U513" s="19">
        <v>0</v>
      </c>
      <c r="V513" s="19" t="s">
        <v>41</v>
      </c>
      <c r="W513" s="19">
        <v>1</v>
      </c>
      <c r="Y513" s="19" t="s">
        <v>40</v>
      </c>
      <c r="Z513" s="19">
        <v>33.33</v>
      </c>
      <c r="AA513" s="19">
        <v>33.33</v>
      </c>
    </row>
    <row r="514" spans="1:27" x14ac:dyDescent="0.25">
      <c r="A514" s="19" t="s">
        <v>710</v>
      </c>
      <c r="B514" s="19" t="s">
        <v>704</v>
      </c>
      <c r="C514" s="19" t="s">
        <v>705</v>
      </c>
      <c r="D514" s="19">
        <v>0.81499999999999995</v>
      </c>
      <c r="E514" s="19" t="s">
        <v>52</v>
      </c>
      <c r="F514" s="19" t="s">
        <v>53</v>
      </c>
      <c r="G514" s="19" t="s">
        <v>32</v>
      </c>
      <c r="H514" s="19" t="s">
        <v>33</v>
      </c>
      <c r="I514" s="19" t="s">
        <v>34</v>
      </c>
      <c r="J514" s="19">
        <v>16</v>
      </c>
      <c r="K514" s="19">
        <v>1.6299999999999999E-2</v>
      </c>
      <c r="L514" s="19" t="s">
        <v>35</v>
      </c>
      <c r="M514" s="19" t="s">
        <v>142</v>
      </c>
      <c r="N514" s="19">
        <v>50</v>
      </c>
      <c r="O514" s="19">
        <v>50</v>
      </c>
      <c r="P514" s="19">
        <v>0</v>
      </c>
      <c r="Q514" s="19">
        <v>0</v>
      </c>
      <c r="S514" s="19">
        <v>1</v>
      </c>
      <c r="T514" s="19">
        <v>1</v>
      </c>
      <c r="U514" s="19">
        <v>0</v>
      </c>
      <c r="V514" s="19" t="s">
        <v>41</v>
      </c>
      <c r="W514" s="19">
        <v>1</v>
      </c>
      <c r="Y514" s="19" t="s">
        <v>142</v>
      </c>
      <c r="Z514" s="19">
        <v>50</v>
      </c>
      <c r="AA514" s="19">
        <v>50</v>
      </c>
    </row>
    <row r="515" spans="1:27" x14ac:dyDescent="0.25">
      <c r="A515" s="19" t="s">
        <v>711</v>
      </c>
      <c r="B515" s="19" t="s">
        <v>704</v>
      </c>
      <c r="C515" s="19" t="s">
        <v>705</v>
      </c>
      <c r="D515" s="19">
        <v>0.81499999999999995</v>
      </c>
      <c r="E515" s="19" t="s">
        <v>55</v>
      </c>
      <c r="F515" s="19" t="s">
        <v>56</v>
      </c>
      <c r="G515" s="19" t="s">
        <v>32</v>
      </c>
      <c r="H515" s="19" t="s">
        <v>33</v>
      </c>
      <c r="I515" s="19" t="s">
        <v>34</v>
      </c>
      <c r="J515" s="19">
        <v>14</v>
      </c>
      <c r="K515" s="19">
        <v>1.6299999999999999E-2</v>
      </c>
      <c r="L515" s="19" t="s">
        <v>35</v>
      </c>
      <c r="M515" s="19" t="s">
        <v>142</v>
      </c>
      <c r="N515" s="19">
        <v>50</v>
      </c>
      <c r="O515" s="19">
        <v>50</v>
      </c>
      <c r="P515" s="19">
        <v>0</v>
      </c>
      <c r="Q515" s="19">
        <v>0</v>
      </c>
      <c r="S515" s="19">
        <v>1</v>
      </c>
      <c r="T515" s="19">
        <v>1</v>
      </c>
      <c r="U515" s="19">
        <v>0</v>
      </c>
      <c r="V515" s="19" t="s">
        <v>41</v>
      </c>
      <c r="W515" s="19">
        <v>1</v>
      </c>
      <c r="Y515" s="19" t="s">
        <v>142</v>
      </c>
      <c r="Z515" s="19">
        <v>50</v>
      </c>
      <c r="AA515" s="19">
        <v>50</v>
      </c>
    </row>
    <row r="516" spans="1:27" x14ac:dyDescent="0.25">
      <c r="A516" s="19" t="s">
        <v>712</v>
      </c>
      <c r="B516" s="19" t="s">
        <v>704</v>
      </c>
      <c r="C516" s="19" t="s">
        <v>705</v>
      </c>
      <c r="D516" s="19">
        <v>0.81499999999999995</v>
      </c>
      <c r="E516" s="19" t="s">
        <v>58</v>
      </c>
      <c r="F516" s="19" t="s">
        <v>59</v>
      </c>
      <c r="G516" s="19" t="s">
        <v>32</v>
      </c>
      <c r="H516" s="19" t="s">
        <v>33</v>
      </c>
      <c r="I516" s="19" t="s">
        <v>34</v>
      </c>
      <c r="J516" s="19">
        <v>13</v>
      </c>
      <c r="K516" s="19">
        <v>1.6299999999999999E-2</v>
      </c>
      <c r="L516" s="19" t="s">
        <v>35</v>
      </c>
      <c r="M516" s="19" t="s">
        <v>142</v>
      </c>
      <c r="N516" s="19">
        <v>50</v>
      </c>
      <c r="O516" s="19">
        <v>50</v>
      </c>
      <c r="P516" s="19">
        <v>0</v>
      </c>
      <c r="Q516" s="19">
        <v>0</v>
      </c>
      <c r="S516" s="19">
        <v>1</v>
      </c>
      <c r="T516" s="19">
        <v>1</v>
      </c>
      <c r="U516" s="19">
        <v>0</v>
      </c>
      <c r="V516" s="19" t="s">
        <v>41</v>
      </c>
      <c r="W516" s="19">
        <v>1</v>
      </c>
      <c r="Y516" s="19" t="s">
        <v>142</v>
      </c>
      <c r="Z516" s="19">
        <v>50</v>
      </c>
      <c r="AA516" s="19">
        <v>50</v>
      </c>
    </row>
    <row r="517" spans="1:27" x14ac:dyDescent="0.25">
      <c r="A517" s="19" t="s">
        <v>713</v>
      </c>
      <c r="B517" s="19" t="s">
        <v>704</v>
      </c>
      <c r="C517" s="19" t="s">
        <v>705</v>
      </c>
      <c r="D517" s="19">
        <v>0.92999999999999905</v>
      </c>
      <c r="E517" s="19" t="s">
        <v>61</v>
      </c>
      <c r="F517" s="19" t="s">
        <v>62</v>
      </c>
      <c r="G517" s="19" t="s">
        <v>32</v>
      </c>
      <c r="H517" s="19" t="s">
        <v>63</v>
      </c>
      <c r="I517" s="19" t="s">
        <v>64</v>
      </c>
      <c r="J517" s="19">
        <v>22</v>
      </c>
      <c r="K517" s="19">
        <v>1.8599999999999998E-2</v>
      </c>
      <c r="L517" s="19" t="s">
        <v>35</v>
      </c>
      <c r="M517" s="19" t="s">
        <v>142</v>
      </c>
      <c r="N517" s="19">
        <v>50</v>
      </c>
      <c r="O517" s="19">
        <v>50</v>
      </c>
      <c r="P517" s="19">
        <v>0</v>
      </c>
      <c r="Q517" s="19">
        <v>0</v>
      </c>
      <c r="S517" s="19">
        <v>1</v>
      </c>
      <c r="T517" s="19">
        <v>1</v>
      </c>
      <c r="U517" s="19">
        <v>0</v>
      </c>
      <c r="V517" s="19" t="s">
        <v>41</v>
      </c>
      <c r="W517" s="19">
        <v>1</v>
      </c>
      <c r="Y517" s="19" t="s">
        <v>142</v>
      </c>
      <c r="Z517" s="19">
        <v>50</v>
      </c>
      <c r="AA517" s="19">
        <v>50</v>
      </c>
    </row>
    <row r="518" spans="1:27" x14ac:dyDescent="0.25">
      <c r="A518" s="19" t="s">
        <v>714</v>
      </c>
      <c r="B518" s="19" t="s">
        <v>704</v>
      </c>
      <c r="C518" s="19" t="s">
        <v>705</v>
      </c>
      <c r="D518" s="19">
        <v>0.92999999999999905</v>
      </c>
      <c r="E518" s="19" t="s">
        <v>66</v>
      </c>
      <c r="F518" s="19" t="s">
        <v>67</v>
      </c>
      <c r="G518" s="19" t="s">
        <v>32</v>
      </c>
      <c r="H518" s="19" t="s">
        <v>63</v>
      </c>
      <c r="I518" s="19" t="s">
        <v>64</v>
      </c>
      <c r="J518" s="19">
        <v>20</v>
      </c>
      <c r="K518" s="19">
        <v>1.8599999999999998E-2</v>
      </c>
      <c r="L518" s="19" t="s">
        <v>35</v>
      </c>
      <c r="M518" s="19" t="s">
        <v>142</v>
      </c>
      <c r="N518" s="19">
        <v>50</v>
      </c>
      <c r="O518" s="19">
        <v>50</v>
      </c>
      <c r="P518" s="19">
        <v>0</v>
      </c>
      <c r="Q518" s="19">
        <v>0</v>
      </c>
      <c r="S518" s="19">
        <v>1</v>
      </c>
      <c r="T518" s="19">
        <v>1</v>
      </c>
      <c r="U518" s="19">
        <v>0</v>
      </c>
      <c r="V518" s="19" t="s">
        <v>41</v>
      </c>
      <c r="W518" s="19">
        <v>1</v>
      </c>
      <c r="Y518" s="19" t="s">
        <v>142</v>
      </c>
      <c r="Z518" s="19">
        <v>50</v>
      </c>
      <c r="AA518" s="19">
        <v>50</v>
      </c>
    </row>
    <row r="519" spans="1:27" x14ac:dyDescent="0.25">
      <c r="A519" s="19" t="s">
        <v>715</v>
      </c>
      <c r="B519" s="19" t="s">
        <v>704</v>
      </c>
      <c r="C519" s="19" t="s">
        <v>705</v>
      </c>
      <c r="D519" s="19">
        <v>0.92999999999999905</v>
      </c>
      <c r="E519" s="19" t="s">
        <v>69</v>
      </c>
      <c r="F519" s="19" t="s">
        <v>70</v>
      </c>
      <c r="G519" s="19" t="s">
        <v>32</v>
      </c>
      <c r="H519" s="19" t="s">
        <v>63</v>
      </c>
      <c r="I519" s="19" t="s">
        <v>64</v>
      </c>
      <c r="J519" s="19">
        <v>23</v>
      </c>
      <c r="K519" s="19">
        <v>1.8599999999999998E-2</v>
      </c>
      <c r="L519" s="19" t="s">
        <v>35</v>
      </c>
      <c r="M519" s="19" t="s">
        <v>142</v>
      </c>
      <c r="N519" s="19">
        <v>50</v>
      </c>
      <c r="O519" s="19">
        <v>50</v>
      </c>
      <c r="P519" s="19">
        <v>0</v>
      </c>
      <c r="Q519" s="19">
        <v>0</v>
      </c>
      <c r="S519" s="19">
        <v>1</v>
      </c>
      <c r="T519" s="19">
        <v>1</v>
      </c>
      <c r="U519" s="19">
        <v>0</v>
      </c>
      <c r="V519" s="19" t="s">
        <v>41</v>
      </c>
      <c r="W519" s="19">
        <v>1</v>
      </c>
      <c r="Y519" s="19" t="s">
        <v>142</v>
      </c>
      <c r="Z519" s="19">
        <v>50</v>
      </c>
      <c r="AA519" s="19">
        <v>50</v>
      </c>
    </row>
    <row r="520" spans="1:27" x14ac:dyDescent="0.25">
      <c r="A520" s="19" t="s">
        <v>716</v>
      </c>
      <c r="B520" s="19" t="s">
        <v>704</v>
      </c>
      <c r="C520" s="19" t="s">
        <v>705</v>
      </c>
      <c r="D520" s="19">
        <v>0.92999999999999905</v>
      </c>
      <c r="E520" s="19" t="s">
        <v>72</v>
      </c>
      <c r="F520" s="19" t="s">
        <v>73</v>
      </c>
      <c r="G520" s="19" t="s">
        <v>32</v>
      </c>
      <c r="H520" s="19" t="s">
        <v>63</v>
      </c>
      <c r="I520" s="19" t="s">
        <v>64</v>
      </c>
      <c r="J520" s="19">
        <v>21</v>
      </c>
      <c r="K520" s="19">
        <v>1.8599999999999998E-2</v>
      </c>
      <c r="L520" s="19" t="s">
        <v>35</v>
      </c>
      <c r="M520" s="19" t="s">
        <v>142</v>
      </c>
      <c r="N520" s="19">
        <v>50</v>
      </c>
      <c r="O520" s="19">
        <v>50</v>
      </c>
      <c r="P520" s="19">
        <v>0</v>
      </c>
      <c r="Q520" s="19">
        <v>0</v>
      </c>
      <c r="S520" s="19">
        <v>1</v>
      </c>
      <c r="T520" s="19">
        <v>1</v>
      </c>
      <c r="U520" s="19">
        <v>0</v>
      </c>
      <c r="V520" s="19" t="s">
        <v>41</v>
      </c>
      <c r="W520" s="19">
        <v>1</v>
      </c>
      <c r="Y520" s="19" t="s">
        <v>142</v>
      </c>
      <c r="Z520" s="19">
        <v>50</v>
      </c>
      <c r="AA520" s="19">
        <v>50</v>
      </c>
    </row>
    <row r="521" spans="1:27" x14ac:dyDescent="0.25">
      <c r="A521" s="19" t="s">
        <v>717</v>
      </c>
      <c r="B521" s="19" t="s">
        <v>704</v>
      </c>
      <c r="C521" s="19" t="s">
        <v>705</v>
      </c>
      <c r="D521" s="19">
        <v>0.92999999999999905</v>
      </c>
      <c r="E521" s="19" t="s">
        <v>75</v>
      </c>
      <c r="F521" s="19" t="s">
        <v>76</v>
      </c>
      <c r="G521" s="19" t="s">
        <v>32</v>
      </c>
      <c r="H521" s="19" t="s">
        <v>63</v>
      </c>
      <c r="I521" s="19" t="s">
        <v>64</v>
      </c>
      <c r="J521" s="19">
        <v>24</v>
      </c>
      <c r="K521" s="19">
        <v>1.8599999999999998E-2</v>
      </c>
      <c r="L521" s="19" t="s">
        <v>35</v>
      </c>
      <c r="M521" s="19" t="s">
        <v>142</v>
      </c>
      <c r="N521" s="19">
        <v>50</v>
      </c>
      <c r="O521" s="19">
        <v>50</v>
      </c>
      <c r="P521" s="19">
        <v>0</v>
      </c>
      <c r="Q521" s="19">
        <v>0</v>
      </c>
      <c r="S521" s="19">
        <v>1</v>
      </c>
      <c r="T521" s="19">
        <v>1</v>
      </c>
      <c r="U521" s="19">
        <v>0</v>
      </c>
      <c r="V521" s="19" t="s">
        <v>41</v>
      </c>
      <c r="W521" s="19">
        <v>1</v>
      </c>
      <c r="Y521" s="19" t="s">
        <v>142</v>
      </c>
      <c r="Z521" s="19">
        <v>50</v>
      </c>
      <c r="AA521" s="19">
        <v>50</v>
      </c>
    </row>
    <row r="522" spans="1:27" x14ac:dyDescent="0.25">
      <c r="A522" s="19" t="s">
        <v>718</v>
      </c>
      <c r="B522" s="19" t="s">
        <v>704</v>
      </c>
      <c r="C522" s="19" t="s">
        <v>705</v>
      </c>
      <c r="D522" s="19">
        <v>0.92999999999999905</v>
      </c>
      <c r="E522" s="19" t="s">
        <v>78</v>
      </c>
      <c r="F522" s="19" t="s">
        <v>79</v>
      </c>
      <c r="G522" s="19" t="s">
        <v>32</v>
      </c>
      <c r="H522" s="19" t="s">
        <v>63</v>
      </c>
      <c r="I522" s="19" t="s">
        <v>64</v>
      </c>
      <c r="J522" s="19">
        <v>25</v>
      </c>
      <c r="K522" s="19">
        <v>1.8599999999999998E-2</v>
      </c>
      <c r="L522" s="19" t="s">
        <v>35</v>
      </c>
      <c r="M522" s="19" t="s">
        <v>142</v>
      </c>
      <c r="N522" s="19">
        <v>50</v>
      </c>
      <c r="O522" s="19">
        <v>50</v>
      </c>
      <c r="P522" s="19">
        <v>0</v>
      </c>
      <c r="Q522" s="19">
        <v>0</v>
      </c>
      <c r="S522" s="19">
        <v>1</v>
      </c>
      <c r="T522" s="19">
        <v>1</v>
      </c>
      <c r="U522" s="19">
        <v>0</v>
      </c>
      <c r="V522" s="19" t="s">
        <v>41</v>
      </c>
      <c r="W522" s="19">
        <v>1</v>
      </c>
      <c r="Y522" s="19" t="s">
        <v>142</v>
      </c>
      <c r="Z522" s="19">
        <v>50</v>
      </c>
      <c r="AA522" s="19">
        <v>50</v>
      </c>
    </row>
    <row r="523" spans="1:27" x14ac:dyDescent="0.25">
      <c r="A523" s="19" t="s">
        <v>719</v>
      </c>
      <c r="B523" s="19" t="s">
        <v>704</v>
      </c>
      <c r="C523" s="19" t="s">
        <v>705</v>
      </c>
      <c r="D523" s="19">
        <v>0.92999999999999905</v>
      </c>
      <c r="E523" s="19" t="s">
        <v>82</v>
      </c>
      <c r="F523" s="19" t="s">
        <v>83</v>
      </c>
      <c r="G523" s="19" t="s">
        <v>32</v>
      </c>
      <c r="H523" s="19" t="s">
        <v>63</v>
      </c>
      <c r="I523" s="19" t="s">
        <v>64</v>
      </c>
      <c r="J523" s="19">
        <v>26</v>
      </c>
      <c r="K523" s="19">
        <v>1.8599999999999998E-2</v>
      </c>
      <c r="L523" s="19" t="s">
        <v>35</v>
      </c>
      <c r="M523" s="19" t="s">
        <v>142</v>
      </c>
      <c r="N523" s="19">
        <v>50</v>
      </c>
      <c r="O523" s="19">
        <v>50</v>
      </c>
      <c r="P523" s="19">
        <v>0</v>
      </c>
      <c r="Q523" s="19">
        <v>0</v>
      </c>
      <c r="S523" s="19">
        <v>1</v>
      </c>
      <c r="T523" s="19">
        <v>1</v>
      </c>
      <c r="U523" s="19">
        <v>0</v>
      </c>
      <c r="V523" s="19" t="s">
        <v>41</v>
      </c>
      <c r="W523" s="19">
        <v>1</v>
      </c>
      <c r="Y523" s="19" t="s">
        <v>142</v>
      </c>
      <c r="Z523" s="19">
        <v>50</v>
      </c>
      <c r="AA523" s="19">
        <v>50</v>
      </c>
    </row>
    <row r="524" spans="1:27" x14ac:dyDescent="0.25">
      <c r="A524" s="19" t="s">
        <v>720</v>
      </c>
      <c r="B524" s="19" t="s">
        <v>704</v>
      </c>
      <c r="C524" s="19" t="s">
        <v>705</v>
      </c>
      <c r="D524" s="19">
        <v>0</v>
      </c>
      <c r="E524" s="19" t="s">
        <v>85</v>
      </c>
      <c r="F524" s="19" t="s">
        <v>86</v>
      </c>
      <c r="G524" s="19" t="s">
        <v>32</v>
      </c>
      <c r="H524" s="19" t="s">
        <v>87</v>
      </c>
      <c r="I524" s="19" t="s">
        <v>88</v>
      </c>
      <c r="J524" s="19">
        <v>35</v>
      </c>
      <c r="K524" s="19">
        <v>3.2500000000000001E-2</v>
      </c>
      <c r="L524" s="19" t="s">
        <v>35</v>
      </c>
      <c r="N524" s="19">
        <v>0</v>
      </c>
      <c r="O524" s="19">
        <v>0</v>
      </c>
      <c r="P524" s="19">
        <v>0</v>
      </c>
      <c r="Q524" s="19">
        <v>0</v>
      </c>
      <c r="S524" s="19">
        <v>1</v>
      </c>
      <c r="T524" s="19">
        <v>1</v>
      </c>
      <c r="U524" s="19">
        <v>0</v>
      </c>
      <c r="V524" s="19" t="s">
        <v>36</v>
      </c>
      <c r="W524" s="19">
        <v>0</v>
      </c>
      <c r="Z524" s="19">
        <v>0</v>
      </c>
      <c r="AA524" s="19">
        <v>0</v>
      </c>
    </row>
    <row r="525" spans="1:27" x14ac:dyDescent="0.25">
      <c r="A525" s="19" t="s">
        <v>721</v>
      </c>
      <c r="B525" s="19" t="s">
        <v>704</v>
      </c>
      <c r="C525" s="19" t="s">
        <v>705</v>
      </c>
      <c r="D525" s="19">
        <v>0</v>
      </c>
      <c r="E525" s="19" t="s">
        <v>90</v>
      </c>
      <c r="F525" s="19" t="s">
        <v>91</v>
      </c>
      <c r="G525" s="19" t="s">
        <v>32</v>
      </c>
      <c r="H525" s="19" t="s">
        <v>87</v>
      </c>
      <c r="I525" s="19" t="s">
        <v>88</v>
      </c>
      <c r="J525" s="19">
        <v>33</v>
      </c>
      <c r="K525" s="19">
        <v>3.2500000000000001E-2</v>
      </c>
      <c r="L525" s="19" t="s">
        <v>35</v>
      </c>
      <c r="M525" s="19" t="s">
        <v>40</v>
      </c>
      <c r="N525" s="19">
        <v>0</v>
      </c>
      <c r="O525" s="19">
        <v>0</v>
      </c>
      <c r="P525" s="19">
        <v>0</v>
      </c>
      <c r="Q525" s="19">
        <v>0</v>
      </c>
      <c r="S525" s="19">
        <v>1</v>
      </c>
      <c r="T525" s="19">
        <v>1</v>
      </c>
      <c r="U525" s="19">
        <v>0</v>
      </c>
      <c r="V525" s="19" t="s">
        <v>80</v>
      </c>
      <c r="W525" s="19">
        <v>0</v>
      </c>
      <c r="Y525" s="19" t="s">
        <v>40</v>
      </c>
      <c r="Z525" s="19">
        <v>33.33</v>
      </c>
      <c r="AA525" s="19">
        <v>0</v>
      </c>
    </row>
    <row r="526" spans="1:27" x14ac:dyDescent="0.25">
      <c r="A526" s="19" t="s">
        <v>722</v>
      </c>
      <c r="B526" s="19" t="s">
        <v>704</v>
      </c>
      <c r="C526" s="19" t="s">
        <v>705</v>
      </c>
      <c r="D526" s="19">
        <v>1.625</v>
      </c>
      <c r="E526" s="19" t="s">
        <v>93</v>
      </c>
      <c r="F526" s="19" t="s">
        <v>94</v>
      </c>
      <c r="G526" s="19" t="s">
        <v>32</v>
      </c>
      <c r="H526" s="19" t="s">
        <v>87</v>
      </c>
      <c r="I526" s="19" t="s">
        <v>88</v>
      </c>
      <c r="J526" s="19">
        <v>34</v>
      </c>
      <c r="K526" s="19">
        <v>3.2500000000000001E-2</v>
      </c>
      <c r="L526" s="19" t="s">
        <v>35</v>
      </c>
      <c r="M526" s="19" t="s">
        <v>142</v>
      </c>
      <c r="N526" s="19">
        <v>50</v>
      </c>
      <c r="O526" s="19">
        <v>50</v>
      </c>
      <c r="P526" s="19">
        <v>0</v>
      </c>
      <c r="Q526" s="19">
        <v>0</v>
      </c>
      <c r="S526" s="19">
        <v>1</v>
      </c>
      <c r="T526" s="19">
        <v>1</v>
      </c>
      <c r="U526" s="19">
        <v>0</v>
      </c>
      <c r="V526" s="19" t="s">
        <v>41</v>
      </c>
      <c r="W526" s="19">
        <v>1</v>
      </c>
      <c r="Y526" s="19" t="s">
        <v>142</v>
      </c>
      <c r="Z526" s="19">
        <v>50</v>
      </c>
      <c r="AA526" s="19">
        <v>50</v>
      </c>
    </row>
    <row r="527" spans="1:27" x14ac:dyDescent="0.25">
      <c r="A527" s="19" t="s">
        <v>723</v>
      </c>
      <c r="B527" s="19" t="s">
        <v>704</v>
      </c>
      <c r="C527" s="19" t="s">
        <v>705</v>
      </c>
      <c r="D527" s="19">
        <v>0</v>
      </c>
      <c r="E527" s="19" t="s">
        <v>96</v>
      </c>
      <c r="F527" s="19" t="s">
        <v>97</v>
      </c>
      <c r="G527" s="19" t="s">
        <v>32</v>
      </c>
      <c r="H527" s="19" t="s">
        <v>87</v>
      </c>
      <c r="I527" s="19" t="s">
        <v>88</v>
      </c>
      <c r="J527" s="19">
        <v>36</v>
      </c>
      <c r="K527" s="19">
        <v>3.2500000000000001E-2</v>
      </c>
      <c r="L527" s="19" t="s">
        <v>35</v>
      </c>
      <c r="N527" s="19">
        <v>0</v>
      </c>
      <c r="O527" s="19">
        <v>0</v>
      </c>
      <c r="P527" s="19">
        <v>0</v>
      </c>
      <c r="Q527" s="19">
        <v>0</v>
      </c>
      <c r="S527" s="19">
        <v>1</v>
      </c>
      <c r="T527" s="19">
        <v>1</v>
      </c>
      <c r="U527" s="19">
        <v>0</v>
      </c>
      <c r="V527" s="19" t="s">
        <v>36</v>
      </c>
      <c r="W527" s="19">
        <v>0</v>
      </c>
      <c r="Z527" s="19">
        <v>0</v>
      </c>
      <c r="AA527" s="19">
        <v>0</v>
      </c>
    </row>
    <row r="528" spans="1:27" x14ac:dyDescent="0.25">
      <c r="A528" s="19" t="s">
        <v>724</v>
      </c>
      <c r="B528" s="19" t="s">
        <v>704</v>
      </c>
      <c r="C528" s="19" t="s">
        <v>705</v>
      </c>
      <c r="D528" s="19">
        <v>0</v>
      </c>
      <c r="E528" s="19" t="s">
        <v>99</v>
      </c>
      <c r="F528" s="19" t="s">
        <v>100</v>
      </c>
      <c r="G528" s="19" t="s">
        <v>32</v>
      </c>
      <c r="H528" s="19" t="s">
        <v>101</v>
      </c>
      <c r="I528" s="19" t="s">
        <v>102</v>
      </c>
      <c r="J528" s="19">
        <v>39</v>
      </c>
      <c r="K528" s="19">
        <v>4.3299999999999998E-2</v>
      </c>
      <c r="L528" s="19" t="s">
        <v>35</v>
      </c>
      <c r="M528" s="19" t="s">
        <v>103</v>
      </c>
      <c r="N528" s="19">
        <v>0</v>
      </c>
      <c r="O528" s="19">
        <v>0</v>
      </c>
      <c r="P528" s="19">
        <v>0</v>
      </c>
      <c r="Q528" s="19">
        <v>0</v>
      </c>
      <c r="S528" s="19">
        <v>1</v>
      </c>
      <c r="T528" s="19">
        <v>1</v>
      </c>
      <c r="U528" s="19">
        <v>0</v>
      </c>
      <c r="V528" s="19" t="s">
        <v>36</v>
      </c>
      <c r="W528" s="19">
        <v>0</v>
      </c>
      <c r="Y528" s="19" t="s">
        <v>103</v>
      </c>
      <c r="Z528" s="19">
        <v>50</v>
      </c>
      <c r="AA528" s="19">
        <v>0</v>
      </c>
    </row>
    <row r="529" spans="1:27" x14ac:dyDescent="0.25">
      <c r="A529" s="19" t="s">
        <v>725</v>
      </c>
      <c r="B529" s="19" t="s">
        <v>704</v>
      </c>
      <c r="C529" s="19" t="s">
        <v>705</v>
      </c>
      <c r="D529" s="19">
        <v>0</v>
      </c>
      <c r="E529" s="19" t="s">
        <v>105</v>
      </c>
      <c r="F529" s="19" t="s">
        <v>106</v>
      </c>
      <c r="G529" s="19" t="s">
        <v>32</v>
      </c>
      <c r="H529" s="19" t="s">
        <v>101</v>
      </c>
      <c r="I529" s="19" t="s">
        <v>102</v>
      </c>
      <c r="J529" s="19">
        <v>38</v>
      </c>
      <c r="K529" s="19">
        <v>4.3299999999999998E-2</v>
      </c>
      <c r="L529" s="19" t="s">
        <v>35</v>
      </c>
      <c r="M529" s="19" t="s">
        <v>103</v>
      </c>
      <c r="N529" s="19">
        <v>0</v>
      </c>
      <c r="O529" s="19">
        <v>0</v>
      </c>
      <c r="P529" s="19">
        <v>0</v>
      </c>
      <c r="Q529" s="19">
        <v>0</v>
      </c>
      <c r="S529" s="19">
        <v>1</v>
      </c>
      <c r="T529" s="19">
        <v>1</v>
      </c>
      <c r="U529" s="19">
        <v>0</v>
      </c>
      <c r="V529" s="19" t="s">
        <v>36</v>
      </c>
      <c r="W529" s="19">
        <v>0</v>
      </c>
      <c r="Y529" s="19" t="s">
        <v>103</v>
      </c>
      <c r="Z529" s="19">
        <v>50</v>
      </c>
      <c r="AA529" s="19">
        <v>0</v>
      </c>
    </row>
    <row r="530" spans="1:27" x14ac:dyDescent="0.25">
      <c r="A530" s="19" t="s">
        <v>726</v>
      </c>
      <c r="B530" s="19" t="s">
        <v>704</v>
      </c>
      <c r="C530" s="19" t="s">
        <v>705</v>
      </c>
      <c r="D530" s="19">
        <v>0</v>
      </c>
      <c r="E530" s="19" t="s">
        <v>108</v>
      </c>
      <c r="F530" s="19" t="s">
        <v>109</v>
      </c>
      <c r="G530" s="19" t="s">
        <v>32</v>
      </c>
      <c r="H530" s="19" t="s">
        <v>101</v>
      </c>
      <c r="I530" s="19" t="s">
        <v>102</v>
      </c>
      <c r="J530" s="19">
        <v>37</v>
      </c>
      <c r="K530" s="19">
        <v>4.3299999999999998E-2</v>
      </c>
      <c r="L530" s="19" t="s">
        <v>35</v>
      </c>
      <c r="M530" s="19" t="s">
        <v>40</v>
      </c>
      <c r="N530" s="19">
        <v>0</v>
      </c>
      <c r="O530" s="19">
        <v>0</v>
      </c>
      <c r="P530" s="19">
        <v>0</v>
      </c>
      <c r="Q530" s="19">
        <v>0</v>
      </c>
      <c r="S530" s="19">
        <v>1</v>
      </c>
      <c r="T530" s="19">
        <v>1</v>
      </c>
      <c r="U530" s="19">
        <v>0</v>
      </c>
      <c r="V530" s="19" t="s">
        <v>80</v>
      </c>
      <c r="W530" s="19">
        <v>0</v>
      </c>
      <c r="Y530" s="19" t="s">
        <v>40</v>
      </c>
      <c r="Z530" s="19">
        <v>33.33</v>
      </c>
      <c r="AA530" s="19">
        <v>0</v>
      </c>
    </row>
    <row r="531" spans="1:27" x14ac:dyDescent="0.25">
      <c r="A531" s="19" t="s">
        <v>727</v>
      </c>
      <c r="B531" s="19" t="s">
        <v>704</v>
      </c>
      <c r="C531" s="19" t="s">
        <v>705</v>
      </c>
      <c r="D531" s="19">
        <v>0</v>
      </c>
      <c r="E531" s="19" t="s">
        <v>112</v>
      </c>
      <c r="F531" s="19" t="s">
        <v>113</v>
      </c>
      <c r="G531" s="19" t="s">
        <v>32</v>
      </c>
      <c r="H531" s="19" t="s">
        <v>114</v>
      </c>
      <c r="I531" s="19" t="s">
        <v>115</v>
      </c>
      <c r="J531" s="19">
        <v>30</v>
      </c>
      <c r="K531" s="19">
        <v>2.1700000000000001E-2</v>
      </c>
      <c r="L531" s="19" t="s">
        <v>35</v>
      </c>
      <c r="M531" s="19" t="s">
        <v>103</v>
      </c>
      <c r="N531" s="19">
        <v>0</v>
      </c>
      <c r="O531" s="19">
        <v>0</v>
      </c>
      <c r="P531" s="19">
        <v>0</v>
      </c>
      <c r="Q531" s="19">
        <v>0</v>
      </c>
      <c r="S531" s="19">
        <v>1</v>
      </c>
      <c r="T531" s="19">
        <v>1</v>
      </c>
      <c r="U531" s="19">
        <v>0</v>
      </c>
      <c r="V531" s="19" t="s">
        <v>80</v>
      </c>
      <c r="W531" s="19">
        <v>0</v>
      </c>
      <c r="Y531" s="19" t="s">
        <v>103</v>
      </c>
      <c r="Z531" s="19">
        <v>50</v>
      </c>
      <c r="AA531" s="19">
        <v>0</v>
      </c>
    </row>
    <row r="532" spans="1:27" x14ac:dyDescent="0.25">
      <c r="A532" s="19" t="s">
        <v>728</v>
      </c>
      <c r="B532" s="19" t="s">
        <v>704</v>
      </c>
      <c r="C532" s="19" t="s">
        <v>705</v>
      </c>
      <c r="D532" s="19">
        <v>1.085</v>
      </c>
      <c r="E532" s="19" t="s">
        <v>117</v>
      </c>
      <c r="F532" s="19" t="s">
        <v>118</v>
      </c>
      <c r="G532" s="19" t="s">
        <v>32</v>
      </c>
      <c r="H532" s="19" t="s">
        <v>114</v>
      </c>
      <c r="I532" s="19" t="s">
        <v>115</v>
      </c>
      <c r="J532" s="19">
        <v>31</v>
      </c>
      <c r="K532" s="19">
        <v>2.1700000000000001E-2</v>
      </c>
      <c r="L532" s="19" t="s">
        <v>35</v>
      </c>
      <c r="M532" s="19" t="s">
        <v>103</v>
      </c>
      <c r="N532" s="19">
        <v>50</v>
      </c>
      <c r="O532" s="19">
        <v>50</v>
      </c>
      <c r="P532" s="19">
        <v>0</v>
      </c>
      <c r="Q532" s="19">
        <v>0</v>
      </c>
      <c r="S532" s="19">
        <v>1</v>
      </c>
      <c r="T532" s="19">
        <v>1</v>
      </c>
      <c r="U532" s="19">
        <v>0</v>
      </c>
      <c r="V532" s="19" t="s">
        <v>41</v>
      </c>
      <c r="W532" s="19">
        <v>1</v>
      </c>
      <c r="Y532" s="19" t="s">
        <v>103</v>
      </c>
      <c r="Z532" s="19">
        <v>50</v>
      </c>
      <c r="AA532" s="19">
        <v>50</v>
      </c>
    </row>
    <row r="533" spans="1:27" x14ac:dyDescent="0.25">
      <c r="A533" s="19" t="s">
        <v>729</v>
      </c>
      <c r="B533" s="19" t="s">
        <v>704</v>
      </c>
      <c r="C533" s="19" t="s">
        <v>705</v>
      </c>
      <c r="D533" s="19">
        <v>1.085</v>
      </c>
      <c r="E533" s="19" t="s">
        <v>120</v>
      </c>
      <c r="F533" s="19" t="s">
        <v>121</v>
      </c>
      <c r="G533" s="19" t="s">
        <v>32</v>
      </c>
      <c r="H533" s="19" t="s">
        <v>114</v>
      </c>
      <c r="I533" s="19" t="s">
        <v>115</v>
      </c>
      <c r="J533" s="19">
        <v>28</v>
      </c>
      <c r="K533" s="19">
        <v>2.1700000000000001E-2</v>
      </c>
      <c r="L533" s="19" t="s">
        <v>35</v>
      </c>
      <c r="M533" s="19" t="s">
        <v>103</v>
      </c>
      <c r="N533" s="19">
        <v>50</v>
      </c>
      <c r="O533" s="19">
        <v>50</v>
      </c>
      <c r="P533" s="19">
        <v>0</v>
      </c>
      <c r="Q533" s="19">
        <v>0</v>
      </c>
      <c r="S533" s="19">
        <v>1</v>
      </c>
      <c r="T533" s="19">
        <v>1</v>
      </c>
      <c r="U533" s="19">
        <v>0</v>
      </c>
      <c r="V533" s="19" t="s">
        <v>41</v>
      </c>
      <c r="W533" s="19">
        <v>1</v>
      </c>
      <c r="Y533" s="19" t="s">
        <v>103</v>
      </c>
      <c r="Z533" s="19">
        <v>50</v>
      </c>
      <c r="AA533" s="19">
        <v>50</v>
      </c>
    </row>
    <row r="534" spans="1:27" x14ac:dyDescent="0.25">
      <c r="A534" s="19" t="s">
        <v>730</v>
      </c>
      <c r="B534" s="19" t="s">
        <v>704</v>
      </c>
      <c r="C534" s="19" t="s">
        <v>705</v>
      </c>
      <c r="D534" s="19">
        <v>0</v>
      </c>
      <c r="E534" s="19" t="s">
        <v>123</v>
      </c>
      <c r="F534" s="19" t="s">
        <v>124</v>
      </c>
      <c r="G534" s="19" t="s">
        <v>32</v>
      </c>
      <c r="H534" s="19" t="s">
        <v>114</v>
      </c>
      <c r="I534" s="19" t="s">
        <v>115</v>
      </c>
      <c r="J534" s="19">
        <v>27</v>
      </c>
      <c r="K534" s="19">
        <v>2.1700000000000001E-2</v>
      </c>
      <c r="L534" s="19" t="s">
        <v>35</v>
      </c>
      <c r="M534" s="19" t="s">
        <v>103</v>
      </c>
      <c r="N534" s="19">
        <v>0</v>
      </c>
      <c r="O534" s="19">
        <v>0</v>
      </c>
      <c r="P534" s="19">
        <v>0</v>
      </c>
      <c r="Q534" s="19">
        <v>0</v>
      </c>
      <c r="S534" s="19">
        <v>1</v>
      </c>
      <c r="T534" s="19">
        <v>1</v>
      </c>
      <c r="U534" s="19">
        <v>0</v>
      </c>
      <c r="V534" s="19" t="s">
        <v>80</v>
      </c>
      <c r="W534" s="19">
        <v>0</v>
      </c>
      <c r="Y534" s="19" t="s">
        <v>103</v>
      </c>
      <c r="Z534" s="19">
        <v>50</v>
      </c>
      <c r="AA534" s="19">
        <v>0</v>
      </c>
    </row>
    <row r="535" spans="1:27" x14ac:dyDescent="0.25">
      <c r="A535" s="19" t="s">
        <v>731</v>
      </c>
      <c r="B535" s="19" t="s">
        <v>704</v>
      </c>
      <c r="C535" s="19" t="s">
        <v>705</v>
      </c>
      <c r="D535" s="19">
        <v>0</v>
      </c>
      <c r="E535" s="19" t="s">
        <v>126</v>
      </c>
      <c r="F535" s="19" t="s">
        <v>127</v>
      </c>
      <c r="G535" s="19" t="s">
        <v>32</v>
      </c>
      <c r="H535" s="19" t="s">
        <v>114</v>
      </c>
      <c r="I535" s="19" t="s">
        <v>115</v>
      </c>
      <c r="J535" s="19">
        <v>29</v>
      </c>
      <c r="K535" s="19">
        <v>2.1700000000000001E-2</v>
      </c>
      <c r="L535" s="19" t="s">
        <v>35</v>
      </c>
      <c r="M535" s="19" t="s">
        <v>103</v>
      </c>
      <c r="N535" s="19">
        <v>0</v>
      </c>
      <c r="O535" s="19">
        <v>0</v>
      </c>
      <c r="P535" s="19">
        <v>0</v>
      </c>
      <c r="Q535" s="19">
        <v>0</v>
      </c>
      <c r="S535" s="19">
        <v>1</v>
      </c>
      <c r="T535" s="19">
        <v>1</v>
      </c>
      <c r="U535" s="19">
        <v>0</v>
      </c>
      <c r="V535" s="19" t="s">
        <v>80</v>
      </c>
      <c r="W535" s="19">
        <v>0</v>
      </c>
      <c r="Y535" s="19" t="s">
        <v>103</v>
      </c>
      <c r="Z535" s="19">
        <v>50</v>
      </c>
      <c r="AA535" s="19">
        <v>0</v>
      </c>
    </row>
    <row r="536" spans="1:27" x14ac:dyDescent="0.25">
      <c r="A536" s="19" t="s">
        <v>732</v>
      </c>
      <c r="B536" s="19" t="s">
        <v>704</v>
      </c>
      <c r="C536" s="19" t="s">
        <v>705</v>
      </c>
      <c r="D536" s="19">
        <v>0</v>
      </c>
      <c r="E536" s="19" t="s">
        <v>129</v>
      </c>
      <c r="F536" s="19" t="s">
        <v>130</v>
      </c>
      <c r="G536" s="19" t="s">
        <v>32</v>
      </c>
      <c r="H536" s="19" t="s">
        <v>114</v>
      </c>
      <c r="I536" s="19" t="s">
        <v>115</v>
      </c>
      <c r="J536" s="19">
        <v>32</v>
      </c>
      <c r="K536" s="19">
        <v>2.1700000000000001E-2</v>
      </c>
      <c r="L536" s="19" t="s">
        <v>35</v>
      </c>
      <c r="M536" s="19" t="s">
        <v>103</v>
      </c>
      <c r="N536" s="19">
        <v>0</v>
      </c>
      <c r="O536" s="19">
        <v>0</v>
      </c>
      <c r="P536" s="19">
        <v>0</v>
      </c>
      <c r="Q536" s="19">
        <v>0</v>
      </c>
      <c r="S536" s="19">
        <v>1</v>
      </c>
      <c r="T536" s="19">
        <v>1</v>
      </c>
      <c r="U536" s="19">
        <v>0</v>
      </c>
      <c r="V536" s="19" t="s">
        <v>80</v>
      </c>
      <c r="W536" s="19">
        <v>0</v>
      </c>
      <c r="Y536" s="19" t="s">
        <v>103</v>
      </c>
      <c r="Z536" s="19">
        <v>50</v>
      </c>
      <c r="AA536" s="19">
        <v>0</v>
      </c>
    </row>
    <row r="537" spans="1:27" x14ac:dyDescent="0.25">
      <c r="A537" s="19" t="s">
        <v>733</v>
      </c>
      <c r="B537" s="19" t="s">
        <v>704</v>
      </c>
      <c r="C537" s="19" t="s">
        <v>705</v>
      </c>
      <c r="D537" s="19">
        <v>2.085</v>
      </c>
      <c r="E537" s="19" t="s">
        <v>132</v>
      </c>
      <c r="F537" s="19" t="s">
        <v>133</v>
      </c>
      <c r="G537" s="19" t="s">
        <v>134</v>
      </c>
      <c r="H537" s="19" t="s">
        <v>87</v>
      </c>
      <c r="I537" s="19" t="s">
        <v>135</v>
      </c>
      <c r="J537" s="19">
        <v>11</v>
      </c>
      <c r="K537" s="19">
        <v>4.1700000000000001E-2</v>
      </c>
      <c r="L537" s="19" t="s">
        <v>35</v>
      </c>
      <c r="M537" s="19" t="s">
        <v>103</v>
      </c>
      <c r="N537" s="19">
        <v>50</v>
      </c>
      <c r="O537" s="19">
        <v>50</v>
      </c>
      <c r="P537" s="19">
        <v>0</v>
      </c>
      <c r="Q537" s="19">
        <v>0</v>
      </c>
      <c r="S537" s="19">
        <v>1</v>
      </c>
      <c r="T537" s="19">
        <v>1</v>
      </c>
      <c r="U537" s="19">
        <v>0</v>
      </c>
      <c r="V537" s="19" t="s">
        <v>41</v>
      </c>
      <c r="W537" s="19">
        <v>1</v>
      </c>
      <c r="Y537" s="19" t="s">
        <v>103</v>
      </c>
      <c r="Z537" s="19">
        <v>50</v>
      </c>
      <c r="AA537" s="19">
        <v>50</v>
      </c>
    </row>
    <row r="538" spans="1:27" x14ac:dyDescent="0.25">
      <c r="A538" s="19" t="s">
        <v>734</v>
      </c>
      <c r="B538" s="19" t="s">
        <v>704</v>
      </c>
      <c r="C538" s="19" t="s">
        <v>705</v>
      </c>
      <c r="D538" s="19">
        <v>0.2316435</v>
      </c>
      <c r="E538" s="19" t="s">
        <v>137</v>
      </c>
      <c r="F538" s="19" t="s">
        <v>138</v>
      </c>
      <c r="G538" s="19" t="s">
        <v>134</v>
      </c>
      <c r="H538" s="19" t="s">
        <v>87</v>
      </c>
      <c r="I538" s="19" t="s">
        <v>135</v>
      </c>
      <c r="J538" s="19">
        <v>9</v>
      </c>
      <c r="K538" s="19">
        <v>4.1700000000000001E-2</v>
      </c>
      <c r="L538" s="19" t="s">
        <v>35</v>
      </c>
      <c r="M538" s="19" t="s">
        <v>110</v>
      </c>
      <c r="N538" s="19">
        <v>5.5549999999999997</v>
      </c>
      <c r="O538" s="19">
        <v>5.5549999999999997</v>
      </c>
      <c r="P538" s="19">
        <v>0</v>
      </c>
      <c r="Q538" s="19">
        <v>0</v>
      </c>
      <c r="S538" s="19">
        <v>1</v>
      </c>
      <c r="T538" s="19">
        <v>1</v>
      </c>
      <c r="U538" s="19">
        <v>0</v>
      </c>
      <c r="W538" s="19">
        <v>0</v>
      </c>
      <c r="X538" s="19">
        <v>1</v>
      </c>
      <c r="Y538" s="19" t="s">
        <v>110</v>
      </c>
      <c r="Z538" s="19">
        <v>16.664999999999999</v>
      </c>
      <c r="AA538" s="19">
        <v>5.5549999999999997</v>
      </c>
    </row>
    <row r="539" spans="1:27" x14ac:dyDescent="0.25">
      <c r="A539" s="19" t="s">
        <v>735</v>
      </c>
      <c r="B539" s="19" t="s">
        <v>704</v>
      </c>
      <c r="C539" s="19" t="s">
        <v>705</v>
      </c>
      <c r="D539" s="19">
        <v>2.085</v>
      </c>
      <c r="E539" s="19" t="s">
        <v>140</v>
      </c>
      <c r="F539" s="19" t="s">
        <v>141</v>
      </c>
      <c r="G539" s="19" t="s">
        <v>134</v>
      </c>
      <c r="H539" s="19" t="s">
        <v>87</v>
      </c>
      <c r="I539" s="19" t="s">
        <v>135</v>
      </c>
      <c r="J539" s="19">
        <v>10</v>
      </c>
      <c r="K539" s="19">
        <v>4.1700000000000001E-2</v>
      </c>
      <c r="L539" s="19" t="s">
        <v>35</v>
      </c>
      <c r="M539" s="19" t="s">
        <v>142</v>
      </c>
      <c r="N539" s="19">
        <v>50</v>
      </c>
      <c r="O539" s="19">
        <v>50</v>
      </c>
      <c r="P539" s="19">
        <v>0</v>
      </c>
      <c r="Q539" s="19">
        <v>0</v>
      </c>
      <c r="S539" s="19">
        <v>1</v>
      </c>
      <c r="T539" s="19">
        <v>1</v>
      </c>
      <c r="U539" s="19">
        <v>0</v>
      </c>
      <c r="W539" s="19">
        <v>0</v>
      </c>
      <c r="X539" s="19">
        <v>3</v>
      </c>
      <c r="Y539" s="19" t="s">
        <v>142</v>
      </c>
      <c r="Z539" s="19">
        <v>50</v>
      </c>
      <c r="AA539" s="19">
        <v>50</v>
      </c>
    </row>
    <row r="540" spans="1:27" x14ac:dyDescent="0.25">
      <c r="A540" s="19" t="s">
        <v>736</v>
      </c>
      <c r="B540" s="19" t="s">
        <v>704</v>
      </c>
      <c r="C540" s="19" t="s">
        <v>705</v>
      </c>
      <c r="D540" s="19">
        <v>1.25</v>
      </c>
      <c r="E540" s="19" t="s">
        <v>144</v>
      </c>
      <c r="F540" s="19" t="s">
        <v>145</v>
      </c>
      <c r="G540" s="19" t="s">
        <v>134</v>
      </c>
      <c r="H540" s="19" t="s">
        <v>146</v>
      </c>
      <c r="I540" s="19" t="s">
        <v>147</v>
      </c>
      <c r="J540" s="19">
        <v>4</v>
      </c>
      <c r="K540" s="19">
        <v>2.5000000000000001E-2</v>
      </c>
      <c r="L540" s="19" t="s">
        <v>35</v>
      </c>
      <c r="M540" s="19" t="s">
        <v>103</v>
      </c>
      <c r="N540" s="19">
        <v>50</v>
      </c>
      <c r="O540" s="19">
        <v>50</v>
      </c>
      <c r="P540" s="19">
        <v>0</v>
      </c>
      <c r="Q540" s="19">
        <v>0</v>
      </c>
      <c r="S540" s="19">
        <v>1</v>
      </c>
      <c r="T540" s="19">
        <v>1</v>
      </c>
      <c r="U540" s="19">
        <v>0</v>
      </c>
      <c r="V540" s="19" t="s">
        <v>41</v>
      </c>
      <c r="W540" s="19">
        <v>1</v>
      </c>
      <c r="Y540" s="19" t="s">
        <v>103</v>
      </c>
      <c r="Z540" s="19">
        <v>50</v>
      </c>
      <c r="AA540" s="19">
        <v>50</v>
      </c>
    </row>
    <row r="541" spans="1:27" x14ac:dyDescent="0.25">
      <c r="A541" s="19" t="s">
        <v>737</v>
      </c>
      <c r="B541" s="19" t="s">
        <v>704</v>
      </c>
      <c r="C541" s="19" t="s">
        <v>705</v>
      </c>
      <c r="D541" s="19">
        <v>1.25</v>
      </c>
      <c r="E541" s="19" t="s">
        <v>149</v>
      </c>
      <c r="F541" s="19" t="s">
        <v>150</v>
      </c>
      <c r="G541" s="19" t="s">
        <v>134</v>
      </c>
      <c r="H541" s="19" t="s">
        <v>146</v>
      </c>
      <c r="I541" s="19" t="s">
        <v>147</v>
      </c>
      <c r="J541" s="19">
        <v>5</v>
      </c>
      <c r="K541" s="19">
        <v>2.5000000000000001E-2</v>
      </c>
      <c r="L541" s="19" t="s">
        <v>35</v>
      </c>
      <c r="M541" s="19" t="s">
        <v>103</v>
      </c>
      <c r="N541" s="19">
        <v>50</v>
      </c>
      <c r="O541" s="19">
        <v>50</v>
      </c>
      <c r="P541" s="19">
        <v>0</v>
      </c>
      <c r="Q541" s="19">
        <v>0</v>
      </c>
      <c r="S541" s="19">
        <v>1</v>
      </c>
      <c r="T541" s="19">
        <v>1</v>
      </c>
      <c r="U541" s="19">
        <v>0</v>
      </c>
      <c r="V541" s="19" t="s">
        <v>41</v>
      </c>
      <c r="W541" s="19">
        <v>1</v>
      </c>
      <c r="Y541" s="19" t="s">
        <v>103</v>
      </c>
      <c r="Z541" s="19">
        <v>50</v>
      </c>
      <c r="AA541" s="19">
        <v>50</v>
      </c>
    </row>
    <row r="542" spans="1:27" x14ac:dyDescent="0.25">
      <c r="A542" s="19" t="s">
        <v>738</v>
      </c>
      <c r="B542" s="19" t="s">
        <v>704</v>
      </c>
      <c r="C542" s="19" t="s">
        <v>705</v>
      </c>
      <c r="D542" s="19">
        <v>1.25</v>
      </c>
      <c r="E542" s="19" t="s">
        <v>152</v>
      </c>
      <c r="F542" s="19" t="s">
        <v>153</v>
      </c>
      <c r="G542" s="19" t="s">
        <v>134</v>
      </c>
      <c r="H542" s="19" t="s">
        <v>146</v>
      </c>
      <c r="I542" s="19" t="s">
        <v>147</v>
      </c>
      <c r="J542" s="19">
        <v>6</v>
      </c>
      <c r="K542" s="19">
        <v>2.5000000000000001E-2</v>
      </c>
      <c r="L542" s="19" t="s">
        <v>35</v>
      </c>
      <c r="M542" s="19" t="s">
        <v>103</v>
      </c>
      <c r="N542" s="19">
        <v>50</v>
      </c>
      <c r="O542" s="19">
        <v>50</v>
      </c>
      <c r="P542" s="19">
        <v>0</v>
      </c>
      <c r="Q542" s="19">
        <v>0</v>
      </c>
      <c r="S542" s="19">
        <v>1</v>
      </c>
      <c r="T542" s="19">
        <v>1</v>
      </c>
      <c r="U542" s="19">
        <v>0</v>
      </c>
      <c r="V542" s="19" t="s">
        <v>41</v>
      </c>
      <c r="W542" s="19">
        <v>1</v>
      </c>
      <c r="Y542" s="19" t="s">
        <v>103</v>
      </c>
      <c r="Z542" s="19">
        <v>50</v>
      </c>
      <c r="AA542" s="19">
        <v>50</v>
      </c>
    </row>
    <row r="543" spans="1:27" x14ac:dyDescent="0.25">
      <c r="A543" s="19" t="s">
        <v>739</v>
      </c>
      <c r="B543" s="19" t="s">
        <v>704</v>
      </c>
      <c r="C543" s="19" t="s">
        <v>705</v>
      </c>
      <c r="D543" s="19">
        <v>1.25</v>
      </c>
      <c r="E543" s="19" t="s">
        <v>155</v>
      </c>
      <c r="F543" s="19" t="s">
        <v>156</v>
      </c>
      <c r="G543" s="19" t="s">
        <v>134</v>
      </c>
      <c r="H543" s="19" t="s">
        <v>146</v>
      </c>
      <c r="I543" s="19" t="s">
        <v>147</v>
      </c>
      <c r="J543" s="19">
        <v>7</v>
      </c>
      <c r="K543" s="19">
        <v>2.5000000000000001E-2</v>
      </c>
      <c r="L543" s="19" t="s">
        <v>35</v>
      </c>
      <c r="M543" s="19" t="s">
        <v>103</v>
      </c>
      <c r="N543" s="19">
        <v>50</v>
      </c>
      <c r="O543" s="19">
        <v>50</v>
      </c>
      <c r="P543" s="19">
        <v>0</v>
      </c>
      <c r="Q543" s="19">
        <v>0</v>
      </c>
      <c r="S543" s="19">
        <v>1</v>
      </c>
      <c r="T543" s="19">
        <v>1</v>
      </c>
      <c r="U543" s="19">
        <v>0</v>
      </c>
      <c r="V543" s="19" t="s">
        <v>41</v>
      </c>
      <c r="W543" s="19">
        <v>1</v>
      </c>
      <c r="Y543" s="19" t="s">
        <v>103</v>
      </c>
      <c r="Z543" s="19">
        <v>50</v>
      </c>
      <c r="AA543" s="19">
        <v>50</v>
      </c>
    </row>
    <row r="544" spans="1:27" x14ac:dyDescent="0.25">
      <c r="A544" s="19" t="s">
        <v>740</v>
      </c>
      <c r="B544" s="19" t="s">
        <v>704</v>
      </c>
      <c r="C544" s="19" t="s">
        <v>705</v>
      </c>
      <c r="D544" s="19">
        <v>0</v>
      </c>
      <c r="E544" s="19" t="s">
        <v>158</v>
      </c>
      <c r="F544" s="19" t="s">
        <v>159</v>
      </c>
      <c r="G544" s="19" t="s">
        <v>134</v>
      </c>
      <c r="H544" s="19" t="s">
        <v>146</v>
      </c>
      <c r="I544" s="19" t="s">
        <v>147</v>
      </c>
      <c r="J544" s="19">
        <v>8</v>
      </c>
      <c r="K544" s="19">
        <v>2.5000000000000001E-2</v>
      </c>
      <c r="L544" s="19" t="s">
        <v>35</v>
      </c>
      <c r="M544" s="19" t="s">
        <v>103</v>
      </c>
      <c r="N544" s="19">
        <v>0</v>
      </c>
      <c r="O544" s="19">
        <v>0</v>
      </c>
      <c r="P544" s="19">
        <v>0</v>
      </c>
      <c r="Q544" s="19">
        <v>0</v>
      </c>
      <c r="S544" s="19">
        <v>1</v>
      </c>
      <c r="T544" s="19">
        <v>1</v>
      </c>
      <c r="U544" s="19">
        <v>0</v>
      </c>
      <c r="V544" s="19" t="s">
        <v>80</v>
      </c>
      <c r="W544" s="19">
        <v>0</v>
      </c>
      <c r="Y544" s="19" t="s">
        <v>103</v>
      </c>
      <c r="Z544" s="19">
        <v>50</v>
      </c>
      <c r="AA544" s="19">
        <v>0</v>
      </c>
    </row>
    <row r="545" spans="1:27" x14ac:dyDescent="0.25">
      <c r="A545" s="19" t="s">
        <v>741</v>
      </c>
      <c r="B545" s="19" t="s">
        <v>704</v>
      </c>
      <c r="C545" s="19" t="s">
        <v>705</v>
      </c>
      <c r="D545" s="19">
        <v>2.2197779999999998</v>
      </c>
      <c r="E545" s="19" t="s">
        <v>161</v>
      </c>
      <c r="F545" s="19" t="s">
        <v>162</v>
      </c>
      <c r="G545" s="19" t="s">
        <v>163</v>
      </c>
      <c r="I545" s="19" t="s">
        <v>164</v>
      </c>
      <c r="J545" s="19">
        <v>1</v>
      </c>
      <c r="K545" s="19">
        <v>3.3300000000000003E-2</v>
      </c>
      <c r="L545" s="19" t="s">
        <v>35</v>
      </c>
      <c r="M545" s="19" t="s">
        <v>165</v>
      </c>
      <c r="N545" s="19">
        <v>66.66</v>
      </c>
      <c r="O545" s="19">
        <v>66.66</v>
      </c>
      <c r="P545" s="19">
        <v>0</v>
      </c>
      <c r="Q545" s="19">
        <v>0</v>
      </c>
      <c r="S545" s="19">
        <v>1</v>
      </c>
      <c r="T545" s="19">
        <v>1</v>
      </c>
      <c r="U545" s="19">
        <v>0</v>
      </c>
      <c r="W545" s="19">
        <v>0</v>
      </c>
      <c r="X545" s="19">
        <v>66.66</v>
      </c>
      <c r="Z545" s="19">
        <v>0</v>
      </c>
      <c r="AA545" s="19">
        <v>66.66</v>
      </c>
    </row>
    <row r="546" spans="1:27" x14ac:dyDescent="0.25">
      <c r="A546" s="19" t="s">
        <v>742</v>
      </c>
      <c r="B546" s="19" t="s">
        <v>704</v>
      </c>
      <c r="C546" s="19" t="s">
        <v>705</v>
      </c>
      <c r="D546" s="19">
        <v>0</v>
      </c>
      <c r="E546" s="19" t="s">
        <v>167</v>
      </c>
      <c r="F546" s="19" t="s">
        <v>168</v>
      </c>
      <c r="G546" s="19" t="s">
        <v>163</v>
      </c>
      <c r="I546" s="19" t="s">
        <v>164</v>
      </c>
      <c r="J546" s="19">
        <v>3</v>
      </c>
      <c r="K546" s="19">
        <v>3.3300000000000003E-2</v>
      </c>
      <c r="L546" s="19" t="s">
        <v>35</v>
      </c>
      <c r="M546" s="19" t="s">
        <v>165</v>
      </c>
      <c r="N546" s="19">
        <v>0</v>
      </c>
      <c r="O546" s="19">
        <v>0</v>
      </c>
      <c r="P546" s="19">
        <v>0</v>
      </c>
      <c r="Q546" s="19">
        <v>0</v>
      </c>
      <c r="S546" s="19">
        <v>1</v>
      </c>
      <c r="T546" s="19">
        <v>1</v>
      </c>
      <c r="U546" s="19">
        <v>0</v>
      </c>
      <c r="W546" s="19">
        <v>0</v>
      </c>
      <c r="X546" s="19">
        <v>0</v>
      </c>
      <c r="Z546" s="19">
        <v>0</v>
      </c>
      <c r="AA546" s="19">
        <v>0</v>
      </c>
    </row>
    <row r="547" spans="1:27" x14ac:dyDescent="0.25">
      <c r="A547" s="19" t="s">
        <v>743</v>
      </c>
      <c r="B547" s="19" t="s">
        <v>704</v>
      </c>
      <c r="C547" s="19" t="s">
        <v>705</v>
      </c>
      <c r="D547" s="19">
        <v>0</v>
      </c>
      <c r="E547" s="19" t="s">
        <v>170</v>
      </c>
      <c r="F547" s="19" t="s">
        <v>171</v>
      </c>
      <c r="G547" s="19" t="s">
        <v>163</v>
      </c>
      <c r="I547" s="19" t="s">
        <v>164</v>
      </c>
      <c r="J547" s="19">
        <v>2</v>
      </c>
      <c r="K547" s="19">
        <v>3.3300000000000003E-2</v>
      </c>
      <c r="L547" s="19" t="s">
        <v>35</v>
      </c>
      <c r="M547" s="19" t="s">
        <v>165</v>
      </c>
      <c r="N547" s="19">
        <v>0</v>
      </c>
      <c r="O547" s="19">
        <v>0</v>
      </c>
      <c r="P547" s="19">
        <v>0</v>
      </c>
      <c r="Q547" s="19">
        <v>0</v>
      </c>
      <c r="S547" s="19">
        <v>1</v>
      </c>
      <c r="T547" s="19">
        <v>1</v>
      </c>
      <c r="U547" s="19">
        <v>0</v>
      </c>
      <c r="W547" s="19">
        <v>0</v>
      </c>
      <c r="X547" s="19">
        <v>0</v>
      </c>
      <c r="Z547" s="19">
        <v>0</v>
      </c>
      <c r="AA547" s="19">
        <v>0</v>
      </c>
    </row>
    <row r="548" spans="1:27" x14ac:dyDescent="0.25">
      <c r="A548" s="19" t="s">
        <v>744</v>
      </c>
      <c r="B548" s="19" t="s">
        <v>745</v>
      </c>
      <c r="C548" s="19" t="s">
        <v>746</v>
      </c>
      <c r="D548" s="19">
        <v>0</v>
      </c>
      <c r="E548" s="19" t="s">
        <v>30</v>
      </c>
      <c r="F548" s="19" t="s">
        <v>31</v>
      </c>
      <c r="G548" s="19" t="s">
        <v>32</v>
      </c>
      <c r="H548" s="19" t="s">
        <v>33</v>
      </c>
      <c r="I548" s="19" t="s">
        <v>34</v>
      </c>
      <c r="J548" s="19">
        <v>17</v>
      </c>
      <c r="K548" s="19">
        <v>1.6299999999999999E-2</v>
      </c>
      <c r="L548" s="19" t="s">
        <v>35</v>
      </c>
      <c r="N548" s="19">
        <v>0</v>
      </c>
      <c r="O548" s="19">
        <v>0</v>
      </c>
      <c r="P548" s="19">
        <v>0</v>
      </c>
      <c r="Q548" s="19">
        <v>0</v>
      </c>
      <c r="S548" s="19">
        <v>1</v>
      </c>
      <c r="T548" s="19">
        <v>1</v>
      </c>
      <c r="U548" s="19">
        <v>0</v>
      </c>
      <c r="V548" s="19" t="s">
        <v>36</v>
      </c>
      <c r="W548" s="19">
        <v>0</v>
      </c>
      <c r="Z548" s="19">
        <v>0</v>
      </c>
      <c r="AA548" s="19">
        <v>0</v>
      </c>
    </row>
    <row r="549" spans="1:27" x14ac:dyDescent="0.25">
      <c r="A549" s="19" t="s">
        <v>747</v>
      </c>
      <c r="B549" s="19" t="s">
        <v>745</v>
      </c>
      <c r="C549" s="19" t="s">
        <v>746</v>
      </c>
      <c r="D549" s="19">
        <v>0.54327899999999996</v>
      </c>
      <c r="E549" s="19" t="s">
        <v>38</v>
      </c>
      <c r="F549" s="19" t="s">
        <v>39</v>
      </c>
      <c r="G549" s="19" t="s">
        <v>32</v>
      </c>
      <c r="H549" s="19" t="s">
        <v>33</v>
      </c>
      <c r="I549" s="19" t="s">
        <v>34</v>
      </c>
      <c r="J549" s="19">
        <v>19</v>
      </c>
      <c r="K549" s="19">
        <v>1.6299999999999999E-2</v>
      </c>
      <c r="L549" s="19" t="s">
        <v>35</v>
      </c>
      <c r="M549" s="19" t="s">
        <v>40</v>
      </c>
      <c r="N549" s="19">
        <v>33.33</v>
      </c>
      <c r="O549" s="19">
        <v>33.33</v>
      </c>
      <c r="P549" s="19">
        <v>0</v>
      </c>
      <c r="Q549" s="19">
        <v>0</v>
      </c>
      <c r="S549" s="19">
        <v>1</v>
      </c>
      <c r="T549" s="19">
        <v>1</v>
      </c>
      <c r="U549" s="19">
        <v>0</v>
      </c>
      <c r="V549" s="19" t="s">
        <v>41</v>
      </c>
      <c r="W549" s="19">
        <v>1</v>
      </c>
      <c r="Y549" s="19" t="s">
        <v>40</v>
      </c>
      <c r="Z549" s="19">
        <v>33.33</v>
      </c>
      <c r="AA549" s="19">
        <v>33.33</v>
      </c>
    </row>
    <row r="550" spans="1:27" x14ac:dyDescent="0.25">
      <c r="A550" s="19" t="s">
        <v>748</v>
      </c>
      <c r="B550" s="19" t="s">
        <v>745</v>
      </c>
      <c r="C550" s="19" t="s">
        <v>746</v>
      </c>
      <c r="D550" s="19">
        <v>0</v>
      </c>
      <c r="E550" s="19" t="s">
        <v>43</v>
      </c>
      <c r="F550" s="19" t="s">
        <v>44</v>
      </c>
      <c r="G550" s="19" t="s">
        <v>32</v>
      </c>
      <c r="H550" s="19" t="s">
        <v>33</v>
      </c>
      <c r="I550" s="19" t="s">
        <v>34</v>
      </c>
      <c r="J550" s="19">
        <v>18</v>
      </c>
      <c r="K550" s="19">
        <v>1.6299999999999999E-2</v>
      </c>
      <c r="L550" s="19" t="s">
        <v>35</v>
      </c>
      <c r="M550" s="19" t="s">
        <v>110</v>
      </c>
      <c r="N550" s="19">
        <v>0</v>
      </c>
      <c r="O550" s="19">
        <v>0</v>
      </c>
      <c r="P550" s="19">
        <v>0</v>
      </c>
      <c r="Q550" s="19">
        <v>0</v>
      </c>
      <c r="S550" s="19">
        <v>1</v>
      </c>
      <c r="T550" s="19">
        <v>1</v>
      </c>
      <c r="U550" s="19">
        <v>0</v>
      </c>
      <c r="V550" s="19" t="s">
        <v>80</v>
      </c>
      <c r="W550" s="19">
        <v>0</v>
      </c>
      <c r="Y550" s="19" t="s">
        <v>110</v>
      </c>
      <c r="Z550" s="19">
        <v>16.664999999999999</v>
      </c>
      <c r="AA550" s="19">
        <v>0</v>
      </c>
    </row>
    <row r="551" spans="1:27" x14ac:dyDescent="0.25">
      <c r="A551" s="19" t="s">
        <v>749</v>
      </c>
      <c r="B551" s="19" t="s">
        <v>745</v>
      </c>
      <c r="C551" s="19" t="s">
        <v>746</v>
      </c>
      <c r="D551" s="19">
        <v>0</v>
      </c>
      <c r="E551" s="19" t="s">
        <v>46</v>
      </c>
      <c r="F551" s="19" t="s">
        <v>47</v>
      </c>
      <c r="G551" s="19" t="s">
        <v>32</v>
      </c>
      <c r="H551" s="19" t="s">
        <v>33</v>
      </c>
      <c r="I551" s="19" t="s">
        <v>34</v>
      </c>
      <c r="J551" s="19">
        <v>15</v>
      </c>
      <c r="K551" s="19">
        <v>1.6299999999999999E-2</v>
      </c>
      <c r="L551" s="19" t="s">
        <v>35</v>
      </c>
      <c r="M551" s="19" t="s">
        <v>110</v>
      </c>
      <c r="N551" s="19">
        <v>0</v>
      </c>
      <c r="O551" s="19">
        <v>0</v>
      </c>
      <c r="P551" s="19">
        <v>0</v>
      </c>
      <c r="Q551" s="19">
        <v>0</v>
      </c>
      <c r="S551" s="19">
        <v>1</v>
      </c>
      <c r="T551" s="19">
        <v>1</v>
      </c>
      <c r="U551" s="19">
        <v>0</v>
      </c>
      <c r="V551" s="19" t="s">
        <v>36</v>
      </c>
      <c r="W551" s="19">
        <v>0</v>
      </c>
      <c r="Y551" s="19" t="s">
        <v>110</v>
      </c>
      <c r="Z551" s="19">
        <v>16.664999999999999</v>
      </c>
      <c r="AA551" s="19">
        <v>0</v>
      </c>
    </row>
    <row r="552" spans="1:27" x14ac:dyDescent="0.25">
      <c r="A552" s="19" t="s">
        <v>750</v>
      </c>
      <c r="B552" s="19" t="s">
        <v>745</v>
      </c>
      <c r="C552" s="19" t="s">
        <v>746</v>
      </c>
      <c r="D552" s="19">
        <v>0.27163949999999998</v>
      </c>
      <c r="E552" s="19" t="s">
        <v>49</v>
      </c>
      <c r="F552" s="19" t="s">
        <v>50</v>
      </c>
      <c r="G552" s="19" t="s">
        <v>32</v>
      </c>
      <c r="H552" s="19" t="s">
        <v>33</v>
      </c>
      <c r="I552" s="19" t="s">
        <v>34</v>
      </c>
      <c r="J552" s="19">
        <v>12</v>
      </c>
      <c r="K552" s="19">
        <v>1.6299999999999999E-2</v>
      </c>
      <c r="L552" s="19" t="s">
        <v>35</v>
      </c>
      <c r="M552" s="19" t="s">
        <v>110</v>
      </c>
      <c r="N552" s="19">
        <v>16.664999999999999</v>
      </c>
      <c r="O552" s="19">
        <v>16.664999999999999</v>
      </c>
      <c r="P552" s="19">
        <v>0</v>
      </c>
      <c r="Q552" s="19">
        <v>0</v>
      </c>
      <c r="S552" s="19">
        <v>1</v>
      </c>
      <c r="T552" s="19">
        <v>1</v>
      </c>
      <c r="U552" s="19">
        <v>0</v>
      </c>
      <c r="V552" s="19" t="s">
        <v>41</v>
      </c>
      <c r="W552" s="19">
        <v>1</v>
      </c>
      <c r="Y552" s="19" t="s">
        <v>110</v>
      </c>
      <c r="Z552" s="19">
        <v>16.664999999999999</v>
      </c>
      <c r="AA552" s="19">
        <v>16.664999999999999</v>
      </c>
    </row>
    <row r="553" spans="1:27" x14ac:dyDescent="0.25">
      <c r="A553" s="19" t="s">
        <v>751</v>
      </c>
      <c r="B553" s="19" t="s">
        <v>745</v>
      </c>
      <c r="C553" s="19" t="s">
        <v>746</v>
      </c>
      <c r="D553" s="19">
        <v>0</v>
      </c>
      <c r="E553" s="19" t="s">
        <v>52</v>
      </c>
      <c r="F553" s="19" t="s">
        <v>53</v>
      </c>
      <c r="G553" s="19" t="s">
        <v>32</v>
      </c>
      <c r="H553" s="19" t="s">
        <v>33</v>
      </c>
      <c r="I553" s="19" t="s">
        <v>34</v>
      </c>
      <c r="J553" s="19">
        <v>16</v>
      </c>
      <c r="K553" s="19">
        <v>1.6299999999999999E-2</v>
      </c>
      <c r="L553" s="19" t="s">
        <v>35</v>
      </c>
      <c r="N553" s="19">
        <v>0</v>
      </c>
      <c r="O553" s="19">
        <v>0</v>
      </c>
      <c r="P553" s="19">
        <v>0</v>
      </c>
      <c r="Q553" s="19">
        <v>0</v>
      </c>
      <c r="S553" s="19">
        <v>1</v>
      </c>
      <c r="T553" s="19">
        <v>1</v>
      </c>
      <c r="U553" s="19">
        <v>0</v>
      </c>
      <c r="V553" s="19" t="s">
        <v>36</v>
      </c>
      <c r="W553" s="19">
        <v>0</v>
      </c>
      <c r="Z553" s="19">
        <v>0</v>
      </c>
      <c r="AA553" s="19">
        <v>0</v>
      </c>
    </row>
    <row r="554" spans="1:27" x14ac:dyDescent="0.25">
      <c r="A554" s="19" t="s">
        <v>752</v>
      </c>
      <c r="B554" s="19" t="s">
        <v>745</v>
      </c>
      <c r="C554" s="19" t="s">
        <v>746</v>
      </c>
      <c r="D554" s="19">
        <v>0.27163949999999998</v>
      </c>
      <c r="E554" s="19" t="s">
        <v>55</v>
      </c>
      <c r="F554" s="19" t="s">
        <v>56</v>
      </c>
      <c r="G554" s="19" t="s">
        <v>32</v>
      </c>
      <c r="H554" s="19" t="s">
        <v>33</v>
      </c>
      <c r="I554" s="19" t="s">
        <v>34</v>
      </c>
      <c r="J554" s="19">
        <v>14</v>
      </c>
      <c r="K554" s="19">
        <v>1.6299999999999999E-2</v>
      </c>
      <c r="L554" s="19" t="s">
        <v>35</v>
      </c>
      <c r="M554" s="19" t="s">
        <v>110</v>
      </c>
      <c r="N554" s="19">
        <v>16.664999999999999</v>
      </c>
      <c r="O554" s="19">
        <v>16.664999999999999</v>
      </c>
      <c r="P554" s="19">
        <v>0</v>
      </c>
      <c r="Q554" s="19">
        <v>0</v>
      </c>
      <c r="S554" s="19">
        <v>1</v>
      </c>
      <c r="T554" s="19">
        <v>1</v>
      </c>
      <c r="U554" s="19">
        <v>0</v>
      </c>
      <c r="V554" s="19" t="s">
        <v>41</v>
      </c>
      <c r="W554" s="19">
        <v>1</v>
      </c>
      <c r="Y554" s="19" t="s">
        <v>110</v>
      </c>
      <c r="Z554" s="19">
        <v>16.664999999999999</v>
      </c>
      <c r="AA554" s="19">
        <v>16.664999999999999</v>
      </c>
    </row>
    <row r="555" spans="1:27" x14ac:dyDescent="0.25">
      <c r="A555" s="19" t="s">
        <v>753</v>
      </c>
      <c r="B555" s="19" t="s">
        <v>745</v>
      </c>
      <c r="C555" s="19" t="s">
        <v>746</v>
      </c>
      <c r="D555" s="19">
        <v>0</v>
      </c>
      <c r="E555" s="19" t="s">
        <v>58</v>
      </c>
      <c r="F555" s="19" t="s">
        <v>59</v>
      </c>
      <c r="G555" s="19" t="s">
        <v>32</v>
      </c>
      <c r="H555" s="19" t="s">
        <v>33</v>
      </c>
      <c r="I555" s="19" t="s">
        <v>34</v>
      </c>
      <c r="J555" s="19">
        <v>13</v>
      </c>
      <c r="K555" s="19">
        <v>1.6299999999999999E-2</v>
      </c>
      <c r="L555" s="19" t="s">
        <v>35</v>
      </c>
      <c r="N555" s="19">
        <v>0</v>
      </c>
      <c r="O555" s="19">
        <v>0</v>
      </c>
      <c r="P555" s="19">
        <v>0</v>
      </c>
      <c r="Q555" s="19">
        <v>0</v>
      </c>
      <c r="S555" s="19">
        <v>1</v>
      </c>
      <c r="T555" s="19">
        <v>1</v>
      </c>
      <c r="U555" s="19">
        <v>0</v>
      </c>
      <c r="V555" s="19" t="s">
        <v>36</v>
      </c>
      <c r="W555" s="19">
        <v>0</v>
      </c>
      <c r="Z555" s="19">
        <v>0</v>
      </c>
      <c r="AA555" s="19">
        <v>0</v>
      </c>
    </row>
    <row r="556" spans="1:27" x14ac:dyDescent="0.25">
      <c r="A556" s="19" t="s">
        <v>754</v>
      </c>
      <c r="B556" s="19" t="s">
        <v>745</v>
      </c>
      <c r="C556" s="19" t="s">
        <v>746</v>
      </c>
      <c r="D556" s="19">
        <v>0.309968999999999</v>
      </c>
      <c r="E556" s="19" t="s">
        <v>61</v>
      </c>
      <c r="F556" s="19" t="s">
        <v>62</v>
      </c>
      <c r="G556" s="19" t="s">
        <v>32</v>
      </c>
      <c r="H556" s="19" t="s">
        <v>63</v>
      </c>
      <c r="I556" s="19" t="s">
        <v>64</v>
      </c>
      <c r="J556" s="19">
        <v>22</v>
      </c>
      <c r="K556" s="19">
        <v>1.8599999999999998E-2</v>
      </c>
      <c r="L556" s="19" t="s">
        <v>35</v>
      </c>
      <c r="M556" s="19" t="s">
        <v>110</v>
      </c>
      <c r="N556" s="19">
        <v>16.664999999999999</v>
      </c>
      <c r="O556" s="19">
        <v>16.664999999999999</v>
      </c>
      <c r="P556" s="19">
        <v>0</v>
      </c>
      <c r="Q556" s="19">
        <v>0</v>
      </c>
      <c r="S556" s="19">
        <v>1</v>
      </c>
      <c r="T556" s="19">
        <v>1</v>
      </c>
      <c r="U556" s="19">
        <v>0</v>
      </c>
      <c r="V556" s="19" t="s">
        <v>41</v>
      </c>
      <c r="W556" s="19">
        <v>1</v>
      </c>
      <c r="Y556" s="19" t="s">
        <v>110</v>
      </c>
      <c r="Z556" s="19">
        <v>16.664999999999999</v>
      </c>
      <c r="AA556" s="19">
        <v>16.664999999999999</v>
      </c>
    </row>
    <row r="557" spans="1:27" x14ac:dyDescent="0.25">
      <c r="A557" s="19" t="s">
        <v>755</v>
      </c>
      <c r="B557" s="19" t="s">
        <v>745</v>
      </c>
      <c r="C557" s="19" t="s">
        <v>746</v>
      </c>
      <c r="D557" s="19">
        <v>0.309968999999999</v>
      </c>
      <c r="E557" s="19" t="s">
        <v>66</v>
      </c>
      <c r="F557" s="19" t="s">
        <v>67</v>
      </c>
      <c r="G557" s="19" t="s">
        <v>32</v>
      </c>
      <c r="H557" s="19" t="s">
        <v>63</v>
      </c>
      <c r="I557" s="19" t="s">
        <v>64</v>
      </c>
      <c r="J557" s="19">
        <v>20</v>
      </c>
      <c r="K557" s="19">
        <v>1.8599999999999998E-2</v>
      </c>
      <c r="L557" s="19" t="s">
        <v>35</v>
      </c>
      <c r="M557" s="19" t="s">
        <v>110</v>
      </c>
      <c r="N557" s="19">
        <v>16.664999999999999</v>
      </c>
      <c r="O557" s="19">
        <v>16.664999999999999</v>
      </c>
      <c r="P557" s="19">
        <v>0</v>
      </c>
      <c r="Q557" s="19">
        <v>0</v>
      </c>
      <c r="S557" s="19">
        <v>1</v>
      </c>
      <c r="T557" s="19">
        <v>1</v>
      </c>
      <c r="U557" s="19">
        <v>0</v>
      </c>
      <c r="V557" s="19" t="s">
        <v>41</v>
      </c>
      <c r="W557" s="19">
        <v>1</v>
      </c>
      <c r="Y557" s="19" t="s">
        <v>110</v>
      </c>
      <c r="Z557" s="19">
        <v>16.664999999999999</v>
      </c>
      <c r="AA557" s="19">
        <v>16.664999999999999</v>
      </c>
    </row>
    <row r="558" spans="1:27" x14ac:dyDescent="0.25">
      <c r="A558" s="19" t="s">
        <v>756</v>
      </c>
      <c r="B558" s="19" t="s">
        <v>745</v>
      </c>
      <c r="C558" s="19" t="s">
        <v>746</v>
      </c>
      <c r="D558" s="19">
        <v>0</v>
      </c>
      <c r="E558" s="19" t="s">
        <v>69</v>
      </c>
      <c r="F558" s="19" t="s">
        <v>70</v>
      </c>
      <c r="G558" s="19" t="s">
        <v>32</v>
      </c>
      <c r="H558" s="19" t="s">
        <v>63</v>
      </c>
      <c r="I558" s="19" t="s">
        <v>64</v>
      </c>
      <c r="J558" s="19">
        <v>23</v>
      </c>
      <c r="K558" s="19">
        <v>1.8599999999999998E-2</v>
      </c>
      <c r="L558" s="19" t="s">
        <v>35</v>
      </c>
      <c r="N558" s="19">
        <v>0</v>
      </c>
      <c r="O558" s="19">
        <v>0</v>
      </c>
      <c r="P558" s="19">
        <v>0</v>
      </c>
      <c r="Q558" s="19">
        <v>0</v>
      </c>
      <c r="S558" s="19">
        <v>1</v>
      </c>
      <c r="T558" s="19">
        <v>1</v>
      </c>
      <c r="U558" s="19">
        <v>0</v>
      </c>
      <c r="V558" s="19" t="s">
        <v>36</v>
      </c>
      <c r="W558" s="19">
        <v>0</v>
      </c>
      <c r="Z558" s="19">
        <v>0</v>
      </c>
      <c r="AA558" s="19">
        <v>0</v>
      </c>
    </row>
    <row r="559" spans="1:27" x14ac:dyDescent="0.25">
      <c r="A559" s="19" t="s">
        <v>757</v>
      </c>
      <c r="B559" s="19" t="s">
        <v>745</v>
      </c>
      <c r="C559" s="19" t="s">
        <v>746</v>
      </c>
      <c r="D559" s="19">
        <v>0</v>
      </c>
      <c r="E559" s="19" t="s">
        <v>72</v>
      </c>
      <c r="F559" s="19" t="s">
        <v>73</v>
      </c>
      <c r="G559" s="19" t="s">
        <v>32</v>
      </c>
      <c r="H559" s="19" t="s">
        <v>63</v>
      </c>
      <c r="I559" s="19" t="s">
        <v>64</v>
      </c>
      <c r="J559" s="19">
        <v>21</v>
      </c>
      <c r="K559" s="19">
        <v>1.8599999999999998E-2</v>
      </c>
      <c r="L559" s="19" t="s">
        <v>35</v>
      </c>
      <c r="N559" s="19">
        <v>0</v>
      </c>
      <c r="O559" s="19">
        <v>0</v>
      </c>
      <c r="P559" s="19">
        <v>0</v>
      </c>
      <c r="Q559" s="19">
        <v>0</v>
      </c>
      <c r="S559" s="19">
        <v>1</v>
      </c>
      <c r="T559" s="19">
        <v>1</v>
      </c>
      <c r="U559" s="19">
        <v>0</v>
      </c>
      <c r="V559" s="19" t="s">
        <v>36</v>
      </c>
      <c r="W559" s="19">
        <v>0</v>
      </c>
      <c r="Z559" s="19">
        <v>0</v>
      </c>
      <c r="AA559" s="19">
        <v>0</v>
      </c>
    </row>
    <row r="560" spans="1:27" x14ac:dyDescent="0.25">
      <c r="A560" s="19" t="s">
        <v>758</v>
      </c>
      <c r="B560" s="19" t="s">
        <v>745</v>
      </c>
      <c r="C560" s="19" t="s">
        <v>746</v>
      </c>
      <c r="D560" s="19">
        <v>0</v>
      </c>
      <c r="E560" s="19" t="s">
        <v>75</v>
      </c>
      <c r="F560" s="19" t="s">
        <v>76</v>
      </c>
      <c r="G560" s="19" t="s">
        <v>32</v>
      </c>
      <c r="H560" s="19" t="s">
        <v>63</v>
      </c>
      <c r="I560" s="19" t="s">
        <v>64</v>
      </c>
      <c r="J560" s="19">
        <v>24</v>
      </c>
      <c r="K560" s="19">
        <v>1.8599999999999998E-2</v>
      </c>
      <c r="L560" s="19" t="s">
        <v>35</v>
      </c>
      <c r="N560" s="19">
        <v>0</v>
      </c>
      <c r="O560" s="19">
        <v>0</v>
      </c>
      <c r="P560" s="19">
        <v>0</v>
      </c>
      <c r="Q560" s="19">
        <v>0</v>
      </c>
      <c r="S560" s="19">
        <v>1</v>
      </c>
      <c r="T560" s="19">
        <v>1</v>
      </c>
      <c r="U560" s="19">
        <v>0</v>
      </c>
      <c r="V560" s="19" t="s">
        <v>36</v>
      </c>
      <c r="W560" s="19">
        <v>0</v>
      </c>
      <c r="Z560" s="19">
        <v>0</v>
      </c>
      <c r="AA560" s="19">
        <v>0</v>
      </c>
    </row>
    <row r="561" spans="1:27" x14ac:dyDescent="0.25">
      <c r="A561" s="19" t="s">
        <v>759</v>
      </c>
      <c r="B561" s="19" t="s">
        <v>745</v>
      </c>
      <c r="C561" s="19" t="s">
        <v>746</v>
      </c>
      <c r="D561" s="19">
        <v>0</v>
      </c>
      <c r="E561" s="19" t="s">
        <v>78</v>
      </c>
      <c r="F561" s="19" t="s">
        <v>79</v>
      </c>
      <c r="G561" s="19" t="s">
        <v>32</v>
      </c>
      <c r="H561" s="19" t="s">
        <v>63</v>
      </c>
      <c r="I561" s="19" t="s">
        <v>64</v>
      </c>
      <c r="J561" s="19">
        <v>25</v>
      </c>
      <c r="K561" s="19">
        <v>1.8599999999999998E-2</v>
      </c>
      <c r="L561" s="19" t="s">
        <v>35</v>
      </c>
      <c r="M561" s="19" t="s">
        <v>40</v>
      </c>
      <c r="N561" s="19">
        <v>0</v>
      </c>
      <c r="O561" s="19">
        <v>0</v>
      </c>
      <c r="P561" s="19">
        <v>0</v>
      </c>
      <c r="Q561" s="19">
        <v>0</v>
      </c>
      <c r="S561" s="19">
        <v>1</v>
      </c>
      <c r="T561" s="19">
        <v>1</v>
      </c>
      <c r="U561" s="19">
        <v>0</v>
      </c>
      <c r="V561" s="19" t="s">
        <v>80</v>
      </c>
      <c r="W561" s="19">
        <v>0</v>
      </c>
      <c r="Y561" s="19" t="s">
        <v>40</v>
      </c>
      <c r="Z561" s="19">
        <v>33.33</v>
      </c>
      <c r="AA561" s="19">
        <v>0</v>
      </c>
    </row>
    <row r="562" spans="1:27" x14ac:dyDescent="0.25">
      <c r="A562" s="19" t="s">
        <v>760</v>
      </c>
      <c r="B562" s="19" t="s">
        <v>745</v>
      </c>
      <c r="C562" s="19" t="s">
        <v>746</v>
      </c>
      <c r="D562" s="19">
        <v>0.61993799999999899</v>
      </c>
      <c r="E562" s="19" t="s">
        <v>82</v>
      </c>
      <c r="F562" s="19" t="s">
        <v>83</v>
      </c>
      <c r="G562" s="19" t="s">
        <v>32</v>
      </c>
      <c r="H562" s="19" t="s">
        <v>63</v>
      </c>
      <c r="I562" s="19" t="s">
        <v>64</v>
      </c>
      <c r="J562" s="19">
        <v>26</v>
      </c>
      <c r="K562" s="19">
        <v>1.8599999999999998E-2</v>
      </c>
      <c r="L562" s="19" t="s">
        <v>35</v>
      </c>
      <c r="M562" s="19" t="s">
        <v>40</v>
      </c>
      <c r="N562" s="19">
        <v>33.33</v>
      </c>
      <c r="O562" s="19">
        <v>33.33</v>
      </c>
      <c r="P562" s="19">
        <v>0</v>
      </c>
      <c r="Q562" s="19">
        <v>0</v>
      </c>
      <c r="S562" s="19">
        <v>1</v>
      </c>
      <c r="T562" s="19">
        <v>1</v>
      </c>
      <c r="U562" s="19">
        <v>0</v>
      </c>
      <c r="V562" s="19" t="s">
        <v>41</v>
      </c>
      <c r="W562" s="19">
        <v>1</v>
      </c>
      <c r="Y562" s="19" t="s">
        <v>40</v>
      </c>
      <c r="Z562" s="19">
        <v>33.33</v>
      </c>
      <c r="AA562" s="19">
        <v>33.33</v>
      </c>
    </row>
    <row r="563" spans="1:27" x14ac:dyDescent="0.25">
      <c r="A563" s="19" t="s">
        <v>761</v>
      </c>
      <c r="B563" s="19" t="s">
        <v>745</v>
      </c>
      <c r="C563" s="19" t="s">
        <v>746</v>
      </c>
      <c r="D563" s="19">
        <v>0</v>
      </c>
      <c r="E563" s="19" t="s">
        <v>85</v>
      </c>
      <c r="F563" s="19" t="s">
        <v>86</v>
      </c>
      <c r="G563" s="19" t="s">
        <v>32</v>
      </c>
      <c r="H563" s="19" t="s">
        <v>87</v>
      </c>
      <c r="I563" s="19" t="s">
        <v>88</v>
      </c>
      <c r="J563" s="19">
        <v>35</v>
      </c>
      <c r="K563" s="19">
        <v>3.2500000000000001E-2</v>
      </c>
      <c r="L563" s="19" t="s">
        <v>35</v>
      </c>
      <c r="N563" s="19">
        <v>0</v>
      </c>
      <c r="O563" s="19">
        <v>0</v>
      </c>
      <c r="P563" s="19">
        <v>0</v>
      </c>
      <c r="Q563" s="19">
        <v>0</v>
      </c>
      <c r="S563" s="19">
        <v>1</v>
      </c>
      <c r="T563" s="19">
        <v>1</v>
      </c>
      <c r="U563" s="19">
        <v>0</v>
      </c>
      <c r="V563" s="19" t="s">
        <v>36</v>
      </c>
      <c r="W563" s="19">
        <v>0</v>
      </c>
      <c r="Z563" s="19">
        <v>0</v>
      </c>
      <c r="AA563" s="19">
        <v>0</v>
      </c>
    </row>
    <row r="564" spans="1:27" x14ac:dyDescent="0.25">
      <c r="A564" s="19" t="s">
        <v>762</v>
      </c>
      <c r="B564" s="19" t="s">
        <v>745</v>
      </c>
      <c r="C564" s="19" t="s">
        <v>746</v>
      </c>
      <c r="D564" s="19">
        <v>0</v>
      </c>
      <c r="E564" s="19" t="s">
        <v>90</v>
      </c>
      <c r="F564" s="19" t="s">
        <v>91</v>
      </c>
      <c r="G564" s="19" t="s">
        <v>32</v>
      </c>
      <c r="H564" s="19" t="s">
        <v>87</v>
      </c>
      <c r="I564" s="19" t="s">
        <v>88</v>
      </c>
      <c r="J564" s="19">
        <v>33</v>
      </c>
      <c r="K564" s="19">
        <v>3.2500000000000001E-2</v>
      </c>
      <c r="L564" s="19" t="s">
        <v>35</v>
      </c>
      <c r="N564" s="19">
        <v>0</v>
      </c>
      <c r="O564" s="19">
        <v>0</v>
      </c>
      <c r="P564" s="19">
        <v>0</v>
      </c>
      <c r="Q564" s="19">
        <v>0</v>
      </c>
      <c r="S564" s="19">
        <v>1</v>
      </c>
      <c r="T564" s="19">
        <v>1</v>
      </c>
      <c r="U564" s="19">
        <v>0</v>
      </c>
      <c r="V564" s="19" t="s">
        <v>36</v>
      </c>
      <c r="W564" s="19">
        <v>0</v>
      </c>
      <c r="Z564" s="19">
        <v>0</v>
      </c>
      <c r="AA564" s="19">
        <v>0</v>
      </c>
    </row>
    <row r="565" spans="1:27" x14ac:dyDescent="0.25">
      <c r="A565" s="19" t="s">
        <v>763</v>
      </c>
      <c r="B565" s="19" t="s">
        <v>745</v>
      </c>
      <c r="C565" s="19" t="s">
        <v>746</v>
      </c>
      <c r="D565" s="19">
        <v>0.54161249999999905</v>
      </c>
      <c r="E565" s="19" t="s">
        <v>93</v>
      </c>
      <c r="F565" s="19" t="s">
        <v>94</v>
      </c>
      <c r="G565" s="19" t="s">
        <v>32</v>
      </c>
      <c r="H565" s="19" t="s">
        <v>87</v>
      </c>
      <c r="I565" s="19" t="s">
        <v>88</v>
      </c>
      <c r="J565" s="19">
        <v>34</v>
      </c>
      <c r="K565" s="19">
        <v>3.2500000000000001E-2</v>
      </c>
      <c r="L565" s="19" t="s">
        <v>35</v>
      </c>
      <c r="M565" s="19" t="s">
        <v>110</v>
      </c>
      <c r="N565" s="19">
        <v>16.664999999999999</v>
      </c>
      <c r="O565" s="19">
        <v>16.664999999999999</v>
      </c>
      <c r="P565" s="19">
        <v>0</v>
      </c>
      <c r="Q565" s="19">
        <v>0</v>
      </c>
      <c r="S565" s="19">
        <v>1</v>
      </c>
      <c r="T565" s="19">
        <v>1</v>
      </c>
      <c r="U565" s="19">
        <v>0</v>
      </c>
      <c r="V565" s="19" t="s">
        <v>41</v>
      </c>
      <c r="W565" s="19">
        <v>1</v>
      </c>
      <c r="Y565" s="19" t="s">
        <v>110</v>
      </c>
      <c r="Z565" s="19">
        <v>16.664999999999999</v>
      </c>
      <c r="AA565" s="19">
        <v>16.664999999999999</v>
      </c>
    </row>
    <row r="566" spans="1:27" x14ac:dyDescent="0.25">
      <c r="A566" s="19" t="s">
        <v>764</v>
      </c>
      <c r="B566" s="19" t="s">
        <v>745</v>
      </c>
      <c r="C566" s="19" t="s">
        <v>746</v>
      </c>
      <c r="D566" s="19">
        <v>0</v>
      </c>
      <c r="E566" s="19" t="s">
        <v>96</v>
      </c>
      <c r="F566" s="19" t="s">
        <v>97</v>
      </c>
      <c r="G566" s="19" t="s">
        <v>32</v>
      </c>
      <c r="H566" s="19" t="s">
        <v>87</v>
      </c>
      <c r="I566" s="19" t="s">
        <v>88</v>
      </c>
      <c r="J566" s="19">
        <v>36</v>
      </c>
      <c r="K566" s="19">
        <v>3.2500000000000001E-2</v>
      </c>
      <c r="L566" s="19" t="s">
        <v>35</v>
      </c>
      <c r="N566" s="19">
        <v>0</v>
      </c>
      <c r="O566" s="19">
        <v>0</v>
      </c>
      <c r="P566" s="19">
        <v>0</v>
      </c>
      <c r="Q566" s="19">
        <v>0</v>
      </c>
      <c r="S566" s="19">
        <v>1</v>
      </c>
      <c r="T566" s="19">
        <v>1</v>
      </c>
      <c r="U566" s="19">
        <v>0</v>
      </c>
      <c r="V566" s="19" t="s">
        <v>36</v>
      </c>
      <c r="W566" s="19">
        <v>0</v>
      </c>
      <c r="Z566" s="19">
        <v>0</v>
      </c>
      <c r="AA566" s="19">
        <v>0</v>
      </c>
    </row>
    <row r="567" spans="1:27" x14ac:dyDescent="0.25">
      <c r="A567" s="19" t="s">
        <v>765</v>
      </c>
      <c r="B567" s="19" t="s">
        <v>745</v>
      </c>
      <c r="C567" s="19" t="s">
        <v>746</v>
      </c>
      <c r="D567" s="19">
        <v>0</v>
      </c>
      <c r="E567" s="19" t="s">
        <v>99</v>
      </c>
      <c r="F567" s="19" t="s">
        <v>100</v>
      </c>
      <c r="G567" s="19" t="s">
        <v>32</v>
      </c>
      <c r="H567" s="19" t="s">
        <v>101</v>
      </c>
      <c r="I567" s="19" t="s">
        <v>102</v>
      </c>
      <c r="J567" s="19">
        <v>39</v>
      </c>
      <c r="K567" s="19">
        <v>4.3299999999999998E-2</v>
      </c>
      <c r="L567" s="19" t="s">
        <v>35</v>
      </c>
      <c r="M567" s="19" t="s">
        <v>103</v>
      </c>
      <c r="N567" s="19">
        <v>0</v>
      </c>
      <c r="O567" s="19">
        <v>0</v>
      </c>
      <c r="P567" s="19">
        <v>0</v>
      </c>
      <c r="Q567" s="19">
        <v>0</v>
      </c>
      <c r="S567" s="19">
        <v>1</v>
      </c>
      <c r="T567" s="19">
        <v>1</v>
      </c>
      <c r="U567" s="19">
        <v>0</v>
      </c>
      <c r="V567" s="19" t="s">
        <v>36</v>
      </c>
      <c r="W567" s="19">
        <v>0</v>
      </c>
      <c r="Y567" s="19" t="s">
        <v>103</v>
      </c>
      <c r="Z567" s="19">
        <v>50</v>
      </c>
      <c r="AA567" s="19">
        <v>0</v>
      </c>
    </row>
    <row r="568" spans="1:27" x14ac:dyDescent="0.25">
      <c r="A568" s="19" t="s">
        <v>766</v>
      </c>
      <c r="B568" s="19" t="s">
        <v>745</v>
      </c>
      <c r="C568" s="19" t="s">
        <v>746</v>
      </c>
      <c r="D568" s="19">
        <v>0</v>
      </c>
      <c r="E568" s="19" t="s">
        <v>105</v>
      </c>
      <c r="F568" s="19" t="s">
        <v>106</v>
      </c>
      <c r="G568" s="19" t="s">
        <v>32</v>
      </c>
      <c r="H568" s="19" t="s">
        <v>101</v>
      </c>
      <c r="I568" s="19" t="s">
        <v>102</v>
      </c>
      <c r="J568" s="19">
        <v>38</v>
      </c>
      <c r="K568" s="19">
        <v>4.3299999999999998E-2</v>
      </c>
      <c r="L568" s="19" t="s">
        <v>35</v>
      </c>
      <c r="M568" s="19" t="s">
        <v>103</v>
      </c>
      <c r="N568" s="19">
        <v>0</v>
      </c>
      <c r="O568" s="19">
        <v>0</v>
      </c>
      <c r="P568" s="19">
        <v>0</v>
      </c>
      <c r="Q568" s="19">
        <v>0</v>
      </c>
      <c r="S568" s="19">
        <v>1</v>
      </c>
      <c r="T568" s="19">
        <v>1</v>
      </c>
      <c r="U568" s="19">
        <v>0</v>
      </c>
      <c r="V568" s="19" t="s">
        <v>36</v>
      </c>
      <c r="W568" s="19">
        <v>0</v>
      </c>
      <c r="Y568" s="19" t="s">
        <v>103</v>
      </c>
      <c r="Z568" s="19">
        <v>50</v>
      </c>
      <c r="AA568" s="19">
        <v>0</v>
      </c>
    </row>
    <row r="569" spans="1:27" x14ac:dyDescent="0.25">
      <c r="A569" s="19" t="s">
        <v>767</v>
      </c>
      <c r="B569" s="19" t="s">
        <v>745</v>
      </c>
      <c r="C569" s="19" t="s">
        <v>746</v>
      </c>
      <c r="D569" s="19">
        <v>0</v>
      </c>
      <c r="E569" s="19" t="s">
        <v>108</v>
      </c>
      <c r="F569" s="19" t="s">
        <v>109</v>
      </c>
      <c r="G569" s="19" t="s">
        <v>32</v>
      </c>
      <c r="H569" s="19" t="s">
        <v>101</v>
      </c>
      <c r="I569" s="19" t="s">
        <v>102</v>
      </c>
      <c r="J569" s="19">
        <v>37</v>
      </c>
      <c r="K569" s="19">
        <v>4.3299999999999998E-2</v>
      </c>
      <c r="L569" s="19" t="s">
        <v>35</v>
      </c>
      <c r="M569" s="19" t="s">
        <v>110</v>
      </c>
      <c r="N569" s="19">
        <v>0</v>
      </c>
      <c r="O569" s="19">
        <v>0</v>
      </c>
      <c r="P569" s="19">
        <v>0</v>
      </c>
      <c r="Q569" s="19">
        <v>0</v>
      </c>
      <c r="S569" s="19">
        <v>1</v>
      </c>
      <c r="T569" s="19">
        <v>1</v>
      </c>
      <c r="U569" s="19">
        <v>0</v>
      </c>
      <c r="V569" s="19" t="s">
        <v>80</v>
      </c>
      <c r="W569" s="19">
        <v>0</v>
      </c>
      <c r="Y569" s="19" t="s">
        <v>110</v>
      </c>
      <c r="Z569" s="19">
        <v>16.664999999999999</v>
      </c>
      <c r="AA569" s="19">
        <v>0</v>
      </c>
    </row>
    <row r="570" spans="1:27" x14ac:dyDescent="0.25">
      <c r="A570" s="19" t="s">
        <v>768</v>
      </c>
      <c r="B570" s="19" t="s">
        <v>745</v>
      </c>
      <c r="C570" s="19" t="s">
        <v>746</v>
      </c>
      <c r="D570" s="19">
        <v>0</v>
      </c>
      <c r="E570" s="19" t="s">
        <v>112</v>
      </c>
      <c r="F570" s="19" t="s">
        <v>113</v>
      </c>
      <c r="G570" s="19" t="s">
        <v>32</v>
      </c>
      <c r="H570" s="19" t="s">
        <v>114</v>
      </c>
      <c r="I570" s="19" t="s">
        <v>115</v>
      </c>
      <c r="J570" s="19">
        <v>30</v>
      </c>
      <c r="K570" s="19">
        <v>2.1700000000000001E-2</v>
      </c>
      <c r="L570" s="19" t="s">
        <v>35</v>
      </c>
      <c r="M570" s="19" t="s">
        <v>103</v>
      </c>
      <c r="N570" s="19">
        <v>0</v>
      </c>
      <c r="O570" s="19">
        <v>0</v>
      </c>
      <c r="P570" s="19">
        <v>0</v>
      </c>
      <c r="Q570" s="19">
        <v>0</v>
      </c>
      <c r="S570" s="19">
        <v>1</v>
      </c>
      <c r="T570" s="19">
        <v>1</v>
      </c>
      <c r="U570" s="19">
        <v>0</v>
      </c>
      <c r="V570" s="19" t="s">
        <v>36</v>
      </c>
      <c r="W570" s="19">
        <v>0</v>
      </c>
      <c r="Y570" s="19" t="s">
        <v>103</v>
      </c>
      <c r="Z570" s="19">
        <v>50</v>
      </c>
      <c r="AA570" s="19">
        <v>0</v>
      </c>
    </row>
    <row r="571" spans="1:27" x14ac:dyDescent="0.25">
      <c r="A571" s="19" t="s">
        <v>769</v>
      </c>
      <c r="B571" s="19" t="s">
        <v>745</v>
      </c>
      <c r="C571" s="19" t="s">
        <v>746</v>
      </c>
      <c r="D571" s="19">
        <v>0</v>
      </c>
      <c r="E571" s="19" t="s">
        <v>117</v>
      </c>
      <c r="F571" s="19" t="s">
        <v>118</v>
      </c>
      <c r="G571" s="19" t="s">
        <v>32</v>
      </c>
      <c r="H571" s="19" t="s">
        <v>114</v>
      </c>
      <c r="I571" s="19" t="s">
        <v>115</v>
      </c>
      <c r="J571" s="19">
        <v>31</v>
      </c>
      <c r="K571" s="19">
        <v>2.1700000000000001E-2</v>
      </c>
      <c r="L571" s="19" t="s">
        <v>35</v>
      </c>
      <c r="M571" s="19" t="s">
        <v>103</v>
      </c>
      <c r="N571" s="19">
        <v>0</v>
      </c>
      <c r="O571" s="19">
        <v>0</v>
      </c>
      <c r="P571" s="19">
        <v>0</v>
      </c>
      <c r="Q571" s="19">
        <v>0</v>
      </c>
      <c r="S571" s="19">
        <v>1</v>
      </c>
      <c r="T571" s="19">
        <v>1</v>
      </c>
      <c r="U571" s="19">
        <v>0</v>
      </c>
      <c r="V571" s="19" t="s">
        <v>36</v>
      </c>
      <c r="W571" s="19">
        <v>0</v>
      </c>
      <c r="Y571" s="19" t="s">
        <v>103</v>
      </c>
      <c r="Z571" s="19">
        <v>50</v>
      </c>
      <c r="AA571" s="19">
        <v>0</v>
      </c>
    </row>
    <row r="572" spans="1:27" x14ac:dyDescent="0.25">
      <c r="A572" s="19" t="s">
        <v>770</v>
      </c>
      <c r="B572" s="19" t="s">
        <v>745</v>
      </c>
      <c r="C572" s="19" t="s">
        <v>746</v>
      </c>
      <c r="D572" s="19">
        <v>0</v>
      </c>
      <c r="E572" s="19" t="s">
        <v>120</v>
      </c>
      <c r="F572" s="19" t="s">
        <v>121</v>
      </c>
      <c r="G572" s="19" t="s">
        <v>32</v>
      </c>
      <c r="H572" s="19" t="s">
        <v>114</v>
      </c>
      <c r="I572" s="19" t="s">
        <v>115</v>
      </c>
      <c r="J572" s="19">
        <v>28</v>
      </c>
      <c r="K572" s="19">
        <v>2.1700000000000001E-2</v>
      </c>
      <c r="L572" s="19" t="s">
        <v>35</v>
      </c>
      <c r="M572" s="19" t="s">
        <v>103</v>
      </c>
      <c r="N572" s="19">
        <v>0</v>
      </c>
      <c r="O572" s="19">
        <v>0</v>
      </c>
      <c r="P572" s="19">
        <v>0</v>
      </c>
      <c r="Q572" s="19">
        <v>0</v>
      </c>
      <c r="S572" s="19">
        <v>1</v>
      </c>
      <c r="T572" s="19">
        <v>1</v>
      </c>
      <c r="U572" s="19">
        <v>0</v>
      </c>
      <c r="V572" s="19" t="s">
        <v>80</v>
      </c>
      <c r="W572" s="19">
        <v>0</v>
      </c>
      <c r="Y572" s="19" t="s">
        <v>103</v>
      </c>
      <c r="Z572" s="19">
        <v>50</v>
      </c>
      <c r="AA572" s="19">
        <v>0</v>
      </c>
    </row>
    <row r="573" spans="1:27" x14ac:dyDescent="0.25">
      <c r="A573" s="19" t="s">
        <v>771</v>
      </c>
      <c r="B573" s="19" t="s">
        <v>745</v>
      </c>
      <c r="C573" s="19" t="s">
        <v>746</v>
      </c>
      <c r="D573" s="19">
        <v>0</v>
      </c>
      <c r="E573" s="19" t="s">
        <v>123</v>
      </c>
      <c r="F573" s="19" t="s">
        <v>124</v>
      </c>
      <c r="G573" s="19" t="s">
        <v>32</v>
      </c>
      <c r="H573" s="19" t="s">
        <v>114</v>
      </c>
      <c r="I573" s="19" t="s">
        <v>115</v>
      </c>
      <c r="J573" s="19">
        <v>27</v>
      </c>
      <c r="K573" s="19">
        <v>2.1700000000000001E-2</v>
      </c>
      <c r="L573" s="19" t="s">
        <v>35</v>
      </c>
      <c r="M573" s="19" t="s">
        <v>103</v>
      </c>
      <c r="N573" s="19">
        <v>0</v>
      </c>
      <c r="O573" s="19">
        <v>0</v>
      </c>
      <c r="P573" s="19">
        <v>0</v>
      </c>
      <c r="Q573" s="19">
        <v>0</v>
      </c>
      <c r="S573" s="19">
        <v>1</v>
      </c>
      <c r="T573" s="19">
        <v>1</v>
      </c>
      <c r="U573" s="19">
        <v>0</v>
      </c>
      <c r="V573" s="19" t="s">
        <v>36</v>
      </c>
      <c r="W573" s="19">
        <v>0</v>
      </c>
      <c r="Y573" s="19" t="s">
        <v>103</v>
      </c>
      <c r="Z573" s="19">
        <v>50</v>
      </c>
      <c r="AA573" s="19">
        <v>0</v>
      </c>
    </row>
    <row r="574" spans="1:27" x14ac:dyDescent="0.25">
      <c r="A574" s="19" t="s">
        <v>772</v>
      </c>
      <c r="B574" s="19" t="s">
        <v>745</v>
      </c>
      <c r="C574" s="19" t="s">
        <v>746</v>
      </c>
      <c r="D574" s="19">
        <v>0</v>
      </c>
      <c r="E574" s="19" t="s">
        <v>126</v>
      </c>
      <c r="F574" s="19" t="s">
        <v>127</v>
      </c>
      <c r="G574" s="19" t="s">
        <v>32</v>
      </c>
      <c r="H574" s="19" t="s">
        <v>114</v>
      </c>
      <c r="I574" s="19" t="s">
        <v>115</v>
      </c>
      <c r="J574" s="19">
        <v>29</v>
      </c>
      <c r="K574" s="19">
        <v>2.1700000000000001E-2</v>
      </c>
      <c r="L574" s="19" t="s">
        <v>35</v>
      </c>
      <c r="M574" s="19" t="s">
        <v>103</v>
      </c>
      <c r="N574" s="19">
        <v>0</v>
      </c>
      <c r="O574" s="19">
        <v>0</v>
      </c>
      <c r="P574" s="19">
        <v>0</v>
      </c>
      <c r="Q574" s="19">
        <v>0</v>
      </c>
      <c r="S574" s="19">
        <v>1</v>
      </c>
      <c r="T574" s="19">
        <v>1</v>
      </c>
      <c r="U574" s="19">
        <v>0</v>
      </c>
      <c r="V574" s="19" t="s">
        <v>80</v>
      </c>
      <c r="W574" s="19">
        <v>0</v>
      </c>
      <c r="Y574" s="19" t="s">
        <v>103</v>
      </c>
      <c r="Z574" s="19">
        <v>50</v>
      </c>
      <c r="AA574" s="19">
        <v>0</v>
      </c>
    </row>
    <row r="575" spans="1:27" x14ac:dyDescent="0.25">
      <c r="A575" s="19" t="s">
        <v>773</v>
      </c>
      <c r="B575" s="19" t="s">
        <v>745</v>
      </c>
      <c r="C575" s="19" t="s">
        <v>746</v>
      </c>
      <c r="D575" s="19">
        <v>0</v>
      </c>
      <c r="E575" s="19" t="s">
        <v>129</v>
      </c>
      <c r="F575" s="19" t="s">
        <v>130</v>
      </c>
      <c r="G575" s="19" t="s">
        <v>32</v>
      </c>
      <c r="H575" s="19" t="s">
        <v>114</v>
      </c>
      <c r="I575" s="19" t="s">
        <v>115</v>
      </c>
      <c r="J575" s="19">
        <v>32</v>
      </c>
      <c r="K575" s="19">
        <v>2.1700000000000001E-2</v>
      </c>
      <c r="L575" s="19" t="s">
        <v>35</v>
      </c>
      <c r="M575" s="19" t="s">
        <v>103</v>
      </c>
      <c r="N575" s="19">
        <v>0</v>
      </c>
      <c r="O575" s="19">
        <v>0</v>
      </c>
      <c r="P575" s="19">
        <v>0</v>
      </c>
      <c r="Q575" s="19">
        <v>0</v>
      </c>
      <c r="S575" s="19">
        <v>1</v>
      </c>
      <c r="T575" s="19">
        <v>1</v>
      </c>
      <c r="U575" s="19">
        <v>0</v>
      </c>
      <c r="V575" s="19" t="s">
        <v>80</v>
      </c>
      <c r="W575" s="19">
        <v>0</v>
      </c>
      <c r="Y575" s="19" t="s">
        <v>103</v>
      </c>
      <c r="Z575" s="19">
        <v>50</v>
      </c>
      <c r="AA575" s="19">
        <v>0</v>
      </c>
    </row>
    <row r="576" spans="1:27" x14ac:dyDescent="0.25">
      <c r="A576" s="19" t="s">
        <v>774</v>
      </c>
      <c r="B576" s="19" t="s">
        <v>745</v>
      </c>
      <c r="C576" s="19" t="s">
        <v>746</v>
      </c>
      <c r="D576" s="19">
        <v>0</v>
      </c>
      <c r="E576" s="19" t="s">
        <v>132</v>
      </c>
      <c r="F576" s="19" t="s">
        <v>133</v>
      </c>
      <c r="G576" s="19" t="s">
        <v>134</v>
      </c>
      <c r="H576" s="19" t="s">
        <v>87</v>
      </c>
      <c r="I576" s="19" t="s">
        <v>135</v>
      </c>
      <c r="J576" s="19">
        <v>11</v>
      </c>
      <c r="K576" s="19">
        <v>4.1700000000000001E-2</v>
      </c>
      <c r="L576" s="19" t="s">
        <v>35</v>
      </c>
      <c r="M576" s="19" t="s">
        <v>103</v>
      </c>
      <c r="N576" s="19">
        <v>0</v>
      </c>
      <c r="O576" s="19">
        <v>0</v>
      </c>
      <c r="P576" s="19">
        <v>0</v>
      </c>
      <c r="Q576" s="19">
        <v>0</v>
      </c>
      <c r="S576" s="19">
        <v>1</v>
      </c>
      <c r="T576" s="19">
        <v>1</v>
      </c>
      <c r="U576" s="19">
        <v>0</v>
      </c>
      <c r="V576" s="19" t="s">
        <v>36</v>
      </c>
      <c r="W576" s="19">
        <v>0</v>
      </c>
      <c r="Y576" s="19" t="s">
        <v>103</v>
      </c>
      <c r="Z576" s="19">
        <v>50</v>
      </c>
      <c r="AA576" s="19">
        <v>0</v>
      </c>
    </row>
    <row r="577" spans="1:27" x14ac:dyDescent="0.25">
      <c r="A577" s="19" t="s">
        <v>775</v>
      </c>
      <c r="B577" s="19" t="s">
        <v>745</v>
      </c>
      <c r="C577" s="19" t="s">
        <v>746</v>
      </c>
      <c r="D577" s="19">
        <v>0.2316435</v>
      </c>
      <c r="E577" s="19" t="s">
        <v>137</v>
      </c>
      <c r="F577" s="19" t="s">
        <v>138</v>
      </c>
      <c r="G577" s="19" t="s">
        <v>134</v>
      </c>
      <c r="H577" s="19" t="s">
        <v>87</v>
      </c>
      <c r="I577" s="19" t="s">
        <v>135</v>
      </c>
      <c r="J577" s="19">
        <v>9</v>
      </c>
      <c r="K577" s="19">
        <v>4.1700000000000001E-2</v>
      </c>
      <c r="L577" s="19" t="s">
        <v>35</v>
      </c>
      <c r="M577" s="19" t="s">
        <v>110</v>
      </c>
      <c r="N577" s="19">
        <v>5.5549999999999997</v>
      </c>
      <c r="O577" s="19">
        <v>5.5549999999999997</v>
      </c>
      <c r="P577" s="19">
        <v>0</v>
      </c>
      <c r="Q577" s="19">
        <v>0</v>
      </c>
      <c r="S577" s="19">
        <v>1</v>
      </c>
      <c r="T577" s="19">
        <v>1</v>
      </c>
      <c r="U577" s="19">
        <v>0</v>
      </c>
      <c r="W577" s="19">
        <v>0</v>
      </c>
      <c r="X577" s="19">
        <v>1</v>
      </c>
      <c r="Y577" s="19" t="s">
        <v>110</v>
      </c>
      <c r="Z577" s="19">
        <v>16.664999999999999</v>
      </c>
      <c r="AA577" s="19">
        <v>5.5549999999999997</v>
      </c>
    </row>
    <row r="578" spans="1:27" x14ac:dyDescent="0.25">
      <c r="A578" s="19" t="s">
        <v>776</v>
      </c>
      <c r="B578" s="19" t="s">
        <v>745</v>
      </c>
      <c r="C578" s="19" t="s">
        <v>746</v>
      </c>
      <c r="D578" s="19">
        <v>0.2316435</v>
      </c>
      <c r="E578" s="19" t="s">
        <v>140</v>
      </c>
      <c r="F578" s="19" t="s">
        <v>141</v>
      </c>
      <c r="G578" s="19" t="s">
        <v>134</v>
      </c>
      <c r="H578" s="19" t="s">
        <v>87</v>
      </c>
      <c r="I578" s="19" t="s">
        <v>135</v>
      </c>
      <c r="J578" s="19">
        <v>10</v>
      </c>
      <c r="K578" s="19">
        <v>4.1700000000000001E-2</v>
      </c>
      <c r="L578" s="19" t="s">
        <v>35</v>
      </c>
      <c r="M578" s="19" t="s">
        <v>110</v>
      </c>
      <c r="N578" s="19">
        <v>5.5549999999999997</v>
      </c>
      <c r="O578" s="19">
        <v>5.5549999999999997</v>
      </c>
      <c r="P578" s="19">
        <v>0</v>
      </c>
      <c r="Q578" s="19">
        <v>0</v>
      </c>
      <c r="S578" s="19">
        <v>1</v>
      </c>
      <c r="T578" s="19">
        <v>1</v>
      </c>
      <c r="U578" s="19">
        <v>0</v>
      </c>
      <c r="W578" s="19">
        <v>0</v>
      </c>
      <c r="X578" s="19">
        <v>1</v>
      </c>
      <c r="Y578" s="19" t="s">
        <v>110</v>
      </c>
      <c r="Z578" s="19">
        <v>16.664999999999999</v>
      </c>
      <c r="AA578" s="19">
        <v>5.5549999999999997</v>
      </c>
    </row>
    <row r="579" spans="1:27" x14ac:dyDescent="0.25">
      <c r="A579" s="19" t="s">
        <v>777</v>
      </c>
      <c r="B579" s="19" t="s">
        <v>745</v>
      </c>
      <c r="C579" s="19" t="s">
        <v>746</v>
      </c>
      <c r="D579" s="19">
        <v>1.25</v>
      </c>
      <c r="E579" s="19" t="s">
        <v>144</v>
      </c>
      <c r="F579" s="19" t="s">
        <v>145</v>
      </c>
      <c r="G579" s="19" t="s">
        <v>134</v>
      </c>
      <c r="H579" s="19" t="s">
        <v>146</v>
      </c>
      <c r="I579" s="19" t="s">
        <v>147</v>
      </c>
      <c r="J579" s="19">
        <v>4</v>
      </c>
      <c r="K579" s="19">
        <v>2.5000000000000001E-2</v>
      </c>
      <c r="L579" s="19" t="s">
        <v>35</v>
      </c>
      <c r="M579" s="19" t="s">
        <v>103</v>
      </c>
      <c r="N579" s="19">
        <v>50</v>
      </c>
      <c r="O579" s="19">
        <v>50</v>
      </c>
      <c r="P579" s="19">
        <v>0</v>
      </c>
      <c r="Q579" s="19">
        <v>0</v>
      </c>
      <c r="S579" s="19">
        <v>1</v>
      </c>
      <c r="T579" s="19">
        <v>1</v>
      </c>
      <c r="U579" s="19">
        <v>0</v>
      </c>
      <c r="V579" s="19" t="s">
        <v>41</v>
      </c>
      <c r="W579" s="19">
        <v>1</v>
      </c>
      <c r="Y579" s="19" t="s">
        <v>103</v>
      </c>
      <c r="Z579" s="19">
        <v>50</v>
      </c>
      <c r="AA579" s="19">
        <v>50</v>
      </c>
    </row>
    <row r="580" spans="1:27" x14ac:dyDescent="0.25">
      <c r="A580" s="19" t="s">
        <v>778</v>
      </c>
      <c r="B580" s="19" t="s">
        <v>745</v>
      </c>
      <c r="C580" s="19" t="s">
        <v>746</v>
      </c>
      <c r="D580" s="19">
        <v>1.25</v>
      </c>
      <c r="E580" s="19" t="s">
        <v>149</v>
      </c>
      <c r="F580" s="19" t="s">
        <v>150</v>
      </c>
      <c r="G580" s="19" t="s">
        <v>134</v>
      </c>
      <c r="H580" s="19" t="s">
        <v>146</v>
      </c>
      <c r="I580" s="19" t="s">
        <v>147</v>
      </c>
      <c r="J580" s="19">
        <v>5</v>
      </c>
      <c r="K580" s="19">
        <v>2.5000000000000001E-2</v>
      </c>
      <c r="L580" s="19" t="s">
        <v>35</v>
      </c>
      <c r="M580" s="19" t="s">
        <v>103</v>
      </c>
      <c r="N580" s="19">
        <v>50</v>
      </c>
      <c r="O580" s="19">
        <v>50</v>
      </c>
      <c r="P580" s="19">
        <v>0</v>
      </c>
      <c r="Q580" s="19">
        <v>0</v>
      </c>
      <c r="S580" s="19">
        <v>1</v>
      </c>
      <c r="T580" s="19">
        <v>1</v>
      </c>
      <c r="U580" s="19">
        <v>0</v>
      </c>
      <c r="V580" s="19" t="s">
        <v>41</v>
      </c>
      <c r="W580" s="19">
        <v>1</v>
      </c>
      <c r="Y580" s="19" t="s">
        <v>103</v>
      </c>
      <c r="Z580" s="19">
        <v>50</v>
      </c>
      <c r="AA580" s="19">
        <v>50</v>
      </c>
    </row>
    <row r="581" spans="1:27" x14ac:dyDescent="0.25">
      <c r="A581" s="19" t="s">
        <v>779</v>
      </c>
      <c r="B581" s="19" t="s">
        <v>745</v>
      </c>
      <c r="C581" s="19" t="s">
        <v>746</v>
      </c>
      <c r="D581" s="19">
        <v>1.25</v>
      </c>
      <c r="E581" s="19" t="s">
        <v>152</v>
      </c>
      <c r="F581" s="19" t="s">
        <v>153</v>
      </c>
      <c r="G581" s="19" t="s">
        <v>134</v>
      </c>
      <c r="H581" s="19" t="s">
        <v>146</v>
      </c>
      <c r="I581" s="19" t="s">
        <v>147</v>
      </c>
      <c r="J581" s="19">
        <v>6</v>
      </c>
      <c r="K581" s="19">
        <v>2.5000000000000001E-2</v>
      </c>
      <c r="L581" s="19" t="s">
        <v>35</v>
      </c>
      <c r="M581" s="19" t="s">
        <v>103</v>
      </c>
      <c r="N581" s="19">
        <v>50</v>
      </c>
      <c r="O581" s="19">
        <v>50</v>
      </c>
      <c r="P581" s="19">
        <v>0</v>
      </c>
      <c r="Q581" s="19">
        <v>0</v>
      </c>
      <c r="S581" s="19">
        <v>1</v>
      </c>
      <c r="T581" s="19">
        <v>1</v>
      </c>
      <c r="U581" s="19">
        <v>0</v>
      </c>
      <c r="V581" s="19" t="s">
        <v>41</v>
      </c>
      <c r="W581" s="19">
        <v>1</v>
      </c>
      <c r="Y581" s="19" t="s">
        <v>103</v>
      </c>
      <c r="Z581" s="19">
        <v>50</v>
      </c>
      <c r="AA581" s="19">
        <v>50</v>
      </c>
    </row>
    <row r="582" spans="1:27" x14ac:dyDescent="0.25">
      <c r="A582" s="19" t="s">
        <v>780</v>
      </c>
      <c r="B582" s="19" t="s">
        <v>745</v>
      </c>
      <c r="C582" s="19" t="s">
        <v>746</v>
      </c>
      <c r="D582" s="19">
        <v>1.25</v>
      </c>
      <c r="E582" s="19" t="s">
        <v>155</v>
      </c>
      <c r="F582" s="19" t="s">
        <v>156</v>
      </c>
      <c r="G582" s="19" t="s">
        <v>134</v>
      </c>
      <c r="H582" s="19" t="s">
        <v>146</v>
      </c>
      <c r="I582" s="19" t="s">
        <v>147</v>
      </c>
      <c r="J582" s="19">
        <v>7</v>
      </c>
      <c r="K582" s="19">
        <v>2.5000000000000001E-2</v>
      </c>
      <c r="L582" s="19" t="s">
        <v>35</v>
      </c>
      <c r="M582" s="19" t="s">
        <v>103</v>
      </c>
      <c r="N582" s="19">
        <v>50</v>
      </c>
      <c r="O582" s="19">
        <v>50</v>
      </c>
      <c r="P582" s="19">
        <v>0</v>
      </c>
      <c r="Q582" s="19">
        <v>0</v>
      </c>
      <c r="S582" s="19">
        <v>1</v>
      </c>
      <c r="T582" s="19">
        <v>1</v>
      </c>
      <c r="U582" s="19">
        <v>0</v>
      </c>
      <c r="V582" s="19" t="s">
        <v>41</v>
      </c>
      <c r="W582" s="19">
        <v>1</v>
      </c>
      <c r="Y582" s="19" t="s">
        <v>103</v>
      </c>
      <c r="Z582" s="19">
        <v>50</v>
      </c>
      <c r="AA582" s="19">
        <v>50</v>
      </c>
    </row>
    <row r="583" spans="1:27" x14ac:dyDescent="0.25">
      <c r="A583" s="19" t="s">
        <v>781</v>
      </c>
      <c r="B583" s="19" t="s">
        <v>745</v>
      </c>
      <c r="C583" s="19" t="s">
        <v>746</v>
      </c>
      <c r="D583" s="19">
        <v>0</v>
      </c>
      <c r="E583" s="19" t="s">
        <v>158</v>
      </c>
      <c r="F583" s="19" t="s">
        <v>159</v>
      </c>
      <c r="G583" s="19" t="s">
        <v>134</v>
      </c>
      <c r="H583" s="19" t="s">
        <v>146</v>
      </c>
      <c r="I583" s="19" t="s">
        <v>147</v>
      </c>
      <c r="J583" s="19">
        <v>8</v>
      </c>
      <c r="K583" s="19">
        <v>2.5000000000000001E-2</v>
      </c>
      <c r="L583" s="19" t="s">
        <v>35</v>
      </c>
      <c r="M583" s="19" t="s">
        <v>103</v>
      </c>
      <c r="N583" s="19">
        <v>0</v>
      </c>
      <c r="O583" s="19">
        <v>0</v>
      </c>
      <c r="P583" s="19">
        <v>0</v>
      </c>
      <c r="Q583" s="19">
        <v>0</v>
      </c>
      <c r="S583" s="19">
        <v>1</v>
      </c>
      <c r="T583" s="19">
        <v>1</v>
      </c>
      <c r="U583" s="19">
        <v>0</v>
      </c>
      <c r="V583" s="19" t="s">
        <v>36</v>
      </c>
      <c r="W583" s="19">
        <v>0</v>
      </c>
      <c r="Y583" s="19" t="s">
        <v>103</v>
      </c>
      <c r="Z583" s="19">
        <v>50</v>
      </c>
      <c r="AA583" s="19">
        <v>0</v>
      </c>
    </row>
    <row r="584" spans="1:27" x14ac:dyDescent="0.25">
      <c r="A584" s="19" t="s">
        <v>782</v>
      </c>
      <c r="B584" s="19" t="s">
        <v>745</v>
      </c>
      <c r="C584" s="19" t="s">
        <v>746</v>
      </c>
      <c r="D584" s="19">
        <v>2.2197779999999998</v>
      </c>
      <c r="E584" s="19" t="s">
        <v>161</v>
      </c>
      <c r="F584" s="19" t="s">
        <v>162</v>
      </c>
      <c r="G584" s="19" t="s">
        <v>163</v>
      </c>
      <c r="I584" s="19" t="s">
        <v>164</v>
      </c>
      <c r="J584" s="19">
        <v>1</v>
      </c>
      <c r="K584" s="19">
        <v>3.3300000000000003E-2</v>
      </c>
      <c r="L584" s="19" t="s">
        <v>35</v>
      </c>
      <c r="M584" s="19" t="s">
        <v>165</v>
      </c>
      <c r="N584" s="19">
        <v>66.66</v>
      </c>
      <c r="O584" s="19">
        <v>66.66</v>
      </c>
      <c r="P584" s="19">
        <v>0</v>
      </c>
      <c r="Q584" s="19">
        <v>0</v>
      </c>
      <c r="S584" s="19">
        <v>1</v>
      </c>
      <c r="T584" s="19">
        <v>1</v>
      </c>
      <c r="U584" s="19">
        <v>0</v>
      </c>
      <c r="W584" s="19">
        <v>0</v>
      </c>
      <c r="X584" s="19">
        <v>66.66</v>
      </c>
      <c r="Z584" s="19">
        <v>0</v>
      </c>
      <c r="AA584" s="19">
        <v>66.66</v>
      </c>
    </row>
    <row r="585" spans="1:27" x14ac:dyDescent="0.25">
      <c r="A585" s="19" t="s">
        <v>783</v>
      </c>
      <c r="B585" s="19" t="s">
        <v>745</v>
      </c>
      <c r="C585" s="19" t="s">
        <v>746</v>
      </c>
      <c r="D585" s="19">
        <v>0</v>
      </c>
      <c r="E585" s="19" t="s">
        <v>167</v>
      </c>
      <c r="F585" s="19" t="s">
        <v>168</v>
      </c>
      <c r="G585" s="19" t="s">
        <v>163</v>
      </c>
      <c r="I585" s="19" t="s">
        <v>164</v>
      </c>
      <c r="J585" s="19">
        <v>3</v>
      </c>
      <c r="K585" s="19">
        <v>3.3300000000000003E-2</v>
      </c>
      <c r="L585" s="19" t="s">
        <v>35</v>
      </c>
      <c r="M585" s="19" t="s">
        <v>165</v>
      </c>
      <c r="N585" s="19">
        <v>0</v>
      </c>
      <c r="O585" s="19">
        <v>0</v>
      </c>
      <c r="P585" s="19">
        <v>0</v>
      </c>
      <c r="Q585" s="19">
        <v>0</v>
      </c>
      <c r="S585" s="19">
        <v>1</v>
      </c>
      <c r="T585" s="19">
        <v>1</v>
      </c>
      <c r="U585" s="19">
        <v>0</v>
      </c>
      <c r="W585" s="19">
        <v>0</v>
      </c>
      <c r="X585" s="19">
        <v>0</v>
      </c>
      <c r="Z585" s="19">
        <v>0</v>
      </c>
      <c r="AA585" s="19">
        <v>0</v>
      </c>
    </row>
    <row r="586" spans="1:27" x14ac:dyDescent="0.25">
      <c r="A586" s="19" t="s">
        <v>784</v>
      </c>
      <c r="B586" s="19" t="s">
        <v>745</v>
      </c>
      <c r="C586" s="19" t="s">
        <v>746</v>
      </c>
      <c r="D586" s="19">
        <v>0</v>
      </c>
      <c r="E586" s="19" t="s">
        <v>170</v>
      </c>
      <c r="F586" s="19" t="s">
        <v>171</v>
      </c>
      <c r="G586" s="19" t="s">
        <v>163</v>
      </c>
      <c r="I586" s="19" t="s">
        <v>164</v>
      </c>
      <c r="J586" s="19">
        <v>2</v>
      </c>
      <c r="K586" s="19">
        <v>3.3300000000000003E-2</v>
      </c>
      <c r="L586" s="19" t="s">
        <v>35</v>
      </c>
      <c r="M586" s="19" t="s">
        <v>165</v>
      </c>
      <c r="N586" s="19">
        <v>0</v>
      </c>
      <c r="O586" s="19">
        <v>0</v>
      </c>
      <c r="P586" s="19">
        <v>0</v>
      </c>
      <c r="Q586" s="19">
        <v>0</v>
      </c>
      <c r="S586" s="19">
        <v>1</v>
      </c>
      <c r="T586" s="19">
        <v>1</v>
      </c>
      <c r="U586" s="19">
        <v>0</v>
      </c>
      <c r="W586" s="19">
        <v>0</v>
      </c>
      <c r="X586" s="19">
        <v>0</v>
      </c>
      <c r="Z586" s="19">
        <v>0</v>
      </c>
      <c r="AA586" s="19">
        <v>0</v>
      </c>
    </row>
    <row r="587" spans="1:27" x14ac:dyDescent="0.25">
      <c r="A587" s="19" t="s">
        <v>785</v>
      </c>
      <c r="B587" s="19" t="s">
        <v>786</v>
      </c>
      <c r="C587" s="19" t="s">
        <v>787</v>
      </c>
      <c r="D587" s="19">
        <v>0</v>
      </c>
      <c r="E587" s="19" t="s">
        <v>30</v>
      </c>
      <c r="F587" s="19" t="s">
        <v>31</v>
      </c>
      <c r="G587" s="19" t="s">
        <v>32</v>
      </c>
      <c r="H587" s="19" t="s">
        <v>33</v>
      </c>
      <c r="I587" s="19" t="s">
        <v>34</v>
      </c>
      <c r="J587" s="19">
        <v>17</v>
      </c>
      <c r="K587" s="19">
        <v>1.6299999999999999E-2</v>
      </c>
      <c r="L587" s="19" t="s">
        <v>35</v>
      </c>
      <c r="N587" s="19">
        <v>0</v>
      </c>
      <c r="O587" s="19">
        <v>0</v>
      </c>
      <c r="P587" s="19">
        <v>0</v>
      </c>
      <c r="Q587" s="19">
        <v>0</v>
      </c>
      <c r="S587" s="19">
        <v>1</v>
      </c>
      <c r="T587" s="19">
        <v>1</v>
      </c>
      <c r="U587" s="19">
        <v>0</v>
      </c>
      <c r="V587" s="19" t="s">
        <v>36</v>
      </c>
      <c r="W587" s="19">
        <v>0</v>
      </c>
      <c r="Z587" s="19">
        <v>0</v>
      </c>
      <c r="AA587" s="19">
        <v>0</v>
      </c>
    </row>
    <row r="588" spans="1:27" x14ac:dyDescent="0.25">
      <c r="A588" s="19" t="s">
        <v>788</v>
      </c>
      <c r="B588" s="19" t="s">
        <v>786</v>
      </c>
      <c r="C588" s="19" t="s">
        <v>787</v>
      </c>
      <c r="D588" s="19">
        <v>0.54327899999999996</v>
      </c>
      <c r="E588" s="19" t="s">
        <v>38</v>
      </c>
      <c r="F588" s="19" t="s">
        <v>39</v>
      </c>
      <c r="G588" s="19" t="s">
        <v>32</v>
      </c>
      <c r="H588" s="19" t="s">
        <v>33</v>
      </c>
      <c r="I588" s="19" t="s">
        <v>34</v>
      </c>
      <c r="J588" s="19">
        <v>19</v>
      </c>
      <c r="K588" s="19">
        <v>1.6299999999999999E-2</v>
      </c>
      <c r="L588" s="19" t="s">
        <v>35</v>
      </c>
      <c r="M588" s="19" t="s">
        <v>40</v>
      </c>
      <c r="N588" s="19">
        <v>33.33</v>
      </c>
      <c r="O588" s="19">
        <v>33.33</v>
      </c>
      <c r="P588" s="19">
        <v>0</v>
      </c>
      <c r="Q588" s="19">
        <v>0</v>
      </c>
      <c r="S588" s="19">
        <v>1</v>
      </c>
      <c r="T588" s="19">
        <v>1</v>
      </c>
      <c r="U588" s="19">
        <v>0</v>
      </c>
      <c r="V588" s="19" t="s">
        <v>41</v>
      </c>
      <c r="W588" s="19">
        <v>1</v>
      </c>
      <c r="Y588" s="19" t="s">
        <v>40</v>
      </c>
      <c r="Z588" s="19">
        <v>33.33</v>
      </c>
      <c r="AA588" s="19">
        <v>33.33</v>
      </c>
    </row>
    <row r="589" spans="1:27" x14ac:dyDescent="0.25">
      <c r="A589" s="19" t="s">
        <v>789</v>
      </c>
      <c r="B589" s="19" t="s">
        <v>786</v>
      </c>
      <c r="C589" s="19" t="s">
        <v>787</v>
      </c>
      <c r="D589" s="19">
        <v>0</v>
      </c>
      <c r="E589" s="19" t="s">
        <v>43</v>
      </c>
      <c r="F589" s="19" t="s">
        <v>44</v>
      </c>
      <c r="G589" s="19" t="s">
        <v>32</v>
      </c>
      <c r="H589" s="19" t="s">
        <v>33</v>
      </c>
      <c r="I589" s="19" t="s">
        <v>34</v>
      </c>
      <c r="J589" s="19">
        <v>18</v>
      </c>
      <c r="K589" s="19">
        <v>1.6299999999999999E-2</v>
      </c>
      <c r="L589" s="19" t="s">
        <v>35</v>
      </c>
      <c r="M589" s="19" t="s">
        <v>40</v>
      </c>
      <c r="N589" s="19">
        <v>0</v>
      </c>
      <c r="O589" s="19">
        <v>0</v>
      </c>
      <c r="P589" s="19">
        <v>0</v>
      </c>
      <c r="Q589" s="19">
        <v>0</v>
      </c>
      <c r="S589" s="19">
        <v>1</v>
      </c>
      <c r="T589" s="19">
        <v>1</v>
      </c>
      <c r="U589" s="19">
        <v>0</v>
      </c>
      <c r="V589" s="19" t="s">
        <v>80</v>
      </c>
      <c r="W589" s="19">
        <v>0</v>
      </c>
      <c r="Y589" s="19" t="s">
        <v>40</v>
      </c>
      <c r="Z589" s="19">
        <v>33.33</v>
      </c>
      <c r="AA589" s="19">
        <v>0</v>
      </c>
    </row>
    <row r="590" spans="1:27" x14ac:dyDescent="0.25">
      <c r="A590" s="19" t="s">
        <v>790</v>
      </c>
      <c r="B590" s="19" t="s">
        <v>786</v>
      </c>
      <c r="C590" s="19" t="s">
        <v>787</v>
      </c>
      <c r="D590" s="19">
        <v>0.54327899999999996</v>
      </c>
      <c r="E590" s="19" t="s">
        <v>46</v>
      </c>
      <c r="F590" s="19" t="s">
        <v>47</v>
      </c>
      <c r="G590" s="19" t="s">
        <v>32</v>
      </c>
      <c r="H590" s="19" t="s">
        <v>33</v>
      </c>
      <c r="I590" s="19" t="s">
        <v>34</v>
      </c>
      <c r="J590" s="19">
        <v>15</v>
      </c>
      <c r="K590" s="19">
        <v>1.6299999999999999E-2</v>
      </c>
      <c r="L590" s="19" t="s">
        <v>35</v>
      </c>
      <c r="M590" s="19" t="s">
        <v>40</v>
      </c>
      <c r="N590" s="19">
        <v>33.33</v>
      </c>
      <c r="O590" s="19">
        <v>33.33</v>
      </c>
      <c r="P590" s="19">
        <v>0</v>
      </c>
      <c r="Q590" s="19">
        <v>0</v>
      </c>
      <c r="S590" s="19">
        <v>1</v>
      </c>
      <c r="T590" s="19">
        <v>1</v>
      </c>
      <c r="U590" s="19">
        <v>0</v>
      </c>
      <c r="V590" s="19" t="s">
        <v>41</v>
      </c>
      <c r="W590" s="19">
        <v>1</v>
      </c>
      <c r="Y590" s="19" t="s">
        <v>40</v>
      </c>
      <c r="Z590" s="19">
        <v>33.33</v>
      </c>
      <c r="AA590" s="19">
        <v>33.33</v>
      </c>
    </row>
    <row r="591" spans="1:27" x14ac:dyDescent="0.25">
      <c r="A591" s="19" t="s">
        <v>791</v>
      </c>
      <c r="B591" s="19" t="s">
        <v>786</v>
      </c>
      <c r="C591" s="19" t="s">
        <v>787</v>
      </c>
      <c r="D591" s="19">
        <v>0.54327899999999996</v>
      </c>
      <c r="E591" s="19" t="s">
        <v>49</v>
      </c>
      <c r="F591" s="19" t="s">
        <v>50</v>
      </c>
      <c r="G591" s="19" t="s">
        <v>32</v>
      </c>
      <c r="H591" s="19" t="s">
        <v>33</v>
      </c>
      <c r="I591" s="19" t="s">
        <v>34</v>
      </c>
      <c r="J591" s="19">
        <v>12</v>
      </c>
      <c r="K591" s="19">
        <v>1.6299999999999999E-2</v>
      </c>
      <c r="L591" s="19" t="s">
        <v>35</v>
      </c>
      <c r="M591" s="19" t="s">
        <v>40</v>
      </c>
      <c r="N591" s="19">
        <v>33.33</v>
      </c>
      <c r="O591" s="19">
        <v>33.33</v>
      </c>
      <c r="P591" s="19">
        <v>0</v>
      </c>
      <c r="Q591" s="19">
        <v>0</v>
      </c>
      <c r="S591" s="19">
        <v>1</v>
      </c>
      <c r="T591" s="19">
        <v>1</v>
      </c>
      <c r="U591" s="19">
        <v>0</v>
      </c>
      <c r="V591" s="19" t="s">
        <v>41</v>
      </c>
      <c r="W591" s="19">
        <v>1</v>
      </c>
      <c r="Y591" s="19" t="s">
        <v>40</v>
      </c>
      <c r="Z591" s="19">
        <v>33.33</v>
      </c>
      <c r="AA591" s="19">
        <v>33.33</v>
      </c>
    </row>
    <row r="592" spans="1:27" x14ac:dyDescent="0.25">
      <c r="A592" s="19" t="s">
        <v>792</v>
      </c>
      <c r="B592" s="19" t="s">
        <v>786</v>
      </c>
      <c r="C592" s="19" t="s">
        <v>787</v>
      </c>
      <c r="D592" s="19">
        <v>0.54327899999999996</v>
      </c>
      <c r="E592" s="19" t="s">
        <v>52</v>
      </c>
      <c r="F592" s="19" t="s">
        <v>53</v>
      </c>
      <c r="G592" s="19" t="s">
        <v>32</v>
      </c>
      <c r="H592" s="19" t="s">
        <v>33</v>
      </c>
      <c r="I592" s="19" t="s">
        <v>34</v>
      </c>
      <c r="J592" s="19">
        <v>16</v>
      </c>
      <c r="K592" s="19">
        <v>1.6299999999999999E-2</v>
      </c>
      <c r="L592" s="19" t="s">
        <v>35</v>
      </c>
      <c r="M592" s="19" t="s">
        <v>40</v>
      </c>
      <c r="N592" s="19">
        <v>33.33</v>
      </c>
      <c r="O592" s="19">
        <v>33.33</v>
      </c>
      <c r="P592" s="19">
        <v>0</v>
      </c>
      <c r="Q592" s="19">
        <v>0</v>
      </c>
      <c r="S592" s="19">
        <v>1</v>
      </c>
      <c r="T592" s="19">
        <v>1</v>
      </c>
      <c r="U592" s="19">
        <v>0</v>
      </c>
      <c r="V592" s="19" t="s">
        <v>41</v>
      </c>
      <c r="W592" s="19">
        <v>1</v>
      </c>
      <c r="Y592" s="19" t="s">
        <v>40</v>
      </c>
      <c r="Z592" s="19">
        <v>33.33</v>
      </c>
      <c r="AA592" s="19">
        <v>33.33</v>
      </c>
    </row>
    <row r="593" spans="1:27" x14ac:dyDescent="0.25">
      <c r="A593" s="19" t="s">
        <v>793</v>
      </c>
      <c r="B593" s="19" t="s">
        <v>786</v>
      </c>
      <c r="C593" s="19" t="s">
        <v>787</v>
      </c>
      <c r="D593" s="19">
        <v>0.54327899999999996</v>
      </c>
      <c r="E593" s="19" t="s">
        <v>55</v>
      </c>
      <c r="F593" s="19" t="s">
        <v>56</v>
      </c>
      <c r="G593" s="19" t="s">
        <v>32</v>
      </c>
      <c r="H593" s="19" t="s">
        <v>33</v>
      </c>
      <c r="I593" s="19" t="s">
        <v>34</v>
      </c>
      <c r="J593" s="19">
        <v>14</v>
      </c>
      <c r="K593" s="19">
        <v>1.6299999999999999E-2</v>
      </c>
      <c r="L593" s="19" t="s">
        <v>35</v>
      </c>
      <c r="M593" s="19" t="s">
        <v>40</v>
      </c>
      <c r="N593" s="19">
        <v>33.33</v>
      </c>
      <c r="O593" s="19">
        <v>33.33</v>
      </c>
      <c r="P593" s="19">
        <v>0</v>
      </c>
      <c r="Q593" s="19">
        <v>0</v>
      </c>
      <c r="S593" s="19">
        <v>1</v>
      </c>
      <c r="T593" s="19">
        <v>1</v>
      </c>
      <c r="U593" s="19">
        <v>0</v>
      </c>
      <c r="V593" s="19" t="s">
        <v>41</v>
      </c>
      <c r="W593" s="19">
        <v>1</v>
      </c>
      <c r="Y593" s="19" t="s">
        <v>40</v>
      </c>
      <c r="Z593" s="19">
        <v>33.33</v>
      </c>
      <c r="AA593" s="19">
        <v>33.33</v>
      </c>
    </row>
    <row r="594" spans="1:27" x14ac:dyDescent="0.25">
      <c r="A594" s="19" t="s">
        <v>794</v>
      </c>
      <c r="B594" s="19" t="s">
        <v>786</v>
      </c>
      <c r="C594" s="19" t="s">
        <v>787</v>
      </c>
      <c r="D594" s="19">
        <v>0.54327899999999996</v>
      </c>
      <c r="E594" s="19" t="s">
        <v>58</v>
      </c>
      <c r="F594" s="19" t="s">
        <v>59</v>
      </c>
      <c r="G594" s="19" t="s">
        <v>32</v>
      </c>
      <c r="H594" s="19" t="s">
        <v>33</v>
      </c>
      <c r="I594" s="19" t="s">
        <v>34</v>
      </c>
      <c r="J594" s="19">
        <v>13</v>
      </c>
      <c r="K594" s="19">
        <v>1.6299999999999999E-2</v>
      </c>
      <c r="L594" s="19" t="s">
        <v>35</v>
      </c>
      <c r="M594" s="19" t="s">
        <v>40</v>
      </c>
      <c r="N594" s="19">
        <v>33.33</v>
      </c>
      <c r="O594" s="19">
        <v>33.33</v>
      </c>
      <c r="P594" s="19">
        <v>0</v>
      </c>
      <c r="Q594" s="19">
        <v>0</v>
      </c>
      <c r="S594" s="19">
        <v>1</v>
      </c>
      <c r="T594" s="19">
        <v>1</v>
      </c>
      <c r="U594" s="19">
        <v>0</v>
      </c>
      <c r="V594" s="19" t="s">
        <v>41</v>
      </c>
      <c r="W594" s="19">
        <v>1</v>
      </c>
      <c r="Y594" s="19" t="s">
        <v>40</v>
      </c>
      <c r="Z594" s="19">
        <v>33.33</v>
      </c>
      <c r="AA594" s="19">
        <v>33.33</v>
      </c>
    </row>
    <row r="595" spans="1:27" x14ac:dyDescent="0.25">
      <c r="A595" s="19" t="s">
        <v>795</v>
      </c>
      <c r="B595" s="19" t="s">
        <v>786</v>
      </c>
      <c r="C595" s="19" t="s">
        <v>787</v>
      </c>
      <c r="D595" s="19">
        <v>0</v>
      </c>
      <c r="E595" s="19" t="s">
        <v>61</v>
      </c>
      <c r="F595" s="19" t="s">
        <v>62</v>
      </c>
      <c r="G595" s="19" t="s">
        <v>32</v>
      </c>
      <c r="H595" s="19" t="s">
        <v>63</v>
      </c>
      <c r="I595" s="19" t="s">
        <v>64</v>
      </c>
      <c r="J595" s="19">
        <v>22</v>
      </c>
      <c r="K595" s="19">
        <v>1.8599999999999998E-2</v>
      </c>
      <c r="L595" s="19" t="s">
        <v>35</v>
      </c>
      <c r="M595" s="19" t="s">
        <v>110</v>
      </c>
      <c r="N595" s="19">
        <v>0</v>
      </c>
      <c r="O595" s="19">
        <v>0</v>
      </c>
      <c r="P595" s="19">
        <v>0</v>
      </c>
      <c r="Q595" s="19">
        <v>0</v>
      </c>
      <c r="S595" s="19">
        <v>1</v>
      </c>
      <c r="T595" s="19">
        <v>1</v>
      </c>
      <c r="U595" s="19">
        <v>0</v>
      </c>
      <c r="V595" s="19" t="s">
        <v>80</v>
      </c>
      <c r="W595" s="19">
        <v>0</v>
      </c>
      <c r="Y595" s="19" t="s">
        <v>110</v>
      </c>
      <c r="Z595" s="19">
        <v>16.664999999999999</v>
      </c>
      <c r="AA595" s="19">
        <v>0</v>
      </c>
    </row>
    <row r="596" spans="1:27" x14ac:dyDescent="0.25">
      <c r="A596" s="19" t="s">
        <v>796</v>
      </c>
      <c r="B596" s="19" t="s">
        <v>786</v>
      </c>
      <c r="C596" s="19" t="s">
        <v>787</v>
      </c>
      <c r="D596" s="19">
        <v>0</v>
      </c>
      <c r="E596" s="19" t="s">
        <v>66</v>
      </c>
      <c r="F596" s="19" t="s">
        <v>67</v>
      </c>
      <c r="G596" s="19" t="s">
        <v>32</v>
      </c>
      <c r="H596" s="19" t="s">
        <v>63</v>
      </c>
      <c r="I596" s="19" t="s">
        <v>64</v>
      </c>
      <c r="J596" s="19">
        <v>20</v>
      </c>
      <c r="K596" s="19">
        <v>1.8599999999999998E-2</v>
      </c>
      <c r="L596" s="19" t="s">
        <v>35</v>
      </c>
      <c r="N596" s="19">
        <v>0</v>
      </c>
      <c r="O596" s="19">
        <v>0</v>
      </c>
      <c r="P596" s="19">
        <v>0</v>
      </c>
      <c r="Q596" s="19">
        <v>0</v>
      </c>
      <c r="S596" s="19">
        <v>1</v>
      </c>
      <c r="T596" s="19">
        <v>1</v>
      </c>
      <c r="U596" s="19">
        <v>0</v>
      </c>
      <c r="V596" s="19" t="s">
        <v>36</v>
      </c>
      <c r="W596" s="19">
        <v>0</v>
      </c>
      <c r="Z596" s="19">
        <v>0</v>
      </c>
      <c r="AA596" s="19">
        <v>0</v>
      </c>
    </row>
    <row r="597" spans="1:27" x14ac:dyDescent="0.25">
      <c r="A597" s="19" t="s">
        <v>797</v>
      </c>
      <c r="B597" s="19" t="s">
        <v>786</v>
      </c>
      <c r="C597" s="19" t="s">
        <v>787</v>
      </c>
      <c r="D597" s="19">
        <v>0.61993799999999899</v>
      </c>
      <c r="E597" s="19" t="s">
        <v>69</v>
      </c>
      <c r="F597" s="19" t="s">
        <v>70</v>
      </c>
      <c r="G597" s="19" t="s">
        <v>32</v>
      </c>
      <c r="H597" s="19" t="s">
        <v>63</v>
      </c>
      <c r="I597" s="19" t="s">
        <v>64</v>
      </c>
      <c r="J597" s="19">
        <v>23</v>
      </c>
      <c r="K597" s="19">
        <v>1.8599999999999998E-2</v>
      </c>
      <c r="L597" s="19" t="s">
        <v>35</v>
      </c>
      <c r="M597" s="19" t="s">
        <v>40</v>
      </c>
      <c r="N597" s="19">
        <v>33.33</v>
      </c>
      <c r="O597" s="19">
        <v>33.33</v>
      </c>
      <c r="P597" s="19">
        <v>0</v>
      </c>
      <c r="Q597" s="19">
        <v>0</v>
      </c>
      <c r="S597" s="19">
        <v>1</v>
      </c>
      <c r="T597" s="19">
        <v>1</v>
      </c>
      <c r="U597" s="19">
        <v>0</v>
      </c>
      <c r="V597" s="19" t="s">
        <v>41</v>
      </c>
      <c r="W597" s="19">
        <v>1</v>
      </c>
      <c r="Y597" s="19" t="s">
        <v>40</v>
      </c>
      <c r="Z597" s="19">
        <v>33.33</v>
      </c>
      <c r="AA597" s="19">
        <v>33.33</v>
      </c>
    </row>
    <row r="598" spans="1:27" x14ac:dyDescent="0.25">
      <c r="A598" s="19" t="s">
        <v>798</v>
      </c>
      <c r="B598" s="19" t="s">
        <v>786</v>
      </c>
      <c r="C598" s="19" t="s">
        <v>787</v>
      </c>
      <c r="D598" s="19">
        <v>0</v>
      </c>
      <c r="E598" s="19" t="s">
        <v>72</v>
      </c>
      <c r="F598" s="19" t="s">
        <v>73</v>
      </c>
      <c r="G598" s="19" t="s">
        <v>32</v>
      </c>
      <c r="H598" s="19" t="s">
        <v>63</v>
      </c>
      <c r="I598" s="19" t="s">
        <v>64</v>
      </c>
      <c r="J598" s="19">
        <v>21</v>
      </c>
      <c r="K598" s="19">
        <v>1.8599999999999998E-2</v>
      </c>
      <c r="L598" s="19" t="s">
        <v>35</v>
      </c>
      <c r="M598" s="19" t="s">
        <v>110</v>
      </c>
      <c r="N598" s="19">
        <v>0</v>
      </c>
      <c r="O598" s="19">
        <v>0</v>
      </c>
      <c r="P598" s="19">
        <v>0</v>
      </c>
      <c r="Q598" s="19">
        <v>0</v>
      </c>
      <c r="S598" s="19">
        <v>1</v>
      </c>
      <c r="T598" s="19">
        <v>1</v>
      </c>
      <c r="U598" s="19">
        <v>0</v>
      </c>
      <c r="V598" s="19" t="s">
        <v>36</v>
      </c>
      <c r="W598" s="19">
        <v>0</v>
      </c>
      <c r="Y598" s="19" t="s">
        <v>110</v>
      </c>
      <c r="Z598" s="19">
        <v>16.664999999999999</v>
      </c>
      <c r="AA598" s="19">
        <v>0</v>
      </c>
    </row>
    <row r="599" spans="1:27" x14ac:dyDescent="0.25">
      <c r="A599" s="19" t="s">
        <v>799</v>
      </c>
      <c r="B599" s="19" t="s">
        <v>786</v>
      </c>
      <c r="C599" s="19" t="s">
        <v>787</v>
      </c>
      <c r="D599" s="19">
        <v>0.61993799999999899</v>
      </c>
      <c r="E599" s="19" t="s">
        <v>75</v>
      </c>
      <c r="F599" s="19" t="s">
        <v>76</v>
      </c>
      <c r="G599" s="19" t="s">
        <v>32</v>
      </c>
      <c r="H599" s="19" t="s">
        <v>63</v>
      </c>
      <c r="I599" s="19" t="s">
        <v>64</v>
      </c>
      <c r="J599" s="19">
        <v>24</v>
      </c>
      <c r="K599" s="19">
        <v>1.8599999999999998E-2</v>
      </c>
      <c r="L599" s="19" t="s">
        <v>35</v>
      </c>
      <c r="M599" s="19" t="s">
        <v>40</v>
      </c>
      <c r="N599" s="19">
        <v>33.33</v>
      </c>
      <c r="O599" s="19">
        <v>33.33</v>
      </c>
      <c r="P599" s="19">
        <v>0</v>
      </c>
      <c r="Q599" s="19">
        <v>0</v>
      </c>
      <c r="S599" s="19">
        <v>1</v>
      </c>
      <c r="T599" s="19">
        <v>1</v>
      </c>
      <c r="U599" s="19">
        <v>0</v>
      </c>
      <c r="V599" s="19" t="s">
        <v>41</v>
      </c>
      <c r="W599" s="19">
        <v>1</v>
      </c>
      <c r="Y599" s="19" t="s">
        <v>40</v>
      </c>
      <c r="Z599" s="19">
        <v>33.33</v>
      </c>
      <c r="AA599" s="19">
        <v>33.33</v>
      </c>
    </row>
    <row r="600" spans="1:27" x14ac:dyDescent="0.25">
      <c r="A600" s="19" t="s">
        <v>800</v>
      </c>
      <c r="B600" s="19" t="s">
        <v>786</v>
      </c>
      <c r="C600" s="19" t="s">
        <v>787</v>
      </c>
      <c r="D600" s="19">
        <v>0.61993799999999899</v>
      </c>
      <c r="E600" s="19" t="s">
        <v>78</v>
      </c>
      <c r="F600" s="19" t="s">
        <v>79</v>
      </c>
      <c r="G600" s="19" t="s">
        <v>32</v>
      </c>
      <c r="H600" s="19" t="s">
        <v>63</v>
      </c>
      <c r="I600" s="19" t="s">
        <v>64</v>
      </c>
      <c r="J600" s="19">
        <v>25</v>
      </c>
      <c r="K600" s="19">
        <v>1.8599999999999998E-2</v>
      </c>
      <c r="L600" s="19" t="s">
        <v>35</v>
      </c>
      <c r="M600" s="19" t="s">
        <v>40</v>
      </c>
      <c r="N600" s="19">
        <v>33.33</v>
      </c>
      <c r="O600" s="19">
        <v>33.33</v>
      </c>
      <c r="P600" s="19">
        <v>0</v>
      </c>
      <c r="Q600" s="19">
        <v>0</v>
      </c>
      <c r="S600" s="19">
        <v>1</v>
      </c>
      <c r="T600" s="19">
        <v>1</v>
      </c>
      <c r="U600" s="19">
        <v>0</v>
      </c>
      <c r="V600" s="19" t="s">
        <v>41</v>
      </c>
      <c r="W600" s="19">
        <v>1</v>
      </c>
      <c r="Y600" s="19" t="s">
        <v>40</v>
      </c>
      <c r="Z600" s="19">
        <v>33.33</v>
      </c>
      <c r="AA600" s="19">
        <v>33.33</v>
      </c>
    </row>
    <row r="601" spans="1:27" x14ac:dyDescent="0.25">
      <c r="A601" s="19" t="s">
        <v>801</v>
      </c>
      <c r="B601" s="19" t="s">
        <v>786</v>
      </c>
      <c r="C601" s="19" t="s">
        <v>787</v>
      </c>
      <c r="D601" s="19">
        <v>0</v>
      </c>
      <c r="E601" s="19" t="s">
        <v>82</v>
      </c>
      <c r="F601" s="19" t="s">
        <v>83</v>
      </c>
      <c r="G601" s="19" t="s">
        <v>32</v>
      </c>
      <c r="H601" s="19" t="s">
        <v>63</v>
      </c>
      <c r="I601" s="19" t="s">
        <v>64</v>
      </c>
      <c r="J601" s="19">
        <v>26</v>
      </c>
      <c r="K601" s="19">
        <v>1.8599999999999998E-2</v>
      </c>
      <c r="L601" s="19" t="s">
        <v>35</v>
      </c>
      <c r="N601" s="19">
        <v>0</v>
      </c>
      <c r="O601" s="19">
        <v>0</v>
      </c>
      <c r="P601" s="19">
        <v>0</v>
      </c>
      <c r="Q601" s="19">
        <v>0</v>
      </c>
      <c r="S601" s="19">
        <v>1</v>
      </c>
      <c r="T601" s="19">
        <v>1</v>
      </c>
      <c r="U601" s="19">
        <v>0</v>
      </c>
      <c r="V601" s="19" t="s">
        <v>36</v>
      </c>
      <c r="W601" s="19">
        <v>0</v>
      </c>
      <c r="Z601" s="19">
        <v>0</v>
      </c>
      <c r="AA601" s="19">
        <v>0</v>
      </c>
    </row>
    <row r="602" spans="1:27" x14ac:dyDescent="0.25">
      <c r="A602" s="19" t="s">
        <v>802</v>
      </c>
      <c r="B602" s="19" t="s">
        <v>786</v>
      </c>
      <c r="C602" s="19" t="s">
        <v>787</v>
      </c>
      <c r="D602" s="19">
        <v>0</v>
      </c>
      <c r="E602" s="19" t="s">
        <v>85</v>
      </c>
      <c r="F602" s="19" t="s">
        <v>86</v>
      </c>
      <c r="G602" s="19" t="s">
        <v>32</v>
      </c>
      <c r="H602" s="19" t="s">
        <v>87</v>
      </c>
      <c r="I602" s="19" t="s">
        <v>88</v>
      </c>
      <c r="J602" s="19">
        <v>35</v>
      </c>
      <c r="K602" s="19">
        <v>3.2500000000000001E-2</v>
      </c>
      <c r="L602" s="19" t="s">
        <v>35</v>
      </c>
      <c r="N602" s="19">
        <v>0</v>
      </c>
      <c r="O602" s="19">
        <v>0</v>
      </c>
      <c r="P602" s="19">
        <v>0</v>
      </c>
      <c r="Q602" s="19">
        <v>0</v>
      </c>
      <c r="S602" s="19">
        <v>1</v>
      </c>
      <c r="T602" s="19">
        <v>1</v>
      </c>
      <c r="U602" s="19">
        <v>0</v>
      </c>
      <c r="V602" s="19" t="s">
        <v>36</v>
      </c>
      <c r="W602" s="19">
        <v>0</v>
      </c>
      <c r="Z602" s="19">
        <v>0</v>
      </c>
      <c r="AA602" s="19">
        <v>0</v>
      </c>
    </row>
    <row r="603" spans="1:27" x14ac:dyDescent="0.25">
      <c r="A603" s="19" t="s">
        <v>803</v>
      </c>
      <c r="B603" s="19" t="s">
        <v>786</v>
      </c>
      <c r="C603" s="19" t="s">
        <v>787</v>
      </c>
      <c r="D603" s="19">
        <v>0</v>
      </c>
      <c r="E603" s="19" t="s">
        <v>90</v>
      </c>
      <c r="F603" s="19" t="s">
        <v>91</v>
      </c>
      <c r="G603" s="19" t="s">
        <v>32</v>
      </c>
      <c r="H603" s="19" t="s">
        <v>87</v>
      </c>
      <c r="I603" s="19" t="s">
        <v>88</v>
      </c>
      <c r="J603" s="19">
        <v>33</v>
      </c>
      <c r="K603" s="19">
        <v>3.2500000000000001E-2</v>
      </c>
      <c r="L603" s="19" t="s">
        <v>35</v>
      </c>
      <c r="N603" s="19">
        <v>0</v>
      </c>
      <c r="O603" s="19">
        <v>0</v>
      </c>
      <c r="P603" s="19">
        <v>0</v>
      </c>
      <c r="Q603" s="19">
        <v>0</v>
      </c>
      <c r="S603" s="19">
        <v>1</v>
      </c>
      <c r="T603" s="19">
        <v>1</v>
      </c>
      <c r="U603" s="19">
        <v>0</v>
      </c>
      <c r="V603" s="19" t="s">
        <v>36</v>
      </c>
      <c r="W603" s="19">
        <v>0</v>
      </c>
      <c r="Z603" s="19">
        <v>0</v>
      </c>
      <c r="AA603" s="19">
        <v>0</v>
      </c>
    </row>
    <row r="604" spans="1:27" x14ac:dyDescent="0.25">
      <c r="A604" s="19" t="s">
        <v>804</v>
      </c>
      <c r="B604" s="19" t="s">
        <v>786</v>
      </c>
      <c r="C604" s="19" t="s">
        <v>787</v>
      </c>
      <c r="D604" s="19">
        <v>1.0832249999999899</v>
      </c>
      <c r="E604" s="19" t="s">
        <v>93</v>
      </c>
      <c r="F604" s="19" t="s">
        <v>94</v>
      </c>
      <c r="G604" s="19" t="s">
        <v>32</v>
      </c>
      <c r="H604" s="19" t="s">
        <v>87</v>
      </c>
      <c r="I604" s="19" t="s">
        <v>88</v>
      </c>
      <c r="J604" s="19">
        <v>34</v>
      </c>
      <c r="K604" s="19">
        <v>3.2500000000000001E-2</v>
      </c>
      <c r="L604" s="19" t="s">
        <v>35</v>
      </c>
      <c r="M604" s="19" t="s">
        <v>40</v>
      </c>
      <c r="N604" s="19">
        <v>33.33</v>
      </c>
      <c r="O604" s="19">
        <v>33.33</v>
      </c>
      <c r="P604" s="19">
        <v>0</v>
      </c>
      <c r="Q604" s="19">
        <v>0</v>
      </c>
      <c r="S604" s="19">
        <v>1</v>
      </c>
      <c r="T604" s="19">
        <v>1</v>
      </c>
      <c r="U604" s="19">
        <v>0</v>
      </c>
      <c r="V604" s="19" t="s">
        <v>41</v>
      </c>
      <c r="W604" s="19">
        <v>1</v>
      </c>
      <c r="Y604" s="19" t="s">
        <v>40</v>
      </c>
      <c r="Z604" s="19">
        <v>33.33</v>
      </c>
      <c r="AA604" s="19">
        <v>33.33</v>
      </c>
    </row>
    <row r="605" spans="1:27" x14ac:dyDescent="0.25">
      <c r="A605" s="19" t="s">
        <v>805</v>
      </c>
      <c r="B605" s="19" t="s">
        <v>786</v>
      </c>
      <c r="C605" s="19" t="s">
        <v>787</v>
      </c>
      <c r="D605" s="19">
        <v>0</v>
      </c>
      <c r="E605" s="19" t="s">
        <v>96</v>
      </c>
      <c r="F605" s="19" t="s">
        <v>97</v>
      </c>
      <c r="G605" s="19" t="s">
        <v>32</v>
      </c>
      <c r="H605" s="19" t="s">
        <v>87</v>
      </c>
      <c r="I605" s="19" t="s">
        <v>88</v>
      </c>
      <c r="J605" s="19">
        <v>36</v>
      </c>
      <c r="K605" s="19">
        <v>3.2500000000000001E-2</v>
      </c>
      <c r="L605" s="19" t="s">
        <v>35</v>
      </c>
      <c r="N605" s="19">
        <v>0</v>
      </c>
      <c r="O605" s="19">
        <v>0</v>
      </c>
      <c r="P605" s="19">
        <v>0</v>
      </c>
      <c r="Q605" s="19">
        <v>0</v>
      </c>
      <c r="S605" s="19">
        <v>1</v>
      </c>
      <c r="T605" s="19">
        <v>1</v>
      </c>
      <c r="U605" s="19">
        <v>0</v>
      </c>
      <c r="V605" s="19" t="s">
        <v>36</v>
      </c>
      <c r="W605" s="19">
        <v>0</v>
      </c>
      <c r="Z605" s="19">
        <v>0</v>
      </c>
      <c r="AA605" s="19">
        <v>0</v>
      </c>
    </row>
    <row r="606" spans="1:27" x14ac:dyDescent="0.25">
      <c r="A606" s="19" t="s">
        <v>806</v>
      </c>
      <c r="B606" s="19" t="s">
        <v>786</v>
      </c>
      <c r="C606" s="19" t="s">
        <v>787</v>
      </c>
      <c r="D606" s="19">
        <v>0</v>
      </c>
      <c r="E606" s="19" t="s">
        <v>99</v>
      </c>
      <c r="F606" s="19" t="s">
        <v>100</v>
      </c>
      <c r="G606" s="19" t="s">
        <v>32</v>
      </c>
      <c r="H606" s="19" t="s">
        <v>101</v>
      </c>
      <c r="I606" s="19" t="s">
        <v>102</v>
      </c>
      <c r="J606" s="19">
        <v>39</v>
      </c>
      <c r="K606" s="19">
        <v>4.3299999999999998E-2</v>
      </c>
      <c r="L606" s="19" t="s">
        <v>35</v>
      </c>
      <c r="M606" s="19" t="s">
        <v>103</v>
      </c>
      <c r="N606" s="19">
        <v>0</v>
      </c>
      <c r="O606" s="19">
        <v>0</v>
      </c>
      <c r="P606" s="19">
        <v>0</v>
      </c>
      <c r="Q606" s="19">
        <v>0</v>
      </c>
      <c r="S606" s="19">
        <v>1</v>
      </c>
      <c r="T606" s="19">
        <v>1</v>
      </c>
      <c r="U606" s="19">
        <v>0</v>
      </c>
      <c r="V606" s="19" t="s">
        <v>36</v>
      </c>
      <c r="W606" s="19">
        <v>0</v>
      </c>
      <c r="Y606" s="19" t="s">
        <v>103</v>
      </c>
      <c r="Z606" s="19">
        <v>50</v>
      </c>
      <c r="AA606" s="19">
        <v>0</v>
      </c>
    </row>
    <row r="607" spans="1:27" x14ac:dyDescent="0.25">
      <c r="A607" s="19" t="s">
        <v>807</v>
      </c>
      <c r="B607" s="19" t="s">
        <v>786</v>
      </c>
      <c r="C607" s="19" t="s">
        <v>787</v>
      </c>
      <c r="D607" s="19">
        <v>0</v>
      </c>
      <c r="E607" s="19" t="s">
        <v>105</v>
      </c>
      <c r="F607" s="19" t="s">
        <v>106</v>
      </c>
      <c r="G607" s="19" t="s">
        <v>32</v>
      </c>
      <c r="H607" s="19" t="s">
        <v>101</v>
      </c>
      <c r="I607" s="19" t="s">
        <v>102</v>
      </c>
      <c r="J607" s="19">
        <v>38</v>
      </c>
      <c r="K607" s="19">
        <v>4.3299999999999998E-2</v>
      </c>
      <c r="L607" s="19" t="s">
        <v>35</v>
      </c>
      <c r="M607" s="19" t="s">
        <v>103</v>
      </c>
      <c r="N607" s="19">
        <v>0</v>
      </c>
      <c r="O607" s="19">
        <v>0</v>
      </c>
      <c r="P607" s="19">
        <v>0</v>
      </c>
      <c r="Q607" s="19">
        <v>0</v>
      </c>
      <c r="S607" s="19">
        <v>1</v>
      </c>
      <c r="T607" s="19">
        <v>1</v>
      </c>
      <c r="U607" s="19">
        <v>0</v>
      </c>
      <c r="V607" s="19" t="s">
        <v>80</v>
      </c>
      <c r="W607" s="19">
        <v>0</v>
      </c>
      <c r="Y607" s="19" t="s">
        <v>103</v>
      </c>
      <c r="Z607" s="19">
        <v>50</v>
      </c>
      <c r="AA607" s="19">
        <v>0</v>
      </c>
    </row>
    <row r="608" spans="1:27" x14ac:dyDescent="0.25">
      <c r="A608" s="19" t="s">
        <v>808</v>
      </c>
      <c r="B608" s="19" t="s">
        <v>786</v>
      </c>
      <c r="C608" s="19" t="s">
        <v>787</v>
      </c>
      <c r="D608" s="19">
        <v>0</v>
      </c>
      <c r="E608" s="19" t="s">
        <v>108</v>
      </c>
      <c r="F608" s="19" t="s">
        <v>109</v>
      </c>
      <c r="G608" s="19" t="s">
        <v>32</v>
      </c>
      <c r="H608" s="19" t="s">
        <v>101</v>
      </c>
      <c r="I608" s="19" t="s">
        <v>102</v>
      </c>
      <c r="J608" s="19">
        <v>37</v>
      </c>
      <c r="K608" s="19">
        <v>4.3299999999999998E-2</v>
      </c>
      <c r="L608" s="19" t="s">
        <v>35</v>
      </c>
      <c r="M608" s="19" t="s">
        <v>110</v>
      </c>
      <c r="N608" s="19">
        <v>0</v>
      </c>
      <c r="O608" s="19">
        <v>0</v>
      </c>
      <c r="P608" s="19">
        <v>0</v>
      </c>
      <c r="Q608" s="19">
        <v>0</v>
      </c>
      <c r="S608" s="19">
        <v>1</v>
      </c>
      <c r="T608" s="19">
        <v>1</v>
      </c>
      <c r="U608" s="19">
        <v>0</v>
      </c>
      <c r="V608" s="19" t="s">
        <v>80</v>
      </c>
      <c r="W608" s="19">
        <v>0</v>
      </c>
      <c r="Y608" s="19" t="s">
        <v>110</v>
      </c>
      <c r="Z608" s="19">
        <v>16.664999999999999</v>
      </c>
      <c r="AA608" s="19">
        <v>0</v>
      </c>
    </row>
    <row r="609" spans="1:27" x14ac:dyDescent="0.25">
      <c r="A609" s="19" t="s">
        <v>809</v>
      </c>
      <c r="B609" s="19" t="s">
        <v>786</v>
      </c>
      <c r="C609" s="19" t="s">
        <v>787</v>
      </c>
      <c r="D609" s="19">
        <v>0</v>
      </c>
      <c r="E609" s="19" t="s">
        <v>112</v>
      </c>
      <c r="F609" s="19" t="s">
        <v>113</v>
      </c>
      <c r="G609" s="19" t="s">
        <v>32</v>
      </c>
      <c r="H609" s="19" t="s">
        <v>114</v>
      </c>
      <c r="I609" s="19" t="s">
        <v>115</v>
      </c>
      <c r="J609" s="19">
        <v>30</v>
      </c>
      <c r="K609" s="19">
        <v>2.1700000000000001E-2</v>
      </c>
      <c r="L609" s="19" t="s">
        <v>35</v>
      </c>
      <c r="M609" s="19" t="s">
        <v>103</v>
      </c>
      <c r="N609" s="19">
        <v>0</v>
      </c>
      <c r="O609" s="19">
        <v>0</v>
      </c>
      <c r="P609" s="19">
        <v>0</v>
      </c>
      <c r="Q609" s="19">
        <v>0</v>
      </c>
      <c r="S609" s="19">
        <v>1</v>
      </c>
      <c r="T609" s="19">
        <v>1</v>
      </c>
      <c r="U609" s="19">
        <v>0</v>
      </c>
      <c r="V609" s="19" t="s">
        <v>80</v>
      </c>
      <c r="W609" s="19">
        <v>0</v>
      </c>
      <c r="Y609" s="19" t="s">
        <v>103</v>
      </c>
      <c r="Z609" s="19">
        <v>50</v>
      </c>
      <c r="AA609" s="19">
        <v>0</v>
      </c>
    </row>
    <row r="610" spans="1:27" x14ac:dyDescent="0.25">
      <c r="A610" s="19" t="s">
        <v>810</v>
      </c>
      <c r="B610" s="19" t="s">
        <v>786</v>
      </c>
      <c r="C610" s="19" t="s">
        <v>787</v>
      </c>
      <c r="D610" s="19">
        <v>1.085</v>
      </c>
      <c r="E610" s="19" t="s">
        <v>117</v>
      </c>
      <c r="F610" s="19" t="s">
        <v>118</v>
      </c>
      <c r="G610" s="19" t="s">
        <v>32</v>
      </c>
      <c r="H610" s="19" t="s">
        <v>114</v>
      </c>
      <c r="I610" s="19" t="s">
        <v>115</v>
      </c>
      <c r="J610" s="19">
        <v>31</v>
      </c>
      <c r="K610" s="19">
        <v>2.1700000000000001E-2</v>
      </c>
      <c r="L610" s="19" t="s">
        <v>35</v>
      </c>
      <c r="M610" s="19" t="s">
        <v>103</v>
      </c>
      <c r="N610" s="19">
        <v>50</v>
      </c>
      <c r="O610" s="19">
        <v>50</v>
      </c>
      <c r="P610" s="19">
        <v>0</v>
      </c>
      <c r="Q610" s="19">
        <v>0</v>
      </c>
      <c r="S610" s="19">
        <v>1</v>
      </c>
      <c r="T610" s="19">
        <v>1</v>
      </c>
      <c r="U610" s="19">
        <v>0</v>
      </c>
      <c r="V610" s="19" t="s">
        <v>41</v>
      </c>
      <c r="W610" s="19">
        <v>1</v>
      </c>
      <c r="Y610" s="19" t="s">
        <v>103</v>
      </c>
      <c r="Z610" s="19">
        <v>50</v>
      </c>
      <c r="AA610" s="19">
        <v>50</v>
      </c>
    </row>
    <row r="611" spans="1:27" x14ac:dyDescent="0.25">
      <c r="A611" s="19" t="s">
        <v>811</v>
      </c>
      <c r="B611" s="19" t="s">
        <v>786</v>
      </c>
      <c r="C611" s="19" t="s">
        <v>787</v>
      </c>
      <c r="D611" s="19">
        <v>1.085</v>
      </c>
      <c r="E611" s="19" t="s">
        <v>120</v>
      </c>
      <c r="F611" s="19" t="s">
        <v>121</v>
      </c>
      <c r="G611" s="19" t="s">
        <v>32</v>
      </c>
      <c r="H611" s="19" t="s">
        <v>114</v>
      </c>
      <c r="I611" s="19" t="s">
        <v>115</v>
      </c>
      <c r="J611" s="19">
        <v>28</v>
      </c>
      <c r="K611" s="19">
        <v>2.1700000000000001E-2</v>
      </c>
      <c r="L611" s="19" t="s">
        <v>35</v>
      </c>
      <c r="M611" s="19" t="s">
        <v>103</v>
      </c>
      <c r="N611" s="19">
        <v>50</v>
      </c>
      <c r="O611" s="19">
        <v>50</v>
      </c>
      <c r="P611" s="19">
        <v>0</v>
      </c>
      <c r="Q611" s="19">
        <v>0</v>
      </c>
      <c r="S611" s="19">
        <v>1</v>
      </c>
      <c r="T611" s="19">
        <v>1</v>
      </c>
      <c r="U611" s="19">
        <v>0</v>
      </c>
      <c r="V611" s="19" t="s">
        <v>41</v>
      </c>
      <c r="W611" s="19">
        <v>1</v>
      </c>
      <c r="Y611" s="19" t="s">
        <v>103</v>
      </c>
      <c r="Z611" s="19">
        <v>50</v>
      </c>
      <c r="AA611" s="19">
        <v>50</v>
      </c>
    </row>
    <row r="612" spans="1:27" x14ac:dyDescent="0.25">
      <c r="A612" s="19" t="s">
        <v>812</v>
      </c>
      <c r="B612" s="19" t="s">
        <v>786</v>
      </c>
      <c r="C612" s="19" t="s">
        <v>787</v>
      </c>
      <c r="D612" s="19">
        <v>0</v>
      </c>
      <c r="E612" s="19" t="s">
        <v>123</v>
      </c>
      <c r="F612" s="19" t="s">
        <v>124</v>
      </c>
      <c r="G612" s="19" t="s">
        <v>32</v>
      </c>
      <c r="H612" s="19" t="s">
        <v>114</v>
      </c>
      <c r="I612" s="19" t="s">
        <v>115</v>
      </c>
      <c r="J612" s="19">
        <v>27</v>
      </c>
      <c r="K612" s="19">
        <v>2.1700000000000001E-2</v>
      </c>
      <c r="L612" s="19" t="s">
        <v>35</v>
      </c>
      <c r="M612" s="19" t="s">
        <v>103</v>
      </c>
      <c r="N612" s="19">
        <v>0</v>
      </c>
      <c r="O612" s="19">
        <v>0</v>
      </c>
      <c r="P612" s="19">
        <v>0</v>
      </c>
      <c r="Q612" s="19">
        <v>0</v>
      </c>
      <c r="S612" s="19">
        <v>1</v>
      </c>
      <c r="T612" s="19">
        <v>1</v>
      </c>
      <c r="U612" s="19">
        <v>0</v>
      </c>
      <c r="V612" s="19" t="s">
        <v>80</v>
      </c>
      <c r="W612" s="19">
        <v>0</v>
      </c>
      <c r="Y612" s="19" t="s">
        <v>103</v>
      </c>
      <c r="Z612" s="19">
        <v>50</v>
      </c>
      <c r="AA612" s="19">
        <v>0</v>
      </c>
    </row>
    <row r="613" spans="1:27" x14ac:dyDescent="0.25">
      <c r="A613" s="19" t="s">
        <v>813</v>
      </c>
      <c r="B613" s="19" t="s">
        <v>786</v>
      </c>
      <c r="C613" s="19" t="s">
        <v>787</v>
      </c>
      <c r="D613" s="19">
        <v>1.085</v>
      </c>
      <c r="E613" s="19" t="s">
        <v>126</v>
      </c>
      <c r="F613" s="19" t="s">
        <v>127</v>
      </c>
      <c r="G613" s="19" t="s">
        <v>32</v>
      </c>
      <c r="H613" s="19" t="s">
        <v>114</v>
      </c>
      <c r="I613" s="19" t="s">
        <v>115</v>
      </c>
      <c r="J613" s="19">
        <v>29</v>
      </c>
      <c r="K613" s="19">
        <v>2.1700000000000001E-2</v>
      </c>
      <c r="L613" s="19" t="s">
        <v>35</v>
      </c>
      <c r="M613" s="19" t="s">
        <v>103</v>
      </c>
      <c r="N613" s="19">
        <v>50</v>
      </c>
      <c r="O613" s="19">
        <v>50</v>
      </c>
      <c r="P613" s="19">
        <v>0</v>
      </c>
      <c r="Q613" s="19">
        <v>0</v>
      </c>
      <c r="S613" s="19">
        <v>1</v>
      </c>
      <c r="T613" s="19">
        <v>1</v>
      </c>
      <c r="U613" s="19">
        <v>0</v>
      </c>
      <c r="V613" s="19" t="s">
        <v>41</v>
      </c>
      <c r="W613" s="19">
        <v>1</v>
      </c>
      <c r="Y613" s="19" t="s">
        <v>103</v>
      </c>
      <c r="Z613" s="19">
        <v>50</v>
      </c>
      <c r="AA613" s="19">
        <v>50</v>
      </c>
    </row>
    <row r="614" spans="1:27" x14ac:dyDescent="0.25">
      <c r="A614" s="19" t="s">
        <v>814</v>
      </c>
      <c r="B614" s="19" t="s">
        <v>786</v>
      </c>
      <c r="C614" s="19" t="s">
        <v>787</v>
      </c>
      <c r="D614" s="19">
        <v>0</v>
      </c>
      <c r="E614" s="19" t="s">
        <v>129</v>
      </c>
      <c r="F614" s="19" t="s">
        <v>130</v>
      </c>
      <c r="G614" s="19" t="s">
        <v>32</v>
      </c>
      <c r="H614" s="19" t="s">
        <v>114</v>
      </c>
      <c r="I614" s="19" t="s">
        <v>115</v>
      </c>
      <c r="J614" s="19">
        <v>32</v>
      </c>
      <c r="K614" s="19">
        <v>2.1700000000000001E-2</v>
      </c>
      <c r="L614" s="19" t="s">
        <v>35</v>
      </c>
      <c r="M614" s="19" t="s">
        <v>103</v>
      </c>
      <c r="N614" s="19">
        <v>0</v>
      </c>
      <c r="O614" s="19">
        <v>0</v>
      </c>
      <c r="P614" s="19">
        <v>0</v>
      </c>
      <c r="Q614" s="19">
        <v>0</v>
      </c>
      <c r="S614" s="19">
        <v>1</v>
      </c>
      <c r="T614" s="19">
        <v>1</v>
      </c>
      <c r="U614" s="19">
        <v>0</v>
      </c>
      <c r="V614" s="19" t="s">
        <v>36</v>
      </c>
      <c r="W614" s="19">
        <v>0</v>
      </c>
      <c r="Y614" s="19" t="s">
        <v>103</v>
      </c>
      <c r="Z614" s="19">
        <v>50</v>
      </c>
      <c r="AA614" s="19">
        <v>0</v>
      </c>
    </row>
    <row r="615" spans="1:27" x14ac:dyDescent="0.25">
      <c r="A615" s="19" t="s">
        <v>815</v>
      </c>
      <c r="B615" s="19" t="s">
        <v>786</v>
      </c>
      <c r="C615" s="19" t="s">
        <v>787</v>
      </c>
      <c r="D615" s="19">
        <v>0</v>
      </c>
      <c r="E615" s="19" t="s">
        <v>132</v>
      </c>
      <c r="F615" s="19" t="s">
        <v>133</v>
      </c>
      <c r="G615" s="19" t="s">
        <v>134</v>
      </c>
      <c r="H615" s="19" t="s">
        <v>87</v>
      </c>
      <c r="I615" s="19" t="s">
        <v>135</v>
      </c>
      <c r="J615" s="19">
        <v>11</v>
      </c>
      <c r="K615" s="19">
        <v>4.1700000000000001E-2</v>
      </c>
      <c r="L615" s="19" t="s">
        <v>35</v>
      </c>
      <c r="M615" s="19" t="s">
        <v>103</v>
      </c>
      <c r="N615" s="19">
        <v>0</v>
      </c>
      <c r="O615" s="19">
        <v>0</v>
      </c>
      <c r="P615" s="19">
        <v>0</v>
      </c>
      <c r="Q615" s="19">
        <v>0</v>
      </c>
      <c r="S615" s="19">
        <v>1</v>
      </c>
      <c r="T615" s="19">
        <v>1</v>
      </c>
      <c r="U615" s="19">
        <v>0</v>
      </c>
      <c r="V615" s="19" t="s">
        <v>36</v>
      </c>
      <c r="W615" s="19">
        <v>0</v>
      </c>
      <c r="Y615" s="19" t="s">
        <v>103</v>
      </c>
      <c r="Z615" s="19">
        <v>50</v>
      </c>
      <c r="AA615" s="19">
        <v>0</v>
      </c>
    </row>
    <row r="616" spans="1:27" x14ac:dyDescent="0.25">
      <c r="A616" s="19" t="s">
        <v>816</v>
      </c>
      <c r="B616" s="19" t="s">
        <v>786</v>
      </c>
      <c r="C616" s="19" t="s">
        <v>787</v>
      </c>
      <c r="D616" s="19">
        <v>0.463287</v>
      </c>
      <c r="E616" s="19" t="s">
        <v>137</v>
      </c>
      <c r="F616" s="19" t="s">
        <v>138</v>
      </c>
      <c r="G616" s="19" t="s">
        <v>134</v>
      </c>
      <c r="H616" s="19" t="s">
        <v>87</v>
      </c>
      <c r="I616" s="19" t="s">
        <v>135</v>
      </c>
      <c r="J616" s="19">
        <v>9</v>
      </c>
      <c r="K616" s="19">
        <v>4.1700000000000001E-2</v>
      </c>
      <c r="L616" s="19" t="s">
        <v>35</v>
      </c>
      <c r="M616" s="19" t="s">
        <v>110</v>
      </c>
      <c r="N616" s="19">
        <v>11.11</v>
      </c>
      <c r="O616" s="19">
        <v>11.11</v>
      </c>
      <c r="P616" s="19">
        <v>0</v>
      </c>
      <c r="Q616" s="19">
        <v>0</v>
      </c>
      <c r="S616" s="19">
        <v>1</v>
      </c>
      <c r="T616" s="19">
        <v>1</v>
      </c>
      <c r="U616" s="19">
        <v>0</v>
      </c>
      <c r="W616" s="19">
        <v>0</v>
      </c>
      <c r="X616" s="19">
        <v>2</v>
      </c>
      <c r="Y616" s="19" t="s">
        <v>110</v>
      </c>
      <c r="Z616" s="19">
        <v>16.664999999999999</v>
      </c>
      <c r="AA616" s="19">
        <v>11.11</v>
      </c>
    </row>
    <row r="617" spans="1:27" x14ac:dyDescent="0.25">
      <c r="A617" s="19" t="s">
        <v>817</v>
      </c>
      <c r="B617" s="19" t="s">
        <v>786</v>
      </c>
      <c r="C617" s="19" t="s">
        <v>787</v>
      </c>
      <c r="D617" s="19">
        <v>0</v>
      </c>
      <c r="E617" s="19" t="s">
        <v>140</v>
      </c>
      <c r="F617" s="19" t="s">
        <v>141</v>
      </c>
      <c r="G617" s="19" t="s">
        <v>134</v>
      </c>
      <c r="H617" s="19" t="s">
        <v>87</v>
      </c>
      <c r="I617" s="19" t="s">
        <v>135</v>
      </c>
      <c r="J617" s="19">
        <v>10</v>
      </c>
      <c r="K617" s="19">
        <v>4.1700000000000001E-2</v>
      </c>
      <c r="L617" s="19" t="s">
        <v>35</v>
      </c>
      <c r="N617" s="19">
        <v>0</v>
      </c>
      <c r="O617" s="19">
        <v>0</v>
      </c>
      <c r="P617" s="19">
        <v>0</v>
      </c>
      <c r="Q617" s="19">
        <v>0</v>
      </c>
      <c r="S617" s="19">
        <v>1</v>
      </c>
      <c r="T617" s="19">
        <v>1</v>
      </c>
      <c r="U617" s="19">
        <v>0</v>
      </c>
      <c r="W617" s="19">
        <v>0</v>
      </c>
      <c r="X617" s="19">
        <v>0</v>
      </c>
      <c r="Z617" s="19">
        <v>0</v>
      </c>
      <c r="AA617" s="19">
        <v>0</v>
      </c>
    </row>
    <row r="618" spans="1:27" x14ac:dyDescent="0.25">
      <c r="A618" s="19" t="s">
        <v>818</v>
      </c>
      <c r="B618" s="19" t="s">
        <v>786</v>
      </c>
      <c r="C618" s="19" t="s">
        <v>787</v>
      </c>
      <c r="D618" s="19">
        <v>1.25</v>
      </c>
      <c r="E618" s="19" t="s">
        <v>144</v>
      </c>
      <c r="F618" s="19" t="s">
        <v>145</v>
      </c>
      <c r="G618" s="19" t="s">
        <v>134</v>
      </c>
      <c r="H618" s="19" t="s">
        <v>146</v>
      </c>
      <c r="I618" s="19" t="s">
        <v>147</v>
      </c>
      <c r="J618" s="19">
        <v>4</v>
      </c>
      <c r="K618" s="19">
        <v>2.5000000000000001E-2</v>
      </c>
      <c r="L618" s="19" t="s">
        <v>35</v>
      </c>
      <c r="M618" s="19" t="s">
        <v>103</v>
      </c>
      <c r="N618" s="19">
        <v>50</v>
      </c>
      <c r="O618" s="19">
        <v>50</v>
      </c>
      <c r="P618" s="19">
        <v>0</v>
      </c>
      <c r="Q618" s="19">
        <v>0</v>
      </c>
      <c r="S618" s="19">
        <v>1</v>
      </c>
      <c r="T618" s="19">
        <v>1</v>
      </c>
      <c r="U618" s="19">
        <v>0</v>
      </c>
      <c r="V618" s="19" t="s">
        <v>41</v>
      </c>
      <c r="W618" s="19">
        <v>1</v>
      </c>
      <c r="Y618" s="19" t="s">
        <v>103</v>
      </c>
      <c r="Z618" s="19">
        <v>50</v>
      </c>
      <c r="AA618" s="19">
        <v>50</v>
      </c>
    </row>
    <row r="619" spans="1:27" x14ac:dyDescent="0.25">
      <c r="A619" s="19" t="s">
        <v>819</v>
      </c>
      <c r="B619" s="19" t="s">
        <v>786</v>
      </c>
      <c r="C619" s="19" t="s">
        <v>787</v>
      </c>
      <c r="D619" s="19">
        <v>1.25</v>
      </c>
      <c r="E619" s="19" t="s">
        <v>149</v>
      </c>
      <c r="F619" s="19" t="s">
        <v>150</v>
      </c>
      <c r="G619" s="19" t="s">
        <v>134</v>
      </c>
      <c r="H619" s="19" t="s">
        <v>146</v>
      </c>
      <c r="I619" s="19" t="s">
        <v>147</v>
      </c>
      <c r="J619" s="19">
        <v>5</v>
      </c>
      <c r="K619" s="19">
        <v>2.5000000000000001E-2</v>
      </c>
      <c r="L619" s="19" t="s">
        <v>35</v>
      </c>
      <c r="M619" s="19" t="s">
        <v>103</v>
      </c>
      <c r="N619" s="19">
        <v>50</v>
      </c>
      <c r="O619" s="19">
        <v>50</v>
      </c>
      <c r="P619" s="19">
        <v>0</v>
      </c>
      <c r="Q619" s="19">
        <v>0</v>
      </c>
      <c r="S619" s="19">
        <v>1</v>
      </c>
      <c r="T619" s="19">
        <v>1</v>
      </c>
      <c r="U619" s="19">
        <v>0</v>
      </c>
      <c r="V619" s="19" t="s">
        <v>41</v>
      </c>
      <c r="W619" s="19">
        <v>1</v>
      </c>
      <c r="Y619" s="19" t="s">
        <v>103</v>
      </c>
      <c r="Z619" s="19">
        <v>50</v>
      </c>
      <c r="AA619" s="19">
        <v>50</v>
      </c>
    </row>
    <row r="620" spans="1:27" x14ac:dyDescent="0.25">
      <c r="A620" s="19" t="s">
        <v>820</v>
      </c>
      <c r="B620" s="19" t="s">
        <v>786</v>
      </c>
      <c r="C620" s="19" t="s">
        <v>787</v>
      </c>
      <c r="D620" s="19">
        <v>1.25</v>
      </c>
      <c r="E620" s="19" t="s">
        <v>152</v>
      </c>
      <c r="F620" s="19" t="s">
        <v>153</v>
      </c>
      <c r="G620" s="19" t="s">
        <v>134</v>
      </c>
      <c r="H620" s="19" t="s">
        <v>146</v>
      </c>
      <c r="I620" s="19" t="s">
        <v>147</v>
      </c>
      <c r="J620" s="19">
        <v>6</v>
      </c>
      <c r="K620" s="19">
        <v>2.5000000000000001E-2</v>
      </c>
      <c r="L620" s="19" t="s">
        <v>35</v>
      </c>
      <c r="M620" s="19" t="s">
        <v>103</v>
      </c>
      <c r="N620" s="19">
        <v>50</v>
      </c>
      <c r="O620" s="19">
        <v>50</v>
      </c>
      <c r="P620" s="19">
        <v>0</v>
      </c>
      <c r="Q620" s="19">
        <v>0</v>
      </c>
      <c r="S620" s="19">
        <v>1</v>
      </c>
      <c r="T620" s="19">
        <v>1</v>
      </c>
      <c r="U620" s="19">
        <v>0</v>
      </c>
      <c r="V620" s="19" t="s">
        <v>41</v>
      </c>
      <c r="W620" s="19">
        <v>1</v>
      </c>
      <c r="Y620" s="19" t="s">
        <v>103</v>
      </c>
      <c r="Z620" s="19">
        <v>50</v>
      </c>
      <c r="AA620" s="19">
        <v>50</v>
      </c>
    </row>
    <row r="621" spans="1:27" x14ac:dyDescent="0.25">
      <c r="A621" s="19" t="s">
        <v>821</v>
      </c>
      <c r="B621" s="19" t="s">
        <v>786</v>
      </c>
      <c r="C621" s="19" t="s">
        <v>787</v>
      </c>
      <c r="D621" s="19">
        <v>1.25</v>
      </c>
      <c r="E621" s="19" t="s">
        <v>155</v>
      </c>
      <c r="F621" s="19" t="s">
        <v>156</v>
      </c>
      <c r="G621" s="19" t="s">
        <v>134</v>
      </c>
      <c r="H621" s="19" t="s">
        <v>146</v>
      </c>
      <c r="I621" s="19" t="s">
        <v>147</v>
      </c>
      <c r="J621" s="19">
        <v>7</v>
      </c>
      <c r="K621" s="19">
        <v>2.5000000000000001E-2</v>
      </c>
      <c r="L621" s="19" t="s">
        <v>35</v>
      </c>
      <c r="M621" s="19" t="s">
        <v>103</v>
      </c>
      <c r="N621" s="19">
        <v>50</v>
      </c>
      <c r="O621" s="19">
        <v>50</v>
      </c>
      <c r="P621" s="19">
        <v>0</v>
      </c>
      <c r="Q621" s="19">
        <v>0</v>
      </c>
      <c r="S621" s="19">
        <v>1</v>
      </c>
      <c r="T621" s="19">
        <v>1</v>
      </c>
      <c r="U621" s="19">
        <v>0</v>
      </c>
      <c r="V621" s="19" t="s">
        <v>41</v>
      </c>
      <c r="W621" s="19">
        <v>1</v>
      </c>
      <c r="Y621" s="19" t="s">
        <v>103</v>
      </c>
      <c r="Z621" s="19">
        <v>50</v>
      </c>
      <c r="AA621" s="19">
        <v>50</v>
      </c>
    </row>
    <row r="622" spans="1:27" x14ac:dyDescent="0.25">
      <c r="A622" s="19" t="s">
        <v>822</v>
      </c>
      <c r="B622" s="19" t="s">
        <v>786</v>
      </c>
      <c r="C622" s="19" t="s">
        <v>787</v>
      </c>
      <c r="D622" s="19">
        <v>0</v>
      </c>
      <c r="E622" s="19" t="s">
        <v>158</v>
      </c>
      <c r="F622" s="19" t="s">
        <v>159</v>
      </c>
      <c r="G622" s="19" t="s">
        <v>134</v>
      </c>
      <c r="H622" s="19" t="s">
        <v>146</v>
      </c>
      <c r="I622" s="19" t="s">
        <v>147</v>
      </c>
      <c r="J622" s="19">
        <v>8</v>
      </c>
      <c r="K622" s="19">
        <v>2.5000000000000001E-2</v>
      </c>
      <c r="L622" s="19" t="s">
        <v>35</v>
      </c>
      <c r="M622" s="19" t="s">
        <v>103</v>
      </c>
      <c r="N622" s="19">
        <v>0</v>
      </c>
      <c r="O622" s="19">
        <v>0</v>
      </c>
      <c r="P622" s="19">
        <v>0</v>
      </c>
      <c r="Q622" s="19">
        <v>0</v>
      </c>
      <c r="S622" s="19">
        <v>1</v>
      </c>
      <c r="T622" s="19">
        <v>1</v>
      </c>
      <c r="U622" s="19">
        <v>0</v>
      </c>
      <c r="V622" s="19" t="s">
        <v>80</v>
      </c>
      <c r="W622" s="19">
        <v>0</v>
      </c>
      <c r="Y622" s="19" t="s">
        <v>103</v>
      </c>
      <c r="Z622" s="19">
        <v>50</v>
      </c>
      <c r="AA622" s="19">
        <v>0</v>
      </c>
    </row>
    <row r="623" spans="1:27" x14ac:dyDescent="0.25">
      <c r="A623" s="19" t="s">
        <v>823</v>
      </c>
      <c r="B623" s="19" t="s">
        <v>786</v>
      </c>
      <c r="C623" s="19" t="s">
        <v>787</v>
      </c>
      <c r="D623" s="19">
        <v>2.2197779999999998</v>
      </c>
      <c r="E623" s="19" t="s">
        <v>161</v>
      </c>
      <c r="F623" s="19" t="s">
        <v>162</v>
      </c>
      <c r="G623" s="19" t="s">
        <v>163</v>
      </c>
      <c r="I623" s="19" t="s">
        <v>164</v>
      </c>
      <c r="J623" s="19">
        <v>1</v>
      </c>
      <c r="K623" s="19">
        <v>3.3300000000000003E-2</v>
      </c>
      <c r="L623" s="19" t="s">
        <v>35</v>
      </c>
      <c r="M623" s="19" t="s">
        <v>165</v>
      </c>
      <c r="N623" s="19">
        <v>66.66</v>
      </c>
      <c r="O623" s="19">
        <v>66.66</v>
      </c>
      <c r="P623" s="19">
        <v>0</v>
      </c>
      <c r="Q623" s="19">
        <v>0</v>
      </c>
      <c r="S623" s="19">
        <v>1</v>
      </c>
      <c r="T623" s="19">
        <v>1</v>
      </c>
      <c r="U623" s="19">
        <v>0</v>
      </c>
      <c r="W623" s="19">
        <v>0</v>
      </c>
      <c r="X623" s="19">
        <v>66.66</v>
      </c>
      <c r="Z623" s="19">
        <v>0</v>
      </c>
      <c r="AA623" s="19">
        <v>66.66</v>
      </c>
    </row>
    <row r="624" spans="1:27" x14ac:dyDescent="0.25">
      <c r="A624" s="19" t="s">
        <v>824</v>
      </c>
      <c r="B624" s="19" t="s">
        <v>786</v>
      </c>
      <c r="C624" s="19" t="s">
        <v>787</v>
      </c>
      <c r="D624" s="19">
        <v>1.1098889999999999</v>
      </c>
      <c r="E624" s="19" t="s">
        <v>167</v>
      </c>
      <c r="F624" s="19" t="s">
        <v>168</v>
      </c>
      <c r="G624" s="19" t="s">
        <v>163</v>
      </c>
      <c r="I624" s="19" t="s">
        <v>164</v>
      </c>
      <c r="J624" s="19">
        <v>3</v>
      </c>
      <c r="K624" s="19">
        <v>3.3300000000000003E-2</v>
      </c>
      <c r="L624" s="19" t="s">
        <v>35</v>
      </c>
      <c r="M624" s="19" t="s">
        <v>165</v>
      </c>
      <c r="N624" s="19">
        <v>33.33</v>
      </c>
      <c r="O624" s="19">
        <v>33.33</v>
      </c>
      <c r="P624" s="19">
        <v>0</v>
      </c>
      <c r="Q624" s="19">
        <v>0</v>
      </c>
      <c r="S624" s="19">
        <v>1</v>
      </c>
      <c r="T624" s="19">
        <v>1</v>
      </c>
      <c r="U624" s="19">
        <v>0</v>
      </c>
      <c r="W624" s="19">
        <v>0</v>
      </c>
      <c r="X624" s="19">
        <v>33.33</v>
      </c>
      <c r="Z624" s="19">
        <v>0</v>
      </c>
      <c r="AA624" s="19">
        <v>33.33</v>
      </c>
    </row>
    <row r="625" spans="1:27" x14ac:dyDescent="0.25">
      <c r="A625" s="19" t="s">
        <v>825</v>
      </c>
      <c r="B625" s="19" t="s">
        <v>786</v>
      </c>
      <c r="C625" s="19" t="s">
        <v>787</v>
      </c>
      <c r="D625" s="19">
        <v>0</v>
      </c>
      <c r="E625" s="19" t="s">
        <v>170</v>
      </c>
      <c r="F625" s="19" t="s">
        <v>171</v>
      </c>
      <c r="G625" s="19" t="s">
        <v>163</v>
      </c>
      <c r="I625" s="19" t="s">
        <v>164</v>
      </c>
      <c r="J625" s="19">
        <v>2</v>
      </c>
      <c r="K625" s="19">
        <v>3.3300000000000003E-2</v>
      </c>
      <c r="L625" s="19" t="s">
        <v>35</v>
      </c>
      <c r="M625" s="19" t="s">
        <v>165</v>
      </c>
      <c r="N625" s="19">
        <v>0</v>
      </c>
      <c r="O625" s="19">
        <v>0</v>
      </c>
      <c r="P625" s="19">
        <v>0</v>
      </c>
      <c r="Q625" s="19">
        <v>0</v>
      </c>
      <c r="S625" s="19">
        <v>1</v>
      </c>
      <c r="T625" s="19">
        <v>1</v>
      </c>
      <c r="U625" s="19">
        <v>0</v>
      </c>
      <c r="W625" s="19">
        <v>0</v>
      </c>
      <c r="X625" s="19">
        <v>0</v>
      </c>
      <c r="Z625" s="19">
        <v>0</v>
      </c>
      <c r="AA625" s="19">
        <v>0</v>
      </c>
    </row>
    <row r="626" spans="1:27" x14ac:dyDescent="0.25">
      <c r="A626" s="19" t="s">
        <v>826</v>
      </c>
      <c r="B626" s="19" t="s">
        <v>827</v>
      </c>
      <c r="C626" s="19" t="s">
        <v>828</v>
      </c>
      <c r="D626" s="19">
        <v>0</v>
      </c>
      <c r="E626" s="19" t="s">
        <v>30</v>
      </c>
      <c r="F626" s="19" t="s">
        <v>31</v>
      </c>
      <c r="G626" s="19" t="s">
        <v>32</v>
      </c>
      <c r="H626" s="19" t="s">
        <v>33</v>
      </c>
      <c r="I626" s="19" t="s">
        <v>34</v>
      </c>
      <c r="J626" s="19">
        <v>17</v>
      </c>
      <c r="K626" s="19">
        <v>1.6299999999999999E-2</v>
      </c>
      <c r="L626" s="19" t="s">
        <v>35</v>
      </c>
      <c r="N626" s="19">
        <v>0</v>
      </c>
      <c r="O626" s="19">
        <v>0</v>
      </c>
      <c r="P626" s="19">
        <v>0</v>
      </c>
      <c r="Q626" s="19">
        <v>0</v>
      </c>
      <c r="S626" s="19">
        <v>1</v>
      </c>
      <c r="T626" s="19">
        <v>1</v>
      </c>
      <c r="U626" s="19">
        <v>0</v>
      </c>
      <c r="V626" s="19" t="s">
        <v>36</v>
      </c>
      <c r="W626" s="19">
        <v>0</v>
      </c>
      <c r="Z626" s="19">
        <v>0</v>
      </c>
      <c r="AA626" s="19">
        <v>0</v>
      </c>
    </row>
    <row r="627" spans="1:27" x14ac:dyDescent="0.25">
      <c r="A627" s="19" t="s">
        <v>829</v>
      </c>
      <c r="B627" s="19" t="s">
        <v>827</v>
      </c>
      <c r="C627" s="19" t="s">
        <v>828</v>
      </c>
      <c r="D627" s="19">
        <v>0.54327899999999996</v>
      </c>
      <c r="E627" s="19" t="s">
        <v>38</v>
      </c>
      <c r="F627" s="19" t="s">
        <v>39</v>
      </c>
      <c r="G627" s="19" t="s">
        <v>32</v>
      </c>
      <c r="H627" s="19" t="s">
        <v>33</v>
      </c>
      <c r="I627" s="19" t="s">
        <v>34</v>
      </c>
      <c r="J627" s="19">
        <v>19</v>
      </c>
      <c r="K627" s="19">
        <v>1.6299999999999999E-2</v>
      </c>
      <c r="L627" s="19" t="s">
        <v>35</v>
      </c>
      <c r="M627" s="19" t="s">
        <v>40</v>
      </c>
      <c r="N627" s="19">
        <v>33.33</v>
      </c>
      <c r="O627" s="19">
        <v>33.33</v>
      </c>
      <c r="P627" s="19">
        <v>0</v>
      </c>
      <c r="Q627" s="19">
        <v>0</v>
      </c>
      <c r="S627" s="19">
        <v>1</v>
      </c>
      <c r="T627" s="19">
        <v>1</v>
      </c>
      <c r="U627" s="19">
        <v>0</v>
      </c>
      <c r="V627" s="19" t="s">
        <v>41</v>
      </c>
      <c r="W627" s="19">
        <v>1</v>
      </c>
      <c r="Y627" s="19" t="s">
        <v>40</v>
      </c>
      <c r="Z627" s="19">
        <v>33.33</v>
      </c>
      <c r="AA627" s="19">
        <v>33.33</v>
      </c>
    </row>
    <row r="628" spans="1:27" x14ac:dyDescent="0.25">
      <c r="A628" s="19" t="s">
        <v>830</v>
      </c>
      <c r="B628" s="19" t="s">
        <v>827</v>
      </c>
      <c r="C628" s="19" t="s">
        <v>828</v>
      </c>
      <c r="D628" s="19">
        <v>0.54327899999999996</v>
      </c>
      <c r="E628" s="19" t="s">
        <v>43</v>
      </c>
      <c r="F628" s="19" t="s">
        <v>44</v>
      </c>
      <c r="G628" s="19" t="s">
        <v>32</v>
      </c>
      <c r="H628" s="19" t="s">
        <v>33</v>
      </c>
      <c r="I628" s="19" t="s">
        <v>34</v>
      </c>
      <c r="J628" s="19">
        <v>18</v>
      </c>
      <c r="K628" s="19">
        <v>1.6299999999999999E-2</v>
      </c>
      <c r="L628" s="19" t="s">
        <v>35</v>
      </c>
      <c r="M628" s="19" t="s">
        <v>40</v>
      </c>
      <c r="N628" s="19">
        <v>33.33</v>
      </c>
      <c r="O628" s="19">
        <v>33.33</v>
      </c>
      <c r="P628" s="19">
        <v>0</v>
      </c>
      <c r="Q628" s="19">
        <v>0</v>
      </c>
      <c r="S628" s="19">
        <v>1</v>
      </c>
      <c r="T628" s="19">
        <v>1</v>
      </c>
      <c r="U628" s="19">
        <v>0</v>
      </c>
      <c r="V628" s="19" t="s">
        <v>41</v>
      </c>
      <c r="W628" s="19">
        <v>1</v>
      </c>
      <c r="Y628" s="19" t="s">
        <v>40</v>
      </c>
      <c r="Z628" s="19">
        <v>33.33</v>
      </c>
      <c r="AA628" s="19">
        <v>33.33</v>
      </c>
    </row>
    <row r="629" spans="1:27" x14ac:dyDescent="0.25">
      <c r="A629" s="19" t="s">
        <v>831</v>
      </c>
      <c r="B629" s="19" t="s">
        <v>827</v>
      </c>
      <c r="C629" s="19" t="s">
        <v>828</v>
      </c>
      <c r="D629" s="19">
        <v>0.54327899999999996</v>
      </c>
      <c r="E629" s="19" t="s">
        <v>46</v>
      </c>
      <c r="F629" s="19" t="s">
        <v>47</v>
      </c>
      <c r="G629" s="19" t="s">
        <v>32</v>
      </c>
      <c r="H629" s="19" t="s">
        <v>33</v>
      </c>
      <c r="I629" s="19" t="s">
        <v>34</v>
      </c>
      <c r="J629" s="19">
        <v>15</v>
      </c>
      <c r="K629" s="19">
        <v>1.6299999999999999E-2</v>
      </c>
      <c r="L629" s="19" t="s">
        <v>35</v>
      </c>
      <c r="M629" s="19" t="s">
        <v>40</v>
      </c>
      <c r="N629" s="19">
        <v>33.33</v>
      </c>
      <c r="O629" s="19">
        <v>33.33</v>
      </c>
      <c r="P629" s="19">
        <v>0</v>
      </c>
      <c r="Q629" s="19">
        <v>0</v>
      </c>
      <c r="S629" s="19">
        <v>1</v>
      </c>
      <c r="T629" s="19">
        <v>1</v>
      </c>
      <c r="U629" s="19">
        <v>0</v>
      </c>
      <c r="V629" s="19" t="s">
        <v>41</v>
      </c>
      <c r="W629" s="19">
        <v>1</v>
      </c>
      <c r="Y629" s="19" t="s">
        <v>40</v>
      </c>
      <c r="Z629" s="19">
        <v>33.33</v>
      </c>
      <c r="AA629" s="19">
        <v>33.33</v>
      </c>
    </row>
    <row r="630" spans="1:27" x14ac:dyDescent="0.25">
      <c r="A630" s="19" t="s">
        <v>832</v>
      </c>
      <c r="B630" s="19" t="s">
        <v>827</v>
      </c>
      <c r="C630" s="19" t="s">
        <v>828</v>
      </c>
      <c r="D630" s="19">
        <v>0</v>
      </c>
      <c r="E630" s="19" t="s">
        <v>49</v>
      </c>
      <c r="F630" s="19" t="s">
        <v>50</v>
      </c>
      <c r="G630" s="19" t="s">
        <v>32</v>
      </c>
      <c r="H630" s="19" t="s">
        <v>33</v>
      </c>
      <c r="I630" s="19" t="s">
        <v>34</v>
      </c>
      <c r="J630" s="19">
        <v>12</v>
      </c>
      <c r="K630" s="19">
        <v>1.6299999999999999E-2</v>
      </c>
      <c r="L630" s="19" t="s">
        <v>35</v>
      </c>
      <c r="M630" s="19" t="s">
        <v>40</v>
      </c>
      <c r="N630" s="19">
        <v>0</v>
      </c>
      <c r="O630" s="19">
        <v>0</v>
      </c>
      <c r="P630" s="19">
        <v>0</v>
      </c>
      <c r="Q630" s="19">
        <v>0</v>
      </c>
      <c r="S630" s="19">
        <v>1</v>
      </c>
      <c r="T630" s="19">
        <v>1</v>
      </c>
      <c r="U630" s="19">
        <v>0</v>
      </c>
      <c r="V630" s="19" t="s">
        <v>80</v>
      </c>
      <c r="W630" s="19">
        <v>0</v>
      </c>
      <c r="Y630" s="19" t="s">
        <v>40</v>
      </c>
      <c r="Z630" s="19">
        <v>33.33</v>
      </c>
      <c r="AA630" s="19">
        <v>0</v>
      </c>
    </row>
    <row r="631" spans="1:27" x14ac:dyDescent="0.25">
      <c r="A631" s="19" t="s">
        <v>833</v>
      </c>
      <c r="B631" s="19" t="s">
        <v>827</v>
      </c>
      <c r="C631" s="19" t="s">
        <v>828</v>
      </c>
      <c r="D631" s="19">
        <v>0.54327899999999996</v>
      </c>
      <c r="E631" s="19" t="s">
        <v>52</v>
      </c>
      <c r="F631" s="19" t="s">
        <v>53</v>
      </c>
      <c r="G631" s="19" t="s">
        <v>32</v>
      </c>
      <c r="H631" s="19" t="s">
        <v>33</v>
      </c>
      <c r="I631" s="19" t="s">
        <v>34</v>
      </c>
      <c r="J631" s="19">
        <v>16</v>
      </c>
      <c r="K631" s="19">
        <v>1.6299999999999999E-2</v>
      </c>
      <c r="L631" s="19" t="s">
        <v>35</v>
      </c>
      <c r="M631" s="19" t="s">
        <v>40</v>
      </c>
      <c r="N631" s="19">
        <v>33.33</v>
      </c>
      <c r="O631" s="19">
        <v>33.33</v>
      </c>
      <c r="P631" s="19">
        <v>0</v>
      </c>
      <c r="Q631" s="19">
        <v>0</v>
      </c>
      <c r="S631" s="19">
        <v>1</v>
      </c>
      <c r="T631" s="19">
        <v>1</v>
      </c>
      <c r="U631" s="19">
        <v>0</v>
      </c>
      <c r="V631" s="19" t="s">
        <v>41</v>
      </c>
      <c r="W631" s="19">
        <v>1</v>
      </c>
      <c r="Y631" s="19" t="s">
        <v>40</v>
      </c>
      <c r="Z631" s="19">
        <v>33.33</v>
      </c>
      <c r="AA631" s="19">
        <v>33.33</v>
      </c>
    </row>
    <row r="632" spans="1:27" x14ac:dyDescent="0.25">
      <c r="A632" s="19" t="s">
        <v>834</v>
      </c>
      <c r="B632" s="19" t="s">
        <v>827</v>
      </c>
      <c r="C632" s="19" t="s">
        <v>828</v>
      </c>
      <c r="D632" s="19">
        <v>0.54327899999999996</v>
      </c>
      <c r="E632" s="19" t="s">
        <v>55</v>
      </c>
      <c r="F632" s="19" t="s">
        <v>56</v>
      </c>
      <c r="G632" s="19" t="s">
        <v>32</v>
      </c>
      <c r="H632" s="19" t="s">
        <v>33</v>
      </c>
      <c r="I632" s="19" t="s">
        <v>34</v>
      </c>
      <c r="J632" s="19">
        <v>14</v>
      </c>
      <c r="K632" s="19">
        <v>1.6299999999999999E-2</v>
      </c>
      <c r="L632" s="19" t="s">
        <v>35</v>
      </c>
      <c r="M632" s="19" t="s">
        <v>40</v>
      </c>
      <c r="N632" s="19">
        <v>33.33</v>
      </c>
      <c r="O632" s="19">
        <v>33.33</v>
      </c>
      <c r="P632" s="19">
        <v>0</v>
      </c>
      <c r="Q632" s="19">
        <v>0</v>
      </c>
      <c r="S632" s="19">
        <v>1</v>
      </c>
      <c r="T632" s="19">
        <v>1</v>
      </c>
      <c r="U632" s="19">
        <v>0</v>
      </c>
      <c r="V632" s="19" t="s">
        <v>41</v>
      </c>
      <c r="W632" s="19">
        <v>1</v>
      </c>
      <c r="Y632" s="19" t="s">
        <v>40</v>
      </c>
      <c r="Z632" s="19">
        <v>33.33</v>
      </c>
      <c r="AA632" s="19">
        <v>33.33</v>
      </c>
    </row>
    <row r="633" spans="1:27" x14ac:dyDescent="0.25">
      <c r="A633" s="19" t="s">
        <v>835</v>
      </c>
      <c r="B633" s="19" t="s">
        <v>827</v>
      </c>
      <c r="C633" s="19" t="s">
        <v>828</v>
      </c>
      <c r="D633" s="19">
        <v>0.54327899999999996</v>
      </c>
      <c r="E633" s="19" t="s">
        <v>58</v>
      </c>
      <c r="F633" s="19" t="s">
        <v>59</v>
      </c>
      <c r="G633" s="19" t="s">
        <v>32</v>
      </c>
      <c r="H633" s="19" t="s">
        <v>33</v>
      </c>
      <c r="I633" s="19" t="s">
        <v>34</v>
      </c>
      <c r="J633" s="19">
        <v>13</v>
      </c>
      <c r="K633" s="19">
        <v>1.6299999999999999E-2</v>
      </c>
      <c r="L633" s="19" t="s">
        <v>35</v>
      </c>
      <c r="M633" s="19" t="s">
        <v>40</v>
      </c>
      <c r="N633" s="19">
        <v>33.33</v>
      </c>
      <c r="O633" s="19">
        <v>33.33</v>
      </c>
      <c r="P633" s="19">
        <v>0</v>
      </c>
      <c r="Q633" s="19">
        <v>0</v>
      </c>
      <c r="S633" s="19">
        <v>1</v>
      </c>
      <c r="T633" s="19">
        <v>1</v>
      </c>
      <c r="U633" s="19">
        <v>0</v>
      </c>
      <c r="V633" s="19" t="s">
        <v>41</v>
      </c>
      <c r="W633" s="19">
        <v>1</v>
      </c>
      <c r="Y633" s="19" t="s">
        <v>40</v>
      </c>
      <c r="Z633" s="19">
        <v>33.33</v>
      </c>
      <c r="AA633" s="19">
        <v>33.33</v>
      </c>
    </row>
    <row r="634" spans="1:27" x14ac:dyDescent="0.25">
      <c r="A634" s="19" t="s">
        <v>836</v>
      </c>
      <c r="B634" s="19" t="s">
        <v>827</v>
      </c>
      <c r="C634" s="19" t="s">
        <v>828</v>
      </c>
      <c r="D634" s="19">
        <v>0.61993799999999899</v>
      </c>
      <c r="E634" s="19" t="s">
        <v>61</v>
      </c>
      <c r="F634" s="19" t="s">
        <v>62</v>
      </c>
      <c r="G634" s="19" t="s">
        <v>32</v>
      </c>
      <c r="H634" s="19" t="s">
        <v>63</v>
      </c>
      <c r="I634" s="19" t="s">
        <v>64</v>
      </c>
      <c r="J634" s="19">
        <v>22</v>
      </c>
      <c r="K634" s="19">
        <v>1.8599999999999998E-2</v>
      </c>
      <c r="L634" s="19" t="s">
        <v>35</v>
      </c>
      <c r="M634" s="19" t="s">
        <v>40</v>
      </c>
      <c r="N634" s="19">
        <v>33.33</v>
      </c>
      <c r="O634" s="19">
        <v>33.33</v>
      </c>
      <c r="P634" s="19">
        <v>0</v>
      </c>
      <c r="Q634" s="19">
        <v>0</v>
      </c>
      <c r="S634" s="19">
        <v>1</v>
      </c>
      <c r="T634" s="19">
        <v>1</v>
      </c>
      <c r="U634" s="19">
        <v>0</v>
      </c>
      <c r="V634" s="19" t="s">
        <v>41</v>
      </c>
      <c r="W634" s="19">
        <v>1</v>
      </c>
      <c r="Y634" s="19" t="s">
        <v>40</v>
      </c>
      <c r="Z634" s="19">
        <v>33.33</v>
      </c>
      <c r="AA634" s="19">
        <v>33.33</v>
      </c>
    </row>
    <row r="635" spans="1:27" x14ac:dyDescent="0.25">
      <c r="A635" s="19" t="s">
        <v>837</v>
      </c>
      <c r="B635" s="19" t="s">
        <v>827</v>
      </c>
      <c r="C635" s="19" t="s">
        <v>828</v>
      </c>
      <c r="D635" s="19">
        <v>0.61993799999999899</v>
      </c>
      <c r="E635" s="19" t="s">
        <v>66</v>
      </c>
      <c r="F635" s="19" t="s">
        <v>67</v>
      </c>
      <c r="G635" s="19" t="s">
        <v>32</v>
      </c>
      <c r="H635" s="19" t="s">
        <v>63</v>
      </c>
      <c r="I635" s="19" t="s">
        <v>64</v>
      </c>
      <c r="J635" s="19">
        <v>20</v>
      </c>
      <c r="K635" s="19">
        <v>1.8599999999999998E-2</v>
      </c>
      <c r="L635" s="19" t="s">
        <v>35</v>
      </c>
      <c r="M635" s="19" t="s">
        <v>40</v>
      </c>
      <c r="N635" s="19">
        <v>33.33</v>
      </c>
      <c r="O635" s="19">
        <v>33.33</v>
      </c>
      <c r="P635" s="19">
        <v>0</v>
      </c>
      <c r="Q635" s="19">
        <v>0</v>
      </c>
      <c r="S635" s="19">
        <v>1</v>
      </c>
      <c r="T635" s="19">
        <v>1</v>
      </c>
      <c r="U635" s="19">
        <v>0</v>
      </c>
      <c r="V635" s="19" t="s">
        <v>41</v>
      </c>
      <c r="W635" s="19">
        <v>1</v>
      </c>
      <c r="Y635" s="19" t="s">
        <v>40</v>
      </c>
      <c r="Z635" s="19">
        <v>33.33</v>
      </c>
      <c r="AA635" s="19">
        <v>33.33</v>
      </c>
    </row>
    <row r="636" spans="1:27" x14ac:dyDescent="0.25">
      <c r="A636" s="19" t="s">
        <v>838</v>
      </c>
      <c r="B636" s="19" t="s">
        <v>827</v>
      </c>
      <c r="C636" s="19" t="s">
        <v>828</v>
      </c>
      <c r="D636" s="19">
        <v>0.61993799999999899</v>
      </c>
      <c r="E636" s="19" t="s">
        <v>69</v>
      </c>
      <c r="F636" s="19" t="s">
        <v>70</v>
      </c>
      <c r="G636" s="19" t="s">
        <v>32</v>
      </c>
      <c r="H636" s="19" t="s">
        <v>63</v>
      </c>
      <c r="I636" s="19" t="s">
        <v>64</v>
      </c>
      <c r="J636" s="19">
        <v>23</v>
      </c>
      <c r="K636" s="19">
        <v>1.8599999999999998E-2</v>
      </c>
      <c r="L636" s="19" t="s">
        <v>35</v>
      </c>
      <c r="M636" s="19" t="s">
        <v>40</v>
      </c>
      <c r="N636" s="19">
        <v>33.33</v>
      </c>
      <c r="O636" s="19">
        <v>33.33</v>
      </c>
      <c r="P636" s="19">
        <v>0</v>
      </c>
      <c r="Q636" s="19">
        <v>0</v>
      </c>
      <c r="S636" s="19">
        <v>1</v>
      </c>
      <c r="T636" s="19">
        <v>1</v>
      </c>
      <c r="U636" s="19">
        <v>0</v>
      </c>
      <c r="V636" s="19" t="s">
        <v>41</v>
      </c>
      <c r="W636" s="19">
        <v>1</v>
      </c>
      <c r="Y636" s="19" t="s">
        <v>40</v>
      </c>
      <c r="Z636" s="19">
        <v>33.33</v>
      </c>
      <c r="AA636" s="19">
        <v>33.33</v>
      </c>
    </row>
    <row r="637" spans="1:27" x14ac:dyDescent="0.25">
      <c r="A637" s="19" t="s">
        <v>839</v>
      </c>
      <c r="B637" s="19" t="s">
        <v>827</v>
      </c>
      <c r="C637" s="19" t="s">
        <v>828</v>
      </c>
      <c r="D637" s="19">
        <v>0.61993799999999899</v>
      </c>
      <c r="E637" s="19" t="s">
        <v>72</v>
      </c>
      <c r="F637" s="19" t="s">
        <v>73</v>
      </c>
      <c r="G637" s="19" t="s">
        <v>32</v>
      </c>
      <c r="H637" s="19" t="s">
        <v>63</v>
      </c>
      <c r="I637" s="19" t="s">
        <v>64</v>
      </c>
      <c r="J637" s="19">
        <v>21</v>
      </c>
      <c r="K637" s="19">
        <v>1.8599999999999998E-2</v>
      </c>
      <c r="L637" s="19" t="s">
        <v>35</v>
      </c>
      <c r="M637" s="19" t="s">
        <v>40</v>
      </c>
      <c r="N637" s="19">
        <v>33.33</v>
      </c>
      <c r="O637" s="19">
        <v>33.33</v>
      </c>
      <c r="P637" s="19">
        <v>0</v>
      </c>
      <c r="Q637" s="19">
        <v>0</v>
      </c>
      <c r="S637" s="19">
        <v>1</v>
      </c>
      <c r="T637" s="19">
        <v>1</v>
      </c>
      <c r="U637" s="19">
        <v>0</v>
      </c>
      <c r="V637" s="19" t="s">
        <v>41</v>
      </c>
      <c r="W637" s="19">
        <v>1</v>
      </c>
      <c r="Y637" s="19" t="s">
        <v>40</v>
      </c>
      <c r="Z637" s="19">
        <v>33.33</v>
      </c>
      <c r="AA637" s="19">
        <v>33.33</v>
      </c>
    </row>
    <row r="638" spans="1:27" x14ac:dyDescent="0.25">
      <c r="A638" s="19" t="s">
        <v>840</v>
      </c>
      <c r="B638" s="19" t="s">
        <v>827</v>
      </c>
      <c r="C638" s="19" t="s">
        <v>828</v>
      </c>
      <c r="D638" s="19">
        <v>0.61993799999999899</v>
      </c>
      <c r="E638" s="19" t="s">
        <v>75</v>
      </c>
      <c r="F638" s="19" t="s">
        <v>76</v>
      </c>
      <c r="G638" s="19" t="s">
        <v>32</v>
      </c>
      <c r="H638" s="19" t="s">
        <v>63</v>
      </c>
      <c r="I638" s="19" t="s">
        <v>64</v>
      </c>
      <c r="J638" s="19">
        <v>24</v>
      </c>
      <c r="K638" s="19">
        <v>1.8599999999999998E-2</v>
      </c>
      <c r="L638" s="19" t="s">
        <v>35</v>
      </c>
      <c r="M638" s="19" t="s">
        <v>40</v>
      </c>
      <c r="N638" s="19">
        <v>33.33</v>
      </c>
      <c r="O638" s="19">
        <v>33.33</v>
      </c>
      <c r="P638" s="19">
        <v>0</v>
      </c>
      <c r="Q638" s="19">
        <v>0</v>
      </c>
      <c r="S638" s="19">
        <v>1</v>
      </c>
      <c r="T638" s="19">
        <v>1</v>
      </c>
      <c r="U638" s="19">
        <v>0</v>
      </c>
      <c r="V638" s="19" t="s">
        <v>41</v>
      </c>
      <c r="W638" s="19">
        <v>1</v>
      </c>
      <c r="Y638" s="19" t="s">
        <v>40</v>
      </c>
      <c r="Z638" s="19">
        <v>33.33</v>
      </c>
      <c r="AA638" s="19">
        <v>33.33</v>
      </c>
    </row>
    <row r="639" spans="1:27" x14ac:dyDescent="0.25">
      <c r="A639" s="19" t="s">
        <v>841</v>
      </c>
      <c r="B639" s="19" t="s">
        <v>827</v>
      </c>
      <c r="C639" s="19" t="s">
        <v>828</v>
      </c>
      <c r="D639" s="19">
        <v>0</v>
      </c>
      <c r="E639" s="19" t="s">
        <v>78</v>
      </c>
      <c r="F639" s="19" t="s">
        <v>79</v>
      </c>
      <c r="G639" s="19" t="s">
        <v>32</v>
      </c>
      <c r="H639" s="19" t="s">
        <v>63</v>
      </c>
      <c r="I639" s="19" t="s">
        <v>64</v>
      </c>
      <c r="J639" s="19">
        <v>25</v>
      </c>
      <c r="K639" s="19">
        <v>1.8599999999999998E-2</v>
      </c>
      <c r="L639" s="19" t="s">
        <v>35</v>
      </c>
      <c r="M639" s="19" t="s">
        <v>40</v>
      </c>
      <c r="N639" s="19">
        <v>0</v>
      </c>
      <c r="O639" s="19">
        <v>0</v>
      </c>
      <c r="P639" s="19">
        <v>0</v>
      </c>
      <c r="Q639" s="19">
        <v>0</v>
      </c>
      <c r="S639" s="19">
        <v>1</v>
      </c>
      <c r="T639" s="19">
        <v>1</v>
      </c>
      <c r="U639" s="19">
        <v>0</v>
      </c>
      <c r="V639" s="19" t="s">
        <v>80</v>
      </c>
      <c r="W639" s="19">
        <v>0</v>
      </c>
      <c r="Y639" s="19" t="s">
        <v>40</v>
      </c>
      <c r="Z639" s="19">
        <v>33.33</v>
      </c>
      <c r="AA639" s="19">
        <v>0</v>
      </c>
    </row>
    <row r="640" spans="1:27" x14ac:dyDescent="0.25">
      <c r="A640" s="19" t="s">
        <v>842</v>
      </c>
      <c r="B640" s="19" t="s">
        <v>827</v>
      </c>
      <c r="C640" s="19" t="s">
        <v>828</v>
      </c>
      <c r="D640" s="19">
        <v>0</v>
      </c>
      <c r="E640" s="19" t="s">
        <v>82</v>
      </c>
      <c r="F640" s="19" t="s">
        <v>83</v>
      </c>
      <c r="G640" s="19" t="s">
        <v>32</v>
      </c>
      <c r="H640" s="19" t="s">
        <v>63</v>
      </c>
      <c r="I640" s="19" t="s">
        <v>64</v>
      </c>
      <c r="J640" s="19">
        <v>26</v>
      </c>
      <c r="K640" s="19">
        <v>1.8599999999999998E-2</v>
      </c>
      <c r="L640" s="19" t="s">
        <v>35</v>
      </c>
      <c r="N640" s="19">
        <v>0</v>
      </c>
      <c r="O640" s="19">
        <v>0</v>
      </c>
      <c r="P640" s="19">
        <v>0</v>
      </c>
      <c r="Q640" s="19">
        <v>0</v>
      </c>
      <c r="S640" s="19">
        <v>1</v>
      </c>
      <c r="T640" s="19">
        <v>1</v>
      </c>
      <c r="U640" s="19">
        <v>0</v>
      </c>
      <c r="V640" s="19" t="s">
        <v>36</v>
      </c>
      <c r="W640" s="19">
        <v>0</v>
      </c>
      <c r="Z640" s="19">
        <v>0</v>
      </c>
      <c r="AA640" s="19">
        <v>0</v>
      </c>
    </row>
    <row r="641" spans="1:27" x14ac:dyDescent="0.25">
      <c r="A641" s="19" t="s">
        <v>843</v>
      </c>
      <c r="B641" s="19" t="s">
        <v>827</v>
      </c>
      <c r="C641" s="19" t="s">
        <v>828</v>
      </c>
      <c r="D641" s="19">
        <v>0</v>
      </c>
      <c r="E641" s="19" t="s">
        <v>85</v>
      </c>
      <c r="F641" s="19" t="s">
        <v>86</v>
      </c>
      <c r="G641" s="19" t="s">
        <v>32</v>
      </c>
      <c r="H641" s="19" t="s">
        <v>87</v>
      </c>
      <c r="I641" s="19" t="s">
        <v>88</v>
      </c>
      <c r="J641" s="19">
        <v>35</v>
      </c>
      <c r="K641" s="19">
        <v>3.2500000000000001E-2</v>
      </c>
      <c r="L641" s="19" t="s">
        <v>35</v>
      </c>
      <c r="N641" s="19">
        <v>0</v>
      </c>
      <c r="O641" s="19">
        <v>0</v>
      </c>
      <c r="P641" s="19">
        <v>0</v>
      </c>
      <c r="Q641" s="19">
        <v>0</v>
      </c>
      <c r="S641" s="19">
        <v>1</v>
      </c>
      <c r="T641" s="19">
        <v>1</v>
      </c>
      <c r="U641" s="19">
        <v>0</v>
      </c>
      <c r="V641" s="19" t="s">
        <v>36</v>
      </c>
      <c r="W641" s="19">
        <v>0</v>
      </c>
      <c r="Z641" s="19">
        <v>0</v>
      </c>
      <c r="AA641" s="19">
        <v>0</v>
      </c>
    </row>
    <row r="642" spans="1:27" x14ac:dyDescent="0.25">
      <c r="A642" s="19" t="s">
        <v>844</v>
      </c>
      <c r="B642" s="19" t="s">
        <v>827</v>
      </c>
      <c r="C642" s="19" t="s">
        <v>828</v>
      </c>
      <c r="D642" s="19">
        <v>0</v>
      </c>
      <c r="E642" s="19" t="s">
        <v>90</v>
      </c>
      <c r="F642" s="19" t="s">
        <v>91</v>
      </c>
      <c r="G642" s="19" t="s">
        <v>32</v>
      </c>
      <c r="H642" s="19" t="s">
        <v>87</v>
      </c>
      <c r="I642" s="19" t="s">
        <v>88</v>
      </c>
      <c r="J642" s="19">
        <v>33</v>
      </c>
      <c r="K642" s="19">
        <v>3.2500000000000001E-2</v>
      </c>
      <c r="L642" s="19" t="s">
        <v>35</v>
      </c>
      <c r="N642" s="19">
        <v>0</v>
      </c>
      <c r="O642" s="19">
        <v>0</v>
      </c>
      <c r="P642" s="19">
        <v>0</v>
      </c>
      <c r="Q642" s="19">
        <v>0</v>
      </c>
      <c r="S642" s="19">
        <v>1</v>
      </c>
      <c r="T642" s="19">
        <v>1</v>
      </c>
      <c r="U642" s="19">
        <v>0</v>
      </c>
      <c r="V642" s="19" t="s">
        <v>36</v>
      </c>
      <c r="W642" s="19">
        <v>0</v>
      </c>
      <c r="Z642" s="19">
        <v>0</v>
      </c>
      <c r="AA642" s="19">
        <v>0</v>
      </c>
    </row>
    <row r="643" spans="1:27" x14ac:dyDescent="0.25">
      <c r="A643" s="19" t="s">
        <v>845</v>
      </c>
      <c r="B643" s="19" t="s">
        <v>827</v>
      </c>
      <c r="C643" s="19" t="s">
        <v>828</v>
      </c>
      <c r="D643" s="19">
        <v>1.0832249999999899</v>
      </c>
      <c r="E643" s="19" t="s">
        <v>93</v>
      </c>
      <c r="F643" s="19" t="s">
        <v>94</v>
      </c>
      <c r="G643" s="19" t="s">
        <v>32</v>
      </c>
      <c r="H643" s="19" t="s">
        <v>87</v>
      </c>
      <c r="I643" s="19" t="s">
        <v>88</v>
      </c>
      <c r="J643" s="19">
        <v>34</v>
      </c>
      <c r="K643" s="19">
        <v>3.2500000000000001E-2</v>
      </c>
      <c r="L643" s="19" t="s">
        <v>35</v>
      </c>
      <c r="M643" s="19" t="s">
        <v>40</v>
      </c>
      <c r="N643" s="19">
        <v>33.33</v>
      </c>
      <c r="O643" s="19">
        <v>33.33</v>
      </c>
      <c r="P643" s="19">
        <v>0</v>
      </c>
      <c r="Q643" s="19">
        <v>0</v>
      </c>
      <c r="S643" s="19">
        <v>1</v>
      </c>
      <c r="T643" s="19">
        <v>1</v>
      </c>
      <c r="U643" s="19">
        <v>0</v>
      </c>
      <c r="V643" s="19" t="s">
        <v>41</v>
      </c>
      <c r="W643" s="19">
        <v>1</v>
      </c>
      <c r="Y643" s="19" t="s">
        <v>40</v>
      </c>
      <c r="Z643" s="19">
        <v>33.33</v>
      </c>
      <c r="AA643" s="19">
        <v>33.33</v>
      </c>
    </row>
    <row r="644" spans="1:27" x14ac:dyDescent="0.25">
      <c r="A644" s="19" t="s">
        <v>846</v>
      </c>
      <c r="B644" s="19" t="s">
        <v>827</v>
      </c>
      <c r="C644" s="19" t="s">
        <v>828</v>
      </c>
      <c r="D644" s="19">
        <v>0</v>
      </c>
      <c r="E644" s="19" t="s">
        <v>96</v>
      </c>
      <c r="F644" s="19" t="s">
        <v>97</v>
      </c>
      <c r="G644" s="19" t="s">
        <v>32</v>
      </c>
      <c r="H644" s="19" t="s">
        <v>87</v>
      </c>
      <c r="I644" s="19" t="s">
        <v>88</v>
      </c>
      <c r="J644" s="19">
        <v>36</v>
      </c>
      <c r="K644" s="19">
        <v>3.2500000000000001E-2</v>
      </c>
      <c r="L644" s="19" t="s">
        <v>35</v>
      </c>
      <c r="N644" s="19">
        <v>0</v>
      </c>
      <c r="O644" s="19">
        <v>0</v>
      </c>
      <c r="P644" s="19">
        <v>0</v>
      </c>
      <c r="Q644" s="19">
        <v>0</v>
      </c>
      <c r="S644" s="19">
        <v>1</v>
      </c>
      <c r="T644" s="19">
        <v>1</v>
      </c>
      <c r="U644" s="19">
        <v>0</v>
      </c>
      <c r="V644" s="19" t="s">
        <v>36</v>
      </c>
      <c r="W644" s="19">
        <v>0</v>
      </c>
      <c r="Z644" s="19">
        <v>0</v>
      </c>
      <c r="AA644" s="19">
        <v>0</v>
      </c>
    </row>
    <row r="645" spans="1:27" x14ac:dyDescent="0.25">
      <c r="A645" s="19" t="s">
        <v>847</v>
      </c>
      <c r="B645" s="19" t="s">
        <v>827</v>
      </c>
      <c r="C645" s="19" t="s">
        <v>828</v>
      </c>
      <c r="D645" s="19">
        <v>0</v>
      </c>
      <c r="E645" s="19" t="s">
        <v>99</v>
      </c>
      <c r="F645" s="19" t="s">
        <v>100</v>
      </c>
      <c r="G645" s="19" t="s">
        <v>32</v>
      </c>
      <c r="H645" s="19" t="s">
        <v>101</v>
      </c>
      <c r="I645" s="19" t="s">
        <v>102</v>
      </c>
      <c r="J645" s="19">
        <v>39</v>
      </c>
      <c r="K645" s="19">
        <v>4.3299999999999998E-2</v>
      </c>
      <c r="L645" s="19" t="s">
        <v>35</v>
      </c>
      <c r="M645" s="19" t="s">
        <v>103</v>
      </c>
      <c r="N645" s="19">
        <v>0</v>
      </c>
      <c r="O645" s="19">
        <v>0</v>
      </c>
      <c r="P645" s="19">
        <v>0</v>
      </c>
      <c r="Q645" s="19">
        <v>0</v>
      </c>
      <c r="S645" s="19">
        <v>1</v>
      </c>
      <c r="T645" s="19">
        <v>1</v>
      </c>
      <c r="U645" s="19">
        <v>0</v>
      </c>
      <c r="V645" s="19" t="s">
        <v>80</v>
      </c>
      <c r="W645" s="19">
        <v>0</v>
      </c>
      <c r="Y645" s="19" t="s">
        <v>103</v>
      </c>
      <c r="Z645" s="19">
        <v>50</v>
      </c>
      <c r="AA645" s="19">
        <v>0</v>
      </c>
    </row>
    <row r="646" spans="1:27" x14ac:dyDescent="0.25">
      <c r="A646" s="19" t="s">
        <v>848</v>
      </c>
      <c r="B646" s="19" t="s">
        <v>827</v>
      </c>
      <c r="C646" s="19" t="s">
        <v>828</v>
      </c>
      <c r="D646" s="19">
        <v>0</v>
      </c>
      <c r="E646" s="19" t="s">
        <v>105</v>
      </c>
      <c r="F646" s="19" t="s">
        <v>106</v>
      </c>
      <c r="G646" s="19" t="s">
        <v>32</v>
      </c>
      <c r="H646" s="19" t="s">
        <v>101</v>
      </c>
      <c r="I646" s="19" t="s">
        <v>102</v>
      </c>
      <c r="J646" s="19">
        <v>38</v>
      </c>
      <c r="K646" s="19">
        <v>4.3299999999999998E-2</v>
      </c>
      <c r="L646" s="19" t="s">
        <v>35</v>
      </c>
      <c r="M646" s="19" t="s">
        <v>103</v>
      </c>
      <c r="N646" s="19">
        <v>0</v>
      </c>
      <c r="O646" s="19">
        <v>0</v>
      </c>
      <c r="P646" s="19">
        <v>0</v>
      </c>
      <c r="Q646" s="19">
        <v>0</v>
      </c>
      <c r="S646" s="19">
        <v>1</v>
      </c>
      <c r="T646" s="19">
        <v>1</v>
      </c>
      <c r="U646" s="19">
        <v>0</v>
      </c>
      <c r="V646" s="19" t="s">
        <v>36</v>
      </c>
      <c r="W646" s="19">
        <v>0</v>
      </c>
      <c r="Y646" s="19" t="s">
        <v>103</v>
      </c>
      <c r="Z646" s="19">
        <v>50</v>
      </c>
      <c r="AA646" s="19">
        <v>0</v>
      </c>
    </row>
    <row r="647" spans="1:27" x14ac:dyDescent="0.25">
      <c r="A647" s="19" t="s">
        <v>849</v>
      </c>
      <c r="B647" s="19" t="s">
        <v>827</v>
      </c>
      <c r="C647" s="19" t="s">
        <v>828</v>
      </c>
      <c r="D647" s="19">
        <v>0</v>
      </c>
      <c r="E647" s="19" t="s">
        <v>108</v>
      </c>
      <c r="F647" s="19" t="s">
        <v>109</v>
      </c>
      <c r="G647" s="19" t="s">
        <v>32</v>
      </c>
      <c r="H647" s="19" t="s">
        <v>101</v>
      </c>
      <c r="I647" s="19" t="s">
        <v>102</v>
      </c>
      <c r="J647" s="19">
        <v>37</v>
      </c>
      <c r="K647" s="19">
        <v>4.3299999999999998E-2</v>
      </c>
      <c r="L647" s="19" t="s">
        <v>35</v>
      </c>
      <c r="M647" s="19" t="s">
        <v>40</v>
      </c>
      <c r="N647" s="19">
        <v>0</v>
      </c>
      <c r="O647" s="19">
        <v>0</v>
      </c>
      <c r="P647" s="19">
        <v>0</v>
      </c>
      <c r="Q647" s="19">
        <v>0</v>
      </c>
      <c r="S647" s="19">
        <v>1</v>
      </c>
      <c r="T647" s="19">
        <v>1</v>
      </c>
      <c r="U647" s="19">
        <v>0</v>
      </c>
      <c r="V647" s="19" t="s">
        <v>80</v>
      </c>
      <c r="W647" s="19">
        <v>0</v>
      </c>
      <c r="Y647" s="19" t="s">
        <v>40</v>
      </c>
      <c r="Z647" s="19">
        <v>33.33</v>
      </c>
      <c r="AA647" s="19">
        <v>0</v>
      </c>
    </row>
    <row r="648" spans="1:27" x14ac:dyDescent="0.25">
      <c r="A648" s="19" t="s">
        <v>850</v>
      </c>
      <c r="B648" s="19" t="s">
        <v>827</v>
      </c>
      <c r="C648" s="19" t="s">
        <v>828</v>
      </c>
      <c r="D648" s="19">
        <v>0</v>
      </c>
      <c r="E648" s="19" t="s">
        <v>112</v>
      </c>
      <c r="F648" s="19" t="s">
        <v>113</v>
      </c>
      <c r="G648" s="19" t="s">
        <v>32</v>
      </c>
      <c r="H648" s="19" t="s">
        <v>114</v>
      </c>
      <c r="I648" s="19" t="s">
        <v>115</v>
      </c>
      <c r="J648" s="19">
        <v>30</v>
      </c>
      <c r="K648" s="19">
        <v>2.1700000000000001E-2</v>
      </c>
      <c r="L648" s="19" t="s">
        <v>35</v>
      </c>
      <c r="M648" s="19" t="s">
        <v>103</v>
      </c>
      <c r="N648" s="19">
        <v>0</v>
      </c>
      <c r="O648" s="19">
        <v>0</v>
      </c>
      <c r="P648" s="19">
        <v>0</v>
      </c>
      <c r="Q648" s="19">
        <v>0</v>
      </c>
      <c r="S648" s="19">
        <v>1</v>
      </c>
      <c r="T648" s="19">
        <v>1</v>
      </c>
      <c r="U648" s="19">
        <v>0</v>
      </c>
      <c r="V648" s="19" t="s">
        <v>36</v>
      </c>
      <c r="W648" s="19">
        <v>0</v>
      </c>
      <c r="Y648" s="19" t="s">
        <v>103</v>
      </c>
      <c r="Z648" s="19">
        <v>50</v>
      </c>
      <c r="AA648" s="19">
        <v>0</v>
      </c>
    </row>
    <row r="649" spans="1:27" x14ac:dyDescent="0.25">
      <c r="A649" s="19" t="s">
        <v>851</v>
      </c>
      <c r="B649" s="19" t="s">
        <v>827</v>
      </c>
      <c r="C649" s="19" t="s">
        <v>828</v>
      </c>
      <c r="D649" s="19">
        <v>0</v>
      </c>
      <c r="E649" s="19" t="s">
        <v>117</v>
      </c>
      <c r="F649" s="19" t="s">
        <v>118</v>
      </c>
      <c r="G649" s="19" t="s">
        <v>32</v>
      </c>
      <c r="H649" s="19" t="s">
        <v>114</v>
      </c>
      <c r="I649" s="19" t="s">
        <v>115</v>
      </c>
      <c r="J649" s="19">
        <v>31</v>
      </c>
      <c r="K649" s="19">
        <v>2.1700000000000001E-2</v>
      </c>
      <c r="L649" s="19" t="s">
        <v>35</v>
      </c>
      <c r="M649" s="19" t="s">
        <v>103</v>
      </c>
      <c r="N649" s="19">
        <v>0</v>
      </c>
      <c r="O649" s="19">
        <v>0</v>
      </c>
      <c r="P649" s="19">
        <v>0</v>
      </c>
      <c r="Q649" s="19">
        <v>0</v>
      </c>
      <c r="S649" s="19">
        <v>1</v>
      </c>
      <c r="T649" s="19">
        <v>1</v>
      </c>
      <c r="U649" s="19">
        <v>0</v>
      </c>
      <c r="V649" s="19" t="s">
        <v>36</v>
      </c>
      <c r="W649" s="19">
        <v>0</v>
      </c>
      <c r="Y649" s="19" t="s">
        <v>103</v>
      </c>
      <c r="Z649" s="19">
        <v>50</v>
      </c>
      <c r="AA649" s="19">
        <v>0</v>
      </c>
    </row>
    <row r="650" spans="1:27" x14ac:dyDescent="0.25">
      <c r="A650" s="19" t="s">
        <v>852</v>
      </c>
      <c r="B650" s="19" t="s">
        <v>827</v>
      </c>
      <c r="C650" s="19" t="s">
        <v>828</v>
      </c>
      <c r="D650" s="19">
        <v>0</v>
      </c>
      <c r="E650" s="19" t="s">
        <v>120</v>
      </c>
      <c r="F650" s="19" t="s">
        <v>121</v>
      </c>
      <c r="G650" s="19" t="s">
        <v>32</v>
      </c>
      <c r="H650" s="19" t="s">
        <v>114</v>
      </c>
      <c r="I650" s="19" t="s">
        <v>115</v>
      </c>
      <c r="J650" s="19">
        <v>28</v>
      </c>
      <c r="K650" s="19">
        <v>2.1700000000000001E-2</v>
      </c>
      <c r="L650" s="19" t="s">
        <v>35</v>
      </c>
      <c r="M650" s="19" t="s">
        <v>103</v>
      </c>
      <c r="N650" s="19">
        <v>0</v>
      </c>
      <c r="O650" s="19">
        <v>0</v>
      </c>
      <c r="P650" s="19">
        <v>0</v>
      </c>
      <c r="Q650" s="19">
        <v>0</v>
      </c>
      <c r="S650" s="19">
        <v>1</v>
      </c>
      <c r="T650" s="19">
        <v>1</v>
      </c>
      <c r="U650" s="19">
        <v>0</v>
      </c>
      <c r="V650" s="19" t="s">
        <v>80</v>
      </c>
      <c r="W650" s="19">
        <v>0</v>
      </c>
      <c r="Y650" s="19" t="s">
        <v>103</v>
      </c>
      <c r="Z650" s="19">
        <v>50</v>
      </c>
      <c r="AA650" s="19">
        <v>0</v>
      </c>
    </row>
    <row r="651" spans="1:27" x14ac:dyDescent="0.25">
      <c r="A651" s="19" t="s">
        <v>853</v>
      </c>
      <c r="B651" s="19" t="s">
        <v>827</v>
      </c>
      <c r="C651" s="19" t="s">
        <v>828</v>
      </c>
      <c r="D651" s="19">
        <v>0</v>
      </c>
      <c r="E651" s="19" t="s">
        <v>123</v>
      </c>
      <c r="F651" s="19" t="s">
        <v>124</v>
      </c>
      <c r="G651" s="19" t="s">
        <v>32</v>
      </c>
      <c r="H651" s="19" t="s">
        <v>114</v>
      </c>
      <c r="I651" s="19" t="s">
        <v>115</v>
      </c>
      <c r="J651" s="19">
        <v>27</v>
      </c>
      <c r="K651" s="19">
        <v>2.1700000000000001E-2</v>
      </c>
      <c r="L651" s="19" t="s">
        <v>35</v>
      </c>
      <c r="M651" s="19" t="s">
        <v>103</v>
      </c>
      <c r="N651" s="19">
        <v>0</v>
      </c>
      <c r="O651" s="19">
        <v>0</v>
      </c>
      <c r="P651" s="19">
        <v>0</v>
      </c>
      <c r="Q651" s="19">
        <v>0</v>
      </c>
      <c r="S651" s="19">
        <v>1</v>
      </c>
      <c r="T651" s="19">
        <v>1</v>
      </c>
      <c r="U651" s="19">
        <v>0</v>
      </c>
      <c r="V651" s="19" t="s">
        <v>80</v>
      </c>
      <c r="W651" s="19">
        <v>0</v>
      </c>
      <c r="Y651" s="19" t="s">
        <v>103</v>
      </c>
      <c r="Z651" s="19">
        <v>50</v>
      </c>
      <c r="AA651" s="19">
        <v>0</v>
      </c>
    </row>
    <row r="652" spans="1:27" x14ac:dyDescent="0.25">
      <c r="A652" s="19" t="s">
        <v>854</v>
      </c>
      <c r="B652" s="19" t="s">
        <v>827</v>
      </c>
      <c r="C652" s="19" t="s">
        <v>828</v>
      </c>
      <c r="D652" s="19">
        <v>0</v>
      </c>
      <c r="E652" s="19" t="s">
        <v>126</v>
      </c>
      <c r="F652" s="19" t="s">
        <v>127</v>
      </c>
      <c r="G652" s="19" t="s">
        <v>32</v>
      </c>
      <c r="H652" s="19" t="s">
        <v>114</v>
      </c>
      <c r="I652" s="19" t="s">
        <v>115</v>
      </c>
      <c r="J652" s="19">
        <v>29</v>
      </c>
      <c r="K652" s="19">
        <v>2.1700000000000001E-2</v>
      </c>
      <c r="L652" s="19" t="s">
        <v>35</v>
      </c>
      <c r="M652" s="19" t="s">
        <v>103</v>
      </c>
      <c r="N652" s="19">
        <v>0</v>
      </c>
      <c r="O652" s="19">
        <v>0</v>
      </c>
      <c r="P652" s="19">
        <v>0</v>
      </c>
      <c r="Q652" s="19">
        <v>0</v>
      </c>
      <c r="S652" s="19">
        <v>1</v>
      </c>
      <c r="T652" s="19">
        <v>1</v>
      </c>
      <c r="U652" s="19">
        <v>0</v>
      </c>
      <c r="V652" s="19" t="s">
        <v>80</v>
      </c>
      <c r="W652" s="19">
        <v>0</v>
      </c>
      <c r="Y652" s="19" t="s">
        <v>103</v>
      </c>
      <c r="Z652" s="19">
        <v>50</v>
      </c>
      <c r="AA652" s="19">
        <v>0</v>
      </c>
    </row>
    <row r="653" spans="1:27" x14ac:dyDescent="0.25">
      <c r="A653" s="19" t="s">
        <v>855</v>
      </c>
      <c r="B653" s="19" t="s">
        <v>827</v>
      </c>
      <c r="C653" s="19" t="s">
        <v>828</v>
      </c>
      <c r="D653" s="19">
        <v>1.085</v>
      </c>
      <c r="E653" s="19" t="s">
        <v>129</v>
      </c>
      <c r="F653" s="19" t="s">
        <v>130</v>
      </c>
      <c r="G653" s="19" t="s">
        <v>32</v>
      </c>
      <c r="H653" s="19" t="s">
        <v>114</v>
      </c>
      <c r="I653" s="19" t="s">
        <v>115</v>
      </c>
      <c r="J653" s="19">
        <v>32</v>
      </c>
      <c r="K653" s="19">
        <v>2.1700000000000001E-2</v>
      </c>
      <c r="L653" s="19" t="s">
        <v>35</v>
      </c>
      <c r="M653" s="19" t="s">
        <v>103</v>
      </c>
      <c r="N653" s="19">
        <v>50</v>
      </c>
      <c r="O653" s="19">
        <v>50</v>
      </c>
      <c r="P653" s="19">
        <v>0</v>
      </c>
      <c r="Q653" s="19">
        <v>0</v>
      </c>
      <c r="S653" s="19">
        <v>1</v>
      </c>
      <c r="T653" s="19">
        <v>1</v>
      </c>
      <c r="U653" s="19">
        <v>0</v>
      </c>
      <c r="V653" s="19" t="s">
        <v>41</v>
      </c>
      <c r="W653" s="19">
        <v>1</v>
      </c>
      <c r="Y653" s="19" t="s">
        <v>103</v>
      </c>
      <c r="Z653" s="19">
        <v>50</v>
      </c>
      <c r="AA653" s="19">
        <v>50</v>
      </c>
    </row>
    <row r="654" spans="1:27" x14ac:dyDescent="0.25">
      <c r="A654" s="19" t="s">
        <v>856</v>
      </c>
      <c r="B654" s="19" t="s">
        <v>827</v>
      </c>
      <c r="C654" s="19" t="s">
        <v>828</v>
      </c>
      <c r="D654" s="19">
        <v>0</v>
      </c>
      <c r="E654" s="19" t="s">
        <v>132</v>
      </c>
      <c r="F654" s="19" t="s">
        <v>133</v>
      </c>
      <c r="G654" s="19" t="s">
        <v>134</v>
      </c>
      <c r="H654" s="19" t="s">
        <v>87</v>
      </c>
      <c r="I654" s="19" t="s">
        <v>135</v>
      </c>
      <c r="J654" s="19">
        <v>11</v>
      </c>
      <c r="K654" s="19">
        <v>4.1700000000000001E-2</v>
      </c>
      <c r="L654" s="19" t="s">
        <v>35</v>
      </c>
      <c r="M654" s="19" t="s">
        <v>103</v>
      </c>
      <c r="N654" s="19">
        <v>0</v>
      </c>
      <c r="O654" s="19">
        <v>0</v>
      </c>
      <c r="P654" s="19">
        <v>0</v>
      </c>
      <c r="Q654" s="19">
        <v>0</v>
      </c>
      <c r="S654" s="19">
        <v>1</v>
      </c>
      <c r="T654" s="19">
        <v>1</v>
      </c>
      <c r="U654" s="19">
        <v>0</v>
      </c>
      <c r="V654" s="19" t="s">
        <v>80</v>
      </c>
      <c r="W654" s="19">
        <v>0</v>
      </c>
      <c r="Y654" s="19" t="s">
        <v>103</v>
      </c>
      <c r="Z654" s="19">
        <v>50</v>
      </c>
      <c r="AA654" s="19">
        <v>0</v>
      </c>
    </row>
    <row r="655" spans="1:27" x14ac:dyDescent="0.25">
      <c r="A655" s="19" t="s">
        <v>857</v>
      </c>
      <c r="B655" s="19" t="s">
        <v>827</v>
      </c>
      <c r="C655" s="19" t="s">
        <v>828</v>
      </c>
      <c r="D655" s="19">
        <v>0.463287</v>
      </c>
      <c r="E655" s="19" t="s">
        <v>137</v>
      </c>
      <c r="F655" s="19" t="s">
        <v>138</v>
      </c>
      <c r="G655" s="19" t="s">
        <v>134</v>
      </c>
      <c r="H655" s="19" t="s">
        <v>87</v>
      </c>
      <c r="I655" s="19" t="s">
        <v>135</v>
      </c>
      <c r="J655" s="19">
        <v>9</v>
      </c>
      <c r="K655" s="19">
        <v>4.1700000000000001E-2</v>
      </c>
      <c r="L655" s="19" t="s">
        <v>35</v>
      </c>
      <c r="M655" s="19" t="s">
        <v>110</v>
      </c>
      <c r="N655" s="19">
        <v>11.11</v>
      </c>
      <c r="O655" s="19">
        <v>11.11</v>
      </c>
      <c r="P655" s="19">
        <v>0</v>
      </c>
      <c r="Q655" s="19">
        <v>0</v>
      </c>
      <c r="S655" s="19">
        <v>1</v>
      </c>
      <c r="T655" s="19">
        <v>1</v>
      </c>
      <c r="U655" s="19">
        <v>0</v>
      </c>
      <c r="W655" s="19">
        <v>0</v>
      </c>
      <c r="X655" s="19">
        <v>2</v>
      </c>
      <c r="Y655" s="19" t="s">
        <v>110</v>
      </c>
      <c r="Z655" s="19">
        <v>16.664999999999999</v>
      </c>
      <c r="AA655" s="19">
        <v>11.11</v>
      </c>
    </row>
    <row r="656" spans="1:27" x14ac:dyDescent="0.25">
      <c r="A656" s="19" t="s">
        <v>858</v>
      </c>
      <c r="B656" s="19" t="s">
        <v>827</v>
      </c>
      <c r="C656" s="19" t="s">
        <v>828</v>
      </c>
      <c r="D656" s="19">
        <v>0.463287</v>
      </c>
      <c r="E656" s="19" t="s">
        <v>140</v>
      </c>
      <c r="F656" s="19" t="s">
        <v>141</v>
      </c>
      <c r="G656" s="19" t="s">
        <v>134</v>
      </c>
      <c r="H656" s="19" t="s">
        <v>87</v>
      </c>
      <c r="I656" s="19" t="s">
        <v>135</v>
      </c>
      <c r="J656" s="19">
        <v>10</v>
      </c>
      <c r="K656" s="19">
        <v>4.1700000000000001E-2</v>
      </c>
      <c r="L656" s="19" t="s">
        <v>35</v>
      </c>
      <c r="M656" s="19" t="s">
        <v>110</v>
      </c>
      <c r="N656" s="19">
        <v>11.11</v>
      </c>
      <c r="O656" s="19">
        <v>11.11</v>
      </c>
      <c r="P656" s="19">
        <v>0</v>
      </c>
      <c r="Q656" s="19">
        <v>0</v>
      </c>
      <c r="S656" s="19">
        <v>1</v>
      </c>
      <c r="T656" s="19">
        <v>1</v>
      </c>
      <c r="U656" s="19">
        <v>0</v>
      </c>
      <c r="W656" s="19">
        <v>0</v>
      </c>
      <c r="X656" s="19">
        <v>2</v>
      </c>
      <c r="Y656" s="19" t="s">
        <v>110</v>
      </c>
      <c r="Z656" s="19">
        <v>16.664999999999999</v>
      </c>
      <c r="AA656" s="19">
        <v>11.11</v>
      </c>
    </row>
    <row r="657" spans="1:27" x14ac:dyDescent="0.25">
      <c r="A657" s="19" t="s">
        <v>859</v>
      </c>
      <c r="B657" s="19" t="s">
        <v>827</v>
      </c>
      <c r="C657" s="19" t="s">
        <v>828</v>
      </c>
      <c r="D657" s="19">
        <v>1.25</v>
      </c>
      <c r="E657" s="19" t="s">
        <v>144</v>
      </c>
      <c r="F657" s="19" t="s">
        <v>145</v>
      </c>
      <c r="G657" s="19" t="s">
        <v>134</v>
      </c>
      <c r="H657" s="19" t="s">
        <v>146</v>
      </c>
      <c r="I657" s="19" t="s">
        <v>147</v>
      </c>
      <c r="J657" s="19">
        <v>4</v>
      </c>
      <c r="K657" s="19">
        <v>2.5000000000000001E-2</v>
      </c>
      <c r="L657" s="19" t="s">
        <v>35</v>
      </c>
      <c r="M657" s="19" t="s">
        <v>103</v>
      </c>
      <c r="N657" s="19">
        <v>50</v>
      </c>
      <c r="O657" s="19">
        <v>50</v>
      </c>
      <c r="P657" s="19">
        <v>0</v>
      </c>
      <c r="Q657" s="19">
        <v>0</v>
      </c>
      <c r="S657" s="19">
        <v>1</v>
      </c>
      <c r="T657" s="19">
        <v>1</v>
      </c>
      <c r="U657" s="19">
        <v>0</v>
      </c>
      <c r="V657" s="19" t="s">
        <v>41</v>
      </c>
      <c r="W657" s="19">
        <v>1</v>
      </c>
      <c r="Y657" s="19" t="s">
        <v>103</v>
      </c>
      <c r="Z657" s="19">
        <v>50</v>
      </c>
      <c r="AA657" s="19">
        <v>50</v>
      </c>
    </row>
    <row r="658" spans="1:27" x14ac:dyDescent="0.25">
      <c r="A658" s="19" t="s">
        <v>860</v>
      </c>
      <c r="B658" s="19" t="s">
        <v>827</v>
      </c>
      <c r="C658" s="19" t="s">
        <v>828</v>
      </c>
      <c r="D658" s="19">
        <v>1.25</v>
      </c>
      <c r="E658" s="19" t="s">
        <v>149</v>
      </c>
      <c r="F658" s="19" t="s">
        <v>150</v>
      </c>
      <c r="G658" s="19" t="s">
        <v>134</v>
      </c>
      <c r="H658" s="19" t="s">
        <v>146</v>
      </c>
      <c r="I658" s="19" t="s">
        <v>147</v>
      </c>
      <c r="J658" s="19">
        <v>5</v>
      </c>
      <c r="K658" s="19">
        <v>2.5000000000000001E-2</v>
      </c>
      <c r="L658" s="19" t="s">
        <v>35</v>
      </c>
      <c r="M658" s="19" t="s">
        <v>103</v>
      </c>
      <c r="N658" s="19">
        <v>50</v>
      </c>
      <c r="O658" s="19">
        <v>50</v>
      </c>
      <c r="P658" s="19">
        <v>0</v>
      </c>
      <c r="Q658" s="19">
        <v>0</v>
      </c>
      <c r="S658" s="19">
        <v>1</v>
      </c>
      <c r="T658" s="19">
        <v>1</v>
      </c>
      <c r="U658" s="19">
        <v>0</v>
      </c>
      <c r="V658" s="19" t="s">
        <v>41</v>
      </c>
      <c r="W658" s="19">
        <v>1</v>
      </c>
      <c r="Y658" s="19" t="s">
        <v>103</v>
      </c>
      <c r="Z658" s="19">
        <v>50</v>
      </c>
      <c r="AA658" s="19">
        <v>50</v>
      </c>
    </row>
    <row r="659" spans="1:27" x14ac:dyDescent="0.25">
      <c r="A659" s="19" t="s">
        <v>861</v>
      </c>
      <c r="B659" s="19" t="s">
        <v>827</v>
      </c>
      <c r="C659" s="19" t="s">
        <v>828</v>
      </c>
      <c r="D659" s="19">
        <v>1.25</v>
      </c>
      <c r="E659" s="19" t="s">
        <v>152</v>
      </c>
      <c r="F659" s="19" t="s">
        <v>153</v>
      </c>
      <c r="G659" s="19" t="s">
        <v>134</v>
      </c>
      <c r="H659" s="19" t="s">
        <v>146</v>
      </c>
      <c r="I659" s="19" t="s">
        <v>147</v>
      </c>
      <c r="J659" s="19">
        <v>6</v>
      </c>
      <c r="K659" s="19">
        <v>2.5000000000000001E-2</v>
      </c>
      <c r="L659" s="19" t="s">
        <v>35</v>
      </c>
      <c r="M659" s="19" t="s">
        <v>103</v>
      </c>
      <c r="N659" s="19">
        <v>50</v>
      </c>
      <c r="O659" s="19">
        <v>50</v>
      </c>
      <c r="P659" s="19">
        <v>0</v>
      </c>
      <c r="Q659" s="19">
        <v>0</v>
      </c>
      <c r="S659" s="19">
        <v>1</v>
      </c>
      <c r="T659" s="19">
        <v>1</v>
      </c>
      <c r="U659" s="19">
        <v>0</v>
      </c>
      <c r="V659" s="19" t="s">
        <v>41</v>
      </c>
      <c r="W659" s="19">
        <v>1</v>
      </c>
      <c r="Y659" s="19" t="s">
        <v>103</v>
      </c>
      <c r="Z659" s="19">
        <v>50</v>
      </c>
      <c r="AA659" s="19">
        <v>50</v>
      </c>
    </row>
    <row r="660" spans="1:27" x14ac:dyDescent="0.25">
      <c r="A660" s="19" t="s">
        <v>862</v>
      </c>
      <c r="B660" s="19" t="s">
        <v>827</v>
      </c>
      <c r="C660" s="19" t="s">
        <v>828</v>
      </c>
      <c r="D660" s="19">
        <v>1.25</v>
      </c>
      <c r="E660" s="19" t="s">
        <v>155</v>
      </c>
      <c r="F660" s="19" t="s">
        <v>156</v>
      </c>
      <c r="G660" s="19" t="s">
        <v>134</v>
      </c>
      <c r="H660" s="19" t="s">
        <v>146</v>
      </c>
      <c r="I660" s="19" t="s">
        <v>147</v>
      </c>
      <c r="J660" s="19">
        <v>7</v>
      </c>
      <c r="K660" s="19">
        <v>2.5000000000000001E-2</v>
      </c>
      <c r="L660" s="19" t="s">
        <v>35</v>
      </c>
      <c r="M660" s="19" t="s">
        <v>103</v>
      </c>
      <c r="N660" s="19">
        <v>50</v>
      </c>
      <c r="O660" s="19">
        <v>50</v>
      </c>
      <c r="P660" s="19">
        <v>0</v>
      </c>
      <c r="Q660" s="19">
        <v>0</v>
      </c>
      <c r="S660" s="19">
        <v>1</v>
      </c>
      <c r="T660" s="19">
        <v>1</v>
      </c>
      <c r="U660" s="19">
        <v>0</v>
      </c>
      <c r="V660" s="19" t="s">
        <v>41</v>
      </c>
      <c r="W660" s="19">
        <v>1</v>
      </c>
      <c r="Y660" s="19" t="s">
        <v>103</v>
      </c>
      <c r="Z660" s="19">
        <v>50</v>
      </c>
      <c r="AA660" s="19">
        <v>50</v>
      </c>
    </row>
    <row r="661" spans="1:27" x14ac:dyDescent="0.25">
      <c r="A661" s="19" t="s">
        <v>863</v>
      </c>
      <c r="B661" s="19" t="s">
        <v>827</v>
      </c>
      <c r="C661" s="19" t="s">
        <v>828</v>
      </c>
      <c r="D661" s="19">
        <v>0</v>
      </c>
      <c r="E661" s="19" t="s">
        <v>158</v>
      </c>
      <c r="F661" s="19" t="s">
        <v>159</v>
      </c>
      <c r="G661" s="19" t="s">
        <v>134</v>
      </c>
      <c r="H661" s="19" t="s">
        <v>146</v>
      </c>
      <c r="I661" s="19" t="s">
        <v>147</v>
      </c>
      <c r="J661" s="19">
        <v>8</v>
      </c>
      <c r="K661" s="19">
        <v>2.5000000000000001E-2</v>
      </c>
      <c r="L661" s="19" t="s">
        <v>35</v>
      </c>
      <c r="M661" s="19" t="s">
        <v>103</v>
      </c>
      <c r="N661" s="19">
        <v>0</v>
      </c>
      <c r="O661" s="19">
        <v>0</v>
      </c>
      <c r="P661" s="19">
        <v>0</v>
      </c>
      <c r="Q661" s="19">
        <v>0</v>
      </c>
      <c r="S661" s="19">
        <v>1</v>
      </c>
      <c r="T661" s="19">
        <v>1</v>
      </c>
      <c r="U661" s="19">
        <v>0</v>
      </c>
      <c r="V661" s="19" t="s">
        <v>80</v>
      </c>
      <c r="W661" s="19">
        <v>0</v>
      </c>
      <c r="Y661" s="19" t="s">
        <v>103</v>
      </c>
      <c r="Z661" s="19">
        <v>50</v>
      </c>
      <c r="AA661" s="19">
        <v>0</v>
      </c>
    </row>
    <row r="662" spans="1:27" x14ac:dyDescent="0.25">
      <c r="A662" s="19" t="s">
        <v>864</v>
      </c>
      <c r="B662" s="19" t="s">
        <v>827</v>
      </c>
      <c r="C662" s="19" t="s">
        <v>828</v>
      </c>
      <c r="D662" s="19">
        <v>3.33</v>
      </c>
      <c r="E662" s="19" t="s">
        <v>161</v>
      </c>
      <c r="F662" s="19" t="s">
        <v>162</v>
      </c>
      <c r="G662" s="19" t="s">
        <v>163</v>
      </c>
      <c r="I662" s="19" t="s">
        <v>164</v>
      </c>
      <c r="J662" s="19">
        <v>1</v>
      </c>
      <c r="K662" s="19">
        <v>3.3300000000000003E-2</v>
      </c>
      <c r="L662" s="19" t="s">
        <v>35</v>
      </c>
      <c r="M662" s="19" t="s">
        <v>165</v>
      </c>
      <c r="N662" s="19">
        <v>100</v>
      </c>
      <c r="O662" s="19">
        <v>100</v>
      </c>
      <c r="P662" s="19">
        <v>0</v>
      </c>
      <c r="Q662" s="19">
        <v>0</v>
      </c>
      <c r="S662" s="19">
        <v>1</v>
      </c>
      <c r="T662" s="19">
        <v>1</v>
      </c>
      <c r="U662" s="19">
        <v>0</v>
      </c>
      <c r="W662" s="19">
        <v>0</v>
      </c>
      <c r="X662" s="19">
        <v>100</v>
      </c>
      <c r="Z662" s="19">
        <v>0</v>
      </c>
      <c r="AA662" s="19">
        <v>100</v>
      </c>
    </row>
    <row r="663" spans="1:27" x14ac:dyDescent="0.25">
      <c r="A663" s="19" t="s">
        <v>865</v>
      </c>
      <c r="B663" s="19" t="s">
        <v>827</v>
      </c>
      <c r="C663" s="19" t="s">
        <v>828</v>
      </c>
      <c r="D663" s="19">
        <v>0</v>
      </c>
      <c r="E663" s="19" t="s">
        <v>167</v>
      </c>
      <c r="F663" s="19" t="s">
        <v>168</v>
      </c>
      <c r="G663" s="19" t="s">
        <v>163</v>
      </c>
      <c r="I663" s="19" t="s">
        <v>164</v>
      </c>
      <c r="J663" s="19">
        <v>3</v>
      </c>
      <c r="K663" s="19">
        <v>3.3300000000000003E-2</v>
      </c>
      <c r="L663" s="19" t="s">
        <v>35</v>
      </c>
      <c r="M663" s="19" t="s">
        <v>165</v>
      </c>
      <c r="N663" s="19">
        <v>0</v>
      </c>
      <c r="O663" s="19">
        <v>0</v>
      </c>
      <c r="P663" s="19">
        <v>0</v>
      </c>
      <c r="Q663" s="19">
        <v>0</v>
      </c>
      <c r="S663" s="19">
        <v>1</v>
      </c>
      <c r="T663" s="19">
        <v>1</v>
      </c>
      <c r="U663" s="19">
        <v>0</v>
      </c>
      <c r="W663" s="19">
        <v>0</v>
      </c>
      <c r="X663" s="19">
        <v>0</v>
      </c>
      <c r="Z663" s="19">
        <v>0</v>
      </c>
      <c r="AA663" s="19">
        <v>0</v>
      </c>
    </row>
    <row r="664" spans="1:27" x14ac:dyDescent="0.25">
      <c r="A664" s="19" t="s">
        <v>866</v>
      </c>
      <c r="B664" s="19" t="s">
        <v>827</v>
      </c>
      <c r="C664" s="19" t="s">
        <v>828</v>
      </c>
      <c r="D664" s="19">
        <v>0</v>
      </c>
      <c r="E664" s="19" t="s">
        <v>170</v>
      </c>
      <c r="F664" s="19" t="s">
        <v>171</v>
      </c>
      <c r="G664" s="19" t="s">
        <v>163</v>
      </c>
      <c r="I664" s="19" t="s">
        <v>164</v>
      </c>
      <c r="J664" s="19">
        <v>2</v>
      </c>
      <c r="K664" s="19">
        <v>3.3300000000000003E-2</v>
      </c>
      <c r="L664" s="19" t="s">
        <v>35</v>
      </c>
      <c r="M664" s="19" t="s">
        <v>165</v>
      </c>
      <c r="N664" s="19">
        <v>0</v>
      </c>
      <c r="O664" s="19">
        <v>0</v>
      </c>
      <c r="P664" s="19">
        <v>0</v>
      </c>
      <c r="Q664" s="19">
        <v>0</v>
      </c>
      <c r="S664" s="19">
        <v>1</v>
      </c>
      <c r="T664" s="19">
        <v>1</v>
      </c>
      <c r="U664" s="19">
        <v>0</v>
      </c>
      <c r="W664" s="19">
        <v>0</v>
      </c>
      <c r="X664" s="19">
        <v>0</v>
      </c>
      <c r="Z664" s="19">
        <v>0</v>
      </c>
      <c r="AA664" s="19">
        <v>0</v>
      </c>
    </row>
    <row r="665" spans="1:27" x14ac:dyDescent="0.25">
      <c r="A665" s="19" t="s">
        <v>950</v>
      </c>
      <c r="B665" s="19" t="s">
        <v>951</v>
      </c>
      <c r="C665" s="19">
        <v>46012</v>
      </c>
      <c r="D665" s="19">
        <v>1.5039156560053799</v>
      </c>
      <c r="E665" s="19" t="s">
        <v>30</v>
      </c>
      <c r="F665" s="19" t="s">
        <v>31</v>
      </c>
      <c r="G665" s="19" t="s">
        <v>32</v>
      </c>
      <c r="H665" s="19" t="s">
        <v>33</v>
      </c>
      <c r="I665" s="19" t="s">
        <v>34</v>
      </c>
      <c r="J665" s="19">
        <v>17</v>
      </c>
      <c r="K665" s="19">
        <v>1.6299999999999999E-2</v>
      </c>
      <c r="L665" s="19" t="s">
        <v>541</v>
      </c>
      <c r="M665" s="19" t="s">
        <v>541</v>
      </c>
      <c r="N665" s="19">
        <v>50</v>
      </c>
      <c r="O665" s="19">
        <v>92.264764172100001</v>
      </c>
      <c r="P665" s="19">
        <v>93.921698160199995</v>
      </c>
      <c r="Q665" s="19">
        <v>46.960849080099997</v>
      </c>
      <c r="R665" s="19" t="s">
        <v>870</v>
      </c>
      <c r="S665" s="19">
        <v>0.9</v>
      </c>
      <c r="T665" s="19">
        <v>0.9</v>
      </c>
      <c r="U665" s="19">
        <v>42.264764172100001</v>
      </c>
      <c r="AA665" s="19">
        <v>0</v>
      </c>
    </row>
    <row r="666" spans="1:27" x14ac:dyDescent="0.25">
      <c r="A666" s="19" t="s">
        <v>952</v>
      </c>
      <c r="B666" s="19" t="s">
        <v>951</v>
      </c>
      <c r="C666" s="19">
        <v>46012</v>
      </c>
      <c r="D666" s="19">
        <v>1.54849999999999</v>
      </c>
      <c r="E666" s="19" t="s">
        <v>38</v>
      </c>
      <c r="F666" s="19" t="s">
        <v>39</v>
      </c>
      <c r="G666" s="19" t="s">
        <v>32</v>
      </c>
      <c r="H666" s="19" t="s">
        <v>33</v>
      </c>
      <c r="I666" s="19" t="s">
        <v>34</v>
      </c>
      <c r="J666" s="19">
        <v>19</v>
      </c>
      <c r="K666" s="19">
        <v>1.6299999999999999E-2</v>
      </c>
      <c r="L666" s="19" t="s">
        <v>541</v>
      </c>
      <c r="M666" s="19" t="s">
        <v>541</v>
      </c>
      <c r="N666" s="19">
        <v>50</v>
      </c>
      <c r="O666" s="19">
        <v>95</v>
      </c>
      <c r="P666" s="19">
        <v>100</v>
      </c>
      <c r="Q666" s="19">
        <v>50</v>
      </c>
      <c r="R666" s="19" t="s">
        <v>870</v>
      </c>
      <c r="S666" s="19">
        <v>0.9</v>
      </c>
      <c r="T666" s="19">
        <v>0.9</v>
      </c>
      <c r="U666" s="19">
        <v>45</v>
      </c>
      <c r="AA666" s="19">
        <v>0</v>
      </c>
    </row>
    <row r="667" spans="1:27" x14ac:dyDescent="0.25">
      <c r="A667" s="19" t="s">
        <v>953</v>
      </c>
      <c r="B667" s="19" t="s">
        <v>951</v>
      </c>
      <c r="C667" s="19">
        <v>46012</v>
      </c>
      <c r="D667" s="19">
        <v>1.54849999999999</v>
      </c>
      <c r="E667" s="19" t="s">
        <v>43</v>
      </c>
      <c r="F667" s="19" t="s">
        <v>44</v>
      </c>
      <c r="G667" s="19" t="s">
        <v>32</v>
      </c>
      <c r="H667" s="19" t="s">
        <v>33</v>
      </c>
      <c r="I667" s="19" t="s">
        <v>34</v>
      </c>
      <c r="J667" s="19">
        <v>18</v>
      </c>
      <c r="K667" s="19">
        <v>1.6299999999999999E-2</v>
      </c>
      <c r="L667" s="19" t="s">
        <v>541</v>
      </c>
      <c r="M667" s="19" t="s">
        <v>541</v>
      </c>
      <c r="N667" s="19">
        <v>50</v>
      </c>
      <c r="O667" s="19">
        <v>95</v>
      </c>
      <c r="P667" s="19">
        <v>100</v>
      </c>
      <c r="Q667" s="19">
        <v>50</v>
      </c>
      <c r="R667" s="19" t="s">
        <v>870</v>
      </c>
      <c r="S667" s="19">
        <v>0.9</v>
      </c>
      <c r="T667" s="19">
        <v>0.9</v>
      </c>
      <c r="U667" s="19">
        <v>45</v>
      </c>
      <c r="AA667" s="19">
        <v>0</v>
      </c>
    </row>
    <row r="668" spans="1:27" x14ac:dyDescent="0.25">
      <c r="A668" s="19" t="s">
        <v>954</v>
      </c>
      <c r="B668" s="19" t="s">
        <v>951</v>
      </c>
      <c r="C668" s="19">
        <v>46012</v>
      </c>
      <c r="D668" s="19">
        <v>1.54566576506955</v>
      </c>
      <c r="E668" s="19" t="s">
        <v>46</v>
      </c>
      <c r="F668" s="19" t="s">
        <v>47</v>
      </c>
      <c r="G668" s="19" t="s">
        <v>32</v>
      </c>
      <c r="H668" s="19" t="s">
        <v>33</v>
      </c>
      <c r="I668" s="19" t="s">
        <v>34</v>
      </c>
      <c r="J668" s="19">
        <v>15</v>
      </c>
      <c r="K668" s="19">
        <v>1.6299999999999999E-2</v>
      </c>
      <c r="L668" s="19" t="s">
        <v>541</v>
      </c>
      <c r="M668" s="19" t="s">
        <v>541</v>
      </c>
      <c r="N668" s="19">
        <v>50</v>
      </c>
      <c r="O668" s="19">
        <v>94.826120556399999</v>
      </c>
      <c r="P668" s="19">
        <v>99.613601236500003</v>
      </c>
      <c r="Q668" s="19">
        <v>49.8068006182</v>
      </c>
      <c r="R668" s="19" t="s">
        <v>870</v>
      </c>
      <c r="S668" s="19">
        <v>0.9</v>
      </c>
      <c r="T668" s="19">
        <v>0.9</v>
      </c>
      <c r="U668" s="19">
        <v>44.826120556399999</v>
      </c>
      <c r="AA668" s="19">
        <v>0</v>
      </c>
    </row>
    <row r="669" spans="1:27" x14ac:dyDescent="0.25">
      <c r="A669" s="19" t="s">
        <v>955</v>
      </c>
      <c r="B669" s="19" t="s">
        <v>951</v>
      </c>
      <c r="C669" s="19">
        <v>46012</v>
      </c>
      <c r="D669" s="19">
        <v>1.54849999999999</v>
      </c>
      <c r="E669" s="19" t="s">
        <v>49</v>
      </c>
      <c r="F669" s="19" t="s">
        <v>50</v>
      </c>
      <c r="G669" s="19" t="s">
        <v>32</v>
      </c>
      <c r="H669" s="19" t="s">
        <v>33</v>
      </c>
      <c r="I669" s="19" t="s">
        <v>34</v>
      </c>
      <c r="J669" s="19">
        <v>12</v>
      </c>
      <c r="K669" s="19">
        <v>1.6299999999999999E-2</v>
      </c>
      <c r="L669" s="19" t="s">
        <v>541</v>
      </c>
      <c r="M669" s="19" t="s">
        <v>541</v>
      </c>
      <c r="N669" s="19">
        <v>50</v>
      </c>
      <c r="O669" s="19">
        <v>95</v>
      </c>
      <c r="P669" s="19">
        <v>100</v>
      </c>
      <c r="Q669" s="19">
        <v>50</v>
      </c>
      <c r="R669" s="19" t="s">
        <v>870</v>
      </c>
      <c r="S669" s="19">
        <v>0.9</v>
      </c>
      <c r="T669" s="19">
        <v>0.9</v>
      </c>
      <c r="U669" s="19">
        <v>45</v>
      </c>
      <c r="AA669" s="19">
        <v>0</v>
      </c>
    </row>
    <row r="670" spans="1:27" x14ac:dyDescent="0.25">
      <c r="A670" s="19" t="s">
        <v>956</v>
      </c>
      <c r="B670" s="19" t="s">
        <v>951</v>
      </c>
      <c r="C670" s="19">
        <v>46012</v>
      </c>
      <c r="D670" s="19">
        <v>1.1817499999999901</v>
      </c>
      <c r="E670" s="19" t="s">
        <v>52</v>
      </c>
      <c r="F670" s="19" t="s">
        <v>53</v>
      </c>
      <c r="G670" s="19" t="s">
        <v>32</v>
      </c>
      <c r="H670" s="19" t="s">
        <v>33</v>
      </c>
      <c r="I670" s="19" t="s">
        <v>34</v>
      </c>
      <c r="J670" s="19">
        <v>16</v>
      </c>
      <c r="K670" s="19">
        <v>1.6299999999999999E-2</v>
      </c>
      <c r="L670" s="19" t="s">
        <v>541</v>
      </c>
      <c r="M670" s="19" t="s">
        <v>541</v>
      </c>
      <c r="N670" s="19">
        <v>50</v>
      </c>
      <c r="O670" s="19">
        <v>72.5</v>
      </c>
      <c r="P670" s="19">
        <v>50</v>
      </c>
      <c r="Q670" s="19">
        <v>25</v>
      </c>
      <c r="R670" s="19" t="s">
        <v>870</v>
      </c>
      <c r="S670" s="19">
        <v>0.9</v>
      </c>
      <c r="T670" s="19">
        <v>0.9</v>
      </c>
      <c r="U670" s="19">
        <v>22.5</v>
      </c>
      <c r="AA670" s="19">
        <v>0</v>
      </c>
    </row>
    <row r="671" spans="1:27" x14ac:dyDescent="0.25">
      <c r="A671" s="19" t="s">
        <v>957</v>
      </c>
      <c r="B671" s="19" t="s">
        <v>951</v>
      </c>
      <c r="C671" s="19">
        <v>46012</v>
      </c>
      <c r="D671" s="19">
        <v>1.54849999999999</v>
      </c>
      <c r="E671" s="19" t="s">
        <v>55</v>
      </c>
      <c r="F671" s="19" t="s">
        <v>56</v>
      </c>
      <c r="G671" s="19" t="s">
        <v>32</v>
      </c>
      <c r="H671" s="19" t="s">
        <v>33</v>
      </c>
      <c r="I671" s="19" t="s">
        <v>34</v>
      </c>
      <c r="J671" s="19">
        <v>14</v>
      </c>
      <c r="K671" s="19">
        <v>1.6299999999999999E-2</v>
      </c>
      <c r="L671" s="19" t="s">
        <v>541</v>
      </c>
      <c r="M671" s="19" t="s">
        <v>541</v>
      </c>
      <c r="N671" s="19">
        <v>50</v>
      </c>
      <c r="O671" s="19">
        <v>95</v>
      </c>
      <c r="P671" s="19">
        <v>100</v>
      </c>
      <c r="Q671" s="19">
        <v>50</v>
      </c>
      <c r="R671" s="19" t="s">
        <v>870</v>
      </c>
      <c r="S671" s="19">
        <v>0.9</v>
      </c>
      <c r="T671" s="19">
        <v>0.9</v>
      </c>
      <c r="U671" s="19">
        <v>45</v>
      </c>
      <c r="AA671" s="19">
        <v>0</v>
      </c>
    </row>
    <row r="672" spans="1:27" x14ac:dyDescent="0.25">
      <c r="A672" s="19" t="s">
        <v>958</v>
      </c>
      <c r="B672" s="19" t="s">
        <v>951</v>
      </c>
      <c r="C672" s="19">
        <v>46012</v>
      </c>
      <c r="D672" s="19">
        <v>1.54849999999999</v>
      </c>
      <c r="E672" s="19" t="s">
        <v>58</v>
      </c>
      <c r="F672" s="19" t="s">
        <v>59</v>
      </c>
      <c r="G672" s="19" t="s">
        <v>32</v>
      </c>
      <c r="H672" s="19" t="s">
        <v>33</v>
      </c>
      <c r="I672" s="19" t="s">
        <v>34</v>
      </c>
      <c r="J672" s="19">
        <v>13</v>
      </c>
      <c r="K672" s="19">
        <v>1.6299999999999999E-2</v>
      </c>
      <c r="L672" s="19" t="s">
        <v>541</v>
      </c>
      <c r="M672" s="19" t="s">
        <v>541</v>
      </c>
      <c r="N672" s="19">
        <v>50</v>
      </c>
      <c r="O672" s="19">
        <v>95</v>
      </c>
      <c r="P672" s="19">
        <v>100</v>
      </c>
      <c r="Q672" s="19">
        <v>50</v>
      </c>
      <c r="R672" s="19" t="s">
        <v>870</v>
      </c>
      <c r="S672" s="19">
        <v>0.9</v>
      </c>
      <c r="T672" s="19">
        <v>0.9</v>
      </c>
      <c r="U672" s="19">
        <v>45</v>
      </c>
      <c r="AA672" s="19">
        <v>0</v>
      </c>
    </row>
    <row r="673" spans="1:27" x14ac:dyDescent="0.25">
      <c r="A673" s="19" t="s">
        <v>959</v>
      </c>
      <c r="B673" s="19" t="s">
        <v>951</v>
      </c>
      <c r="C673" s="19">
        <v>46012</v>
      </c>
      <c r="D673" s="19">
        <v>1.7669999999999999</v>
      </c>
      <c r="E673" s="19" t="s">
        <v>61</v>
      </c>
      <c r="F673" s="19" t="s">
        <v>62</v>
      </c>
      <c r="G673" s="19" t="s">
        <v>32</v>
      </c>
      <c r="H673" s="19" t="s">
        <v>63</v>
      </c>
      <c r="I673" s="19" t="s">
        <v>64</v>
      </c>
      <c r="J673" s="19">
        <v>22</v>
      </c>
      <c r="K673" s="19">
        <v>1.8599999999999998E-2</v>
      </c>
      <c r="L673" s="19" t="s">
        <v>541</v>
      </c>
      <c r="M673" s="19" t="s">
        <v>541</v>
      </c>
      <c r="N673" s="19">
        <v>50</v>
      </c>
      <c r="O673" s="19">
        <v>95</v>
      </c>
      <c r="P673" s="19">
        <v>100</v>
      </c>
      <c r="Q673" s="19">
        <v>50</v>
      </c>
      <c r="R673" s="19" t="s">
        <v>870</v>
      </c>
      <c r="S673" s="19">
        <v>0.9</v>
      </c>
      <c r="T673" s="19">
        <v>0.9</v>
      </c>
      <c r="U673" s="19">
        <v>45</v>
      </c>
      <c r="AA673" s="19">
        <v>0</v>
      </c>
    </row>
    <row r="674" spans="1:27" x14ac:dyDescent="0.25">
      <c r="A674" s="19" t="s">
        <v>960</v>
      </c>
      <c r="B674" s="19" t="s">
        <v>951</v>
      </c>
      <c r="C674" s="19">
        <v>46012</v>
      </c>
      <c r="D674" s="19">
        <v>1.7669999999999999</v>
      </c>
      <c r="E674" s="19" t="s">
        <v>66</v>
      </c>
      <c r="F674" s="19" t="s">
        <v>67</v>
      </c>
      <c r="G674" s="19" t="s">
        <v>32</v>
      </c>
      <c r="H674" s="19" t="s">
        <v>63</v>
      </c>
      <c r="I674" s="19" t="s">
        <v>64</v>
      </c>
      <c r="J674" s="19">
        <v>20</v>
      </c>
      <c r="K674" s="19">
        <v>1.8599999999999998E-2</v>
      </c>
      <c r="L674" s="19" t="s">
        <v>541</v>
      </c>
      <c r="M674" s="19" t="s">
        <v>541</v>
      </c>
      <c r="N674" s="19">
        <v>50</v>
      </c>
      <c r="O674" s="19">
        <v>95</v>
      </c>
      <c r="P674" s="19">
        <v>100</v>
      </c>
      <c r="Q674" s="19">
        <v>50</v>
      </c>
      <c r="R674" s="19" t="s">
        <v>870</v>
      </c>
      <c r="S674" s="19">
        <v>0.9</v>
      </c>
      <c r="T674" s="19">
        <v>0.9</v>
      </c>
      <c r="U674" s="19">
        <v>45</v>
      </c>
      <c r="AA674" s="19">
        <v>0</v>
      </c>
    </row>
    <row r="675" spans="1:27" x14ac:dyDescent="0.25">
      <c r="A675" s="19" t="s">
        <v>961</v>
      </c>
      <c r="B675" s="19" t="s">
        <v>951</v>
      </c>
      <c r="C675" s="19">
        <v>46012</v>
      </c>
      <c r="D675" s="19">
        <v>1.7669999999999999</v>
      </c>
      <c r="E675" s="19" t="s">
        <v>69</v>
      </c>
      <c r="F675" s="19" t="s">
        <v>70</v>
      </c>
      <c r="G675" s="19" t="s">
        <v>32</v>
      </c>
      <c r="H675" s="19" t="s">
        <v>63</v>
      </c>
      <c r="I675" s="19" t="s">
        <v>64</v>
      </c>
      <c r="J675" s="19">
        <v>23</v>
      </c>
      <c r="K675" s="19">
        <v>1.8599999999999998E-2</v>
      </c>
      <c r="L675" s="19" t="s">
        <v>541</v>
      </c>
      <c r="M675" s="19" t="s">
        <v>541</v>
      </c>
      <c r="N675" s="19">
        <v>50</v>
      </c>
      <c r="O675" s="19">
        <v>95</v>
      </c>
      <c r="P675" s="19">
        <v>100</v>
      </c>
      <c r="Q675" s="19">
        <v>50</v>
      </c>
      <c r="R675" s="19" t="s">
        <v>870</v>
      </c>
      <c r="S675" s="19">
        <v>0.9</v>
      </c>
      <c r="T675" s="19">
        <v>0.9</v>
      </c>
      <c r="U675" s="19">
        <v>45</v>
      </c>
      <c r="AA675" s="19">
        <v>0</v>
      </c>
    </row>
    <row r="676" spans="1:27" x14ac:dyDescent="0.25">
      <c r="A676" s="19" t="s">
        <v>962</v>
      </c>
      <c r="B676" s="19" t="s">
        <v>951</v>
      </c>
      <c r="C676" s="19">
        <v>46012</v>
      </c>
      <c r="D676" s="19">
        <v>1.7482418856259601</v>
      </c>
      <c r="E676" s="19" t="s">
        <v>72</v>
      </c>
      <c r="F676" s="19" t="s">
        <v>73</v>
      </c>
      <c r="G676" s="19" t="s">
        <v>32</v>
      </c>
      <c r="H676" s="19" t="s">
        <v>63</v>
      </c>
      <c r="I676" s="19" t="s">
        <v>64</v>
      </c>
      <c r="J676" s="19">
        <v>21</v>
      </c>
      <c r="K676" s="19">
        <v>1.8599999999999998E-2</v>
      </c>
      <c r="L676" s="19" t="s">
        <v>541</v>
      </c>
      <c r="M676" s="19" t="s">
        <v>541</v>
      </c>
      <c r="N676" s="19">
        <v>50</v>
      </c>
      <c r="O676" s="19">
        <v>93.991499227199995</v>
      </c>
      <c r="P676" s="19">
        <v>97.758887171599994</v>
      </c>
      <c r="Q676" s="19">
        <v>48.879443585799997</v>
      </c>
      <c r="R676" s="19" t="s">
        <v>870</v>
      </c>
      <c r="S676" s="19">
        <v>0.9</v>
      </c>
      <c r="T676" s="19">
        <v>0.9</v>
      </c>
      <c r="U676" s="19">
        <v>43.991499227200002</v>
      </c>
      <c r="AA676" s="19">
        <v>0</v>
      </c>
    </row>
    <row r="677" spans="1:27" x14ac:dyDescent="0.25">
      <c r="A677" s="19" t="s">
        <v>963</v>
      </c>
      <c r="B677" s="19" t="s">
        <v>951</v>
      </c>
      <c r="C677" s="19">
        <v>46012</v>
      </c>
      <c r="D677" s="19">
        <v>1.7669999999999999</v>
      </c>
      <c r="E677" s="19" t="s">
        <v>75</v>
      </c>
      <c r="F677" s="19" t="s">
        <v>76</v>
      </c>
      <c r="G677" s="19" t="s">
        <v>32</v>
      </c>
      <c r="H677" s="19" t="s">
        <v>63</v>
      </c>
      <c r="I677" s="19" t="s">
        <v>64</v>
      </c>
      <c r="J677" s="19">
        <v>24</v>
      </c>
      <c r="K677" s="19">
        <v>1.8599999999999998E-2</v>
      </c>
      <c r="L677" s="19" t="s">
        <v>541</v>
      </c>
      <c r="M677" s="19" t="s">
        <v>541</v>
      </c>
      <c r="N677" s="19">
        <v>50</v>
      </c>
      <c r="O677" s="19">
        <v>95</v>
      </c>
      <c r="P677" s="19">
        <v>100</v>
      </c>
      <c r="Q677" s="19">
        <v>50</v>
      </c>
      <c r="R677" s="19" t="s">
        <v>870</v>
      </c>
      <c r="S677" s="19">
        <v>0.9</v>
      </c>
      <c r="T677" s="19">
        <v>0.9</v>
      </c>
      <c r="U677" s="19">
        <v>45</v>
      </c>
      <c r="AA677" s="19">
        <v>0</v>
      </c>
    </row>
    <row r="678" spans="1:27" x14ac:dyDescent="0.25">
      <c r="A678" s="19" t="s">
        <v>964</v>
      </c>
      <c r="B678" s="19" t="s">
        <v>951</v>
      </c>
      <c r="C678" s="19">
        <v>46012</v>
      </c>
      <c r="D678" s="19">
        <v>1.7669999999999999</v>
      </c>
      <c r="E678" s="19" t="s">
        <v>82</v>
      </c>
      <c r="F678" s="19" t="s">
        <v>83</v>
      </c>
      <c r="G678" s="19" t="s">
        <v>32</v>
      </c>
      <c r="H678" s="19" t="s">
        <v>63</v>
      </c>
      <c r="I678" s="19" t="s">
        <v>64</v>
      </c>
      <c r="J678" s="19">
        <v>26</v>
      </c>
      <c r="K678" s="19">
        <v>1.8599999999999998E-2</v>
      </c>
      <c r="L678" s="19" t="s">
        <v>541</v>
      </c>
      <c r="M678" s="19" t="s">
        <v>541</v>
      </c>
      <c r="N678" s="19">
        <v>50</v>
      </c>
      <c r="O678" s="19">
        <v>95</v>
      </c>
      <c r="P678" s="19">
        <v>100</v>
      </c>
      <c r="Q678" s="19">
        <v>50</v>
      </c>
      <c r="R678" s="19" t="s">
        <v>870</v>
      </c>
      <c r="S678" s="19">
        <v>0.9</v>
      </c>
      <c r="T678" s="19">
        <v>0.9</v>
      </c>
      <c r="U678" s="19">
        <v>45</v>
      </c>
      <c r="AA678" s="19">
        <v>0</v>
      </c>
    </row>
    <row r="679" spans="1:27" x14ac:dyDescent="0.25">
      <c r="A679" s="19" t="s">
        <v>965</v>
      </c>
      <c r="B679" s="19" t="s">
        <v>951</v>
      </c>
      <c r="C679" s="19">
        <v>46012</v>
      </c>
      <c r="D679" s="19">
        <v>2.9450927357032399</v>
      </c>
      <c r="E679" s="19" t="s">
        <v>85</v>
      </c>
      <c r="F679" s="19" t="s">
        <v>86</v>
      </c>
      <c r="G679" s="19" t="s">
        <v>32</v>
      </c>
      <c r="H679" s="19" t="s">
        <v>87</v>
      </c>
      <c r="I679" s="19" t="s">
        <v>88</v>
      </c>
      <c r="J679" s="19">
        <v>35</v>
      </c>
      <c r="K679" s="19">
        <v>3.2500000000000001E-2</v>
      </c>
      <c r="L679" s="19" t="s">
        <v>541</v>
      </c>
      <c r="M679" s="19" t="s">
        <v>541</v>
      </c>
      <c r="N679" s="19">
        <v>50</v>
      </c>
      <c r="O679" s="19">
        <v>90.618238021600007</v>
      </c>
      <c r="P679" s="19">
        <v>90.262751159199993</v>
      </c>
      <c r="Q679" s="19">
        <v>45.131375579599997</v>
      </c>
      <c r="R679" s="19" t="s">
        <v>870</v>
      </c>
      <c r="S679" s="19">
        <v>0.9</v>
      </c>
      <c r="T679" s="19">
        <v>0.9</v>
      </c>
      <c r="U679" s="19">
        <v>40.6182380216</v>
      </c>
      <c r="AA679" s="19">
        <v>0</v>
      </c>
    </row>
    <row r="680" spans="1:27" x14ac:dyDescent="0.25">
      <c r="A680" s="19" t="s">
        <v>966</v>
      </c>
      <c r="B680" s="19" t="s">
        <v>951</v>
      </c>
      <c r="C680" s="19">
        <v>46012</v>
      </c>
      <c r="D680" s="19">
        <v>3.0852395672333799</v>
      </c>
      <c r="E680" s="19" t="s">
        <v>93</v>
      </c>
      <c r="F680" s="19" t="s">
        <v>94</v>
      </c>
      <c r="G680" s="19" t="s">
        <v>32</v>
      </c>
      <c r="H680" s="19" t="s">
        <v>87</v>
      </c>
      <c r="I680" s="19" t="s">
        <v>88</v>
      </c>
      <c r="J680" s="19">
        <v>34</v>
      </c>
      <c r="K680" s="19">
        <v>3.2500000000000001E-2</v>
      </c>
      <c r="L680" s="19" t="s">
        <v>541</v>
      </c>
      <c r="M680" s="19" t="s">
        <v>541</v>
      </c>
      <c r="N680" s="19">
        <v>50</v>
      </c>
      <c r="O680" s="19">
        <v>94.930448222600006</v>
      </c>
      <c r="P680" s="19">
        <v>99.845440494599998</v>
      </c>
      <c r="Q680" s="19">
        <v>49.922720247299999</v>
      </c>
      <c r="R680" s="19" t="s">
        <v>870</v>
      </c>
      <c r="S680" s="19">
        <v>0.9</v>
      </c>
      <c r="T680" s="19">
        <v>0.9</v>
      </c>
      <c r="U680" s="19">
        <v>44.930448222599999</v>
      </c>
      <c r="AA680" s="19">
        <v>0</v>
      </c>
    </row>
    <row r="681" spans="1:27" x14ac:dyDescent="0.25">
      <c r="A681" s="19" t="s">
        <v>967</v>
      </c>
      <c r="B681" s="19" t="s">
        <v>951</v>
      </c>
      <c r="C681" s="19">
        <v>46012</v>
      </c>
      <c r="D681" s="19">
        <v>4.0818782843894796</v>
      </c>
      <c r="E681" s="19" t="s">
        <v>99</v>
      </c>
      <c r="F681" s="19" t="s">
        <v>100</v>
      </c>
      <c r="G681" s="19" t="s">
        <v>32</v>
      </c>
      <c r="H681" s="19" t="s">
        <v>101</v>
      </c>
      <c r="I681" s="19" t="s">
        <v>102</v>
      </c>
      <c r="J681" s="19">
        <v>39</v>
      </c>
      <c r="K681" s="19">
        <v>4.3299999999999998E-2</v>
      </c>
      <c r="L681" s="19" t="s">
        <v>541</v>
      </c>
      <c r="M681" s="19" t="s">
        <v>541</v>
      </c>
      <c r="N681" s="19">
        <v>50</v>
      </c>
      <c r="O681" s="19">
        <v>94.269706336900001</v>
      </c>
      <c r="P681" s="19">
        <v>98.377125193200001</v>
      </c>
      <c r="Q681" s="19">
        <v>49.188562596600001</v>
      </c>
      <c r="R681" s="19" t="s">
        <v>870</v>
      </c>
      <c r="S681" s="19">
        <v>0.9</v>
      </c>
      <c r="T681" s="19">
        <v>0.9</v>
      </c>
      <c r="U681" s="19">
        <v>44.269706336900001</v>
      </c>
      <c r="AA681" s="19">
        <v>0</v>
      </c>
    </row>
    <row r="682" spans="1:27" x14ac:dyDescent="0.25">
      <c r="A682" s="19" t="s">
        <v>968</v>
      </c>
      <c r="B682" s="19" t="s">
        <v>951</v>
      </c>
      <c r="C682" s="19">
        <v>46012</v>
      </c>
      <c r="D682" s="19">
        <v>4.1104884080370896</v>
      </c>
      <c r="E682" s="19" t="s">
        <v>105</v>
      </c>
      <c r="F682" s="19" t="s">
        <v>106</v>
      </c>
      <c r="G682" s="19" t="s">
        <v>32</v>
      </c>
      <c r="H682" s="19" t="s">
        <v>101</v>
      </c>
      <c r="I682" s="19" t="s">
        <v>102</v>
      </c>
      <c r="J682" s="19">
        <v>38</v>
      </c>
      <c r="K682" s="19">
        <v>4.3299999999999998E-2</v>
      </c>
      <c r="L682" s="19" t="s">
        <v>541</v>
      </c>
      <c r="M682" s="19" t="s">
        <v>541</v>
      </c>
      <c r="N682" s="19">
        <v>50</v>
      </c>
      <c r="O682" s="19">
        <v>94.930448222600006</v>
      </c>
      <c r="P682" s="19">
        <v>99.845440494599998</v>
      </c>
      <c r="Q682" s="19">
        <v>49.922720247299999</v>
      </c>
      <c r="R682" s="19" t="s">
        <v>870</v>
      </c>
      <c r="S682" s="19">
        <v>0.9</v>
      </c>
      <c r="T682" s="19">
        <v>0.9</v>
      </c>
      <c r="U682" s="19">
        <v>44.930448222599999</v>
      </c>
      <c r="AA682" s="19">
        <v>0</v>
      </c>
    </row>
    <row r="683" spans="1:27" x14ac:dyDescent="0.25">
      <c r="A683" s="19" t="s">
        <v>969</v>
      </c>
      <c r="B683" s="19" t="s">
        <v>951</v>
      </c>
      <c r="C683" s="19">
        <v>46012</v>
      </c>
      <c r="D683" s="19">
        <v>3.04739644513137</v>
      </c>
      <c r="E683" s="19" t="s">
        <v>108</v>
      </c>
      <c r="F683" s="19" t="s">
        <v>109</v>
      </c>
      <c r="G683" s="19" t="s">
        <v>32</v>
      </c>
      <c r="H683" s="19" t="s">
        <v>101</v>
      </c>
      <c r="I683" s="19" t="s">
        <v>102</v>
      </c>
      <c r="J683" s="19">
        <v>37</v>
      </c>
      <c r="K683" s="19">
        <v>4.3299999999999998E-2</v>
      </c>
      <c r="L683" s="19" t="s">
        <v>541</v>
      </c>
      <c r="M683" s="19" t="s">
        <v>541</v>
      </c>
      <c r="N683" s="19">
        <v>50</v>
      </c>
      <c r="O683" s="19">
        <v>70.378670788299999</v>
      </c>
      <c r="P683" s="19">
        <v>45.285935084999998</v>
      </c>
      <c r="Q683" s="19">
        <v>22.642967542499999</v>
      </c>
      <c r="R683" s="19" t="s">
        <v>870</v>
      </c>
      <c r="S683" s="19">
        <v>0.9</v>
      </c>
      <c r="T683" s="19">
        <v>0.9</v>
      </c>
      <c r="U683" s="19">
        <v>20.378670788299999</v>
      </c>
      <c r="AA683" s="19">
        <v>0</v>
      </c>
    </row>
    <row r="684" spans="1:27" x14ac:dyDescent="0.25">
      <c r="A684" s="19" t="s">
        <v>970</v>
      </c>
      <c r="B684" s="19" t="s">
        <v>951</v>
      </c>
      <c r="C684" s="19">
        <v>46012</v>
      </c>
      <c r="D684" s="19">
        <v>2.05994999999999</v>
      </c>
      <c r="E684" s="19" t="s">
        <v>112</v>
      </c>
      <c r="F684" s="19" t="s">
        <v>113</v>
      </c>
      <c r="G684" s="19" t="s">
        <v>32</v>
      </c>
      <c r="H684" s="19" t="s">
        <v>114</v>
      </c>
      <c r="I684" s="19" t="s">
        <v>115</v>
      </c>
      <c r="J684" s="19">
        <v>30</v>
      </c>
      <c r="K684" s="19">
        <v>2.1700000000000001E-2</v>
      </c>
      <c r="L684" s="19" t="s">
        <v>541</v>
      </c>
      <c r="M684" s="19" t="s">
        <v>541</v>
      </c>
      <c r="N684" s="19">
        <v>50</v>
      </c>
      <c r="O684" s="19">
        <v>94.928571428599994</v>
      </c>
      <c r="P684" s="19">
        <v>99.841269841300004</v>
      </c>
      <c r="Q684" s="19">
        <v>49.920634920600001</v>
      </c>
      <c r="R684" s="19" t="s">
        <v>870</v>
      </c>
      <c r="S684" s="19">
        <v>0.9</v>
      </c>
      <c r="T684" s="19">
        <v>0.9</v>
      </c>
      <c r="U684" s="19">
        <v>44.928571428600002</v>
      </c>
      <c r="AA684" s="19">
        <v>0</v>
      </c>
    </row>
    <row r="685" spans="1:27" x14ac:dyDescent="0.25">
      <c r="A685" s="19" t="s">
        <v>971</v>
      </c>
      <c r="B685" s="19" t="s">
        <v>951</v>
      </c>
      <c r="C685" s="19">
        <v>46012</v>
      </c>
      <c r="D685" s="19">
        <v>2.0304999999999902</v>
      </c>
      <c r="E685" s="19" t="s">
        <v>117</v>
      </c>
      <c r="F685" s="19" t="s">
        <v>118</v>
      </c>
      <c r="G685" s="19" t="s">
        <v>32</v>
      </c>
      <c r="H685" s="19" t="s">
        <v>114</v>
      </c>
      <c r="I685" s="19" t="s">
        <v>115</v>
      </c>
      <c r="J685" s="19">
        <v>31</v>
      </c>
      <c r="K685" s="19">
        <v>2.1700000000000001E-2</v>
      </c>
      <c r="L685" s="19" t="s">
        <v>541</v>
      </c>
      <c r="M685" s="19" t="s">
        <v>541</v>
      </c>
      <c r="N685" s="19">
        <v>50</v>
      </c>
      <c r="O685" s="19">
        <v>93.571428571400006</v>
      </c>
      <c r="P685" s="19">
        <v>96.825396825400006</v>
      </c>
      <c r="Q685" s="19">
        <v>48.412698412700003</v>
      </c>
      <c r="R685" s="19" t="s">
        <v>870</v>
      </c>
      <c r="S685" s="19">
        <v>0.9</v>
      </c>
      <c r="T685" s="19">
        <v>0.9</v>
      </c>
      <c r="U685" s="19">
        <v>43.571428571399998</v>
      </c>
      <c r="AA685" s="19">
        <v>0</v>
      </c>
    </row>
    <row r="686" spans="1:27" x14ac:dyDescent="0.25">
      <c r="A686" s="19" t="s">
        <v>972</v>
      </c>
      <c r="B686" s="19" t="s">
        <v>951</v>
      </c>
      <c r="C686" s="19">
        <v>46012</v>
      </c>
      <c r="D686" s="19">
        <v>1.8725000000000001</v>
      </c>
      <c r="E686" s="19" t="s">
        <v>120</v>
      </c>
      <c r="F686" s="19" t="s">
        <v>121</v>
      </c>
      <c r="G686" s="19" t="s">
        <v>32</v>
      </c>
      <c r="H686" s="19" t="s">
        <v>114</v>
      </c>
      <c r="I686" s="19" t="s">
        <v>115</v>
      </c>
      <c r="J686" s="19">
        <v>28</v>
      </c>
      <c r="K686" s="19">
        <v>2.1700000000000001E-2</v>
      </c>
      <c r="L686" s="19" t="s">
        <v>541</v>
      </c>
      <c r="M686" s="19" t="s">
        <v>541</v>
      </c>
      <c r="N686" s="19">
        <v>50</v>
      </c>
      <c r="O686" s="19">
        <v>86.290322580600005</v>
      </c>
      <c r="P686" s="19">
        <v>80.645161290299995</v>
      </c>
      <c r="Q686" s="19">
        <v>40.322580645199999</v>
      </c>
      <c r="R686" s="19" t="s">
        <v>870</v>
      </c>
      <c r="S686" s="19">
        <v>0.9</v>
      </c>
      <c r="T686" s="19">
        <v>0.9</v>
      </c>
      <c r="U686" s="19">
        <v>36.290322580599998</v>
      </c>
      <c r="AA686" s="19">
        <v>0</v>
      </c>
    </row>
    <row r="687" spans="1:27" x14ac:dyDescent="0.25">
      <c r="A687" s="19" t="s">
        <v>973</v>
      </c>
      <c r="B687" s="19" t="s">
        <v>951</v>
      </c>
      <c r="C687" s="19">
        <v>46012</v>
      </c>
      <c r="D687" s="19">
        <v>1.34006723338485</v>
      </c>
      <c r="E687" s="19" t="s">
        <v>123</v>
      </c>
      <c r="F687" s="19" t="s">
        <v>124</v>
      </c>
      <c r="G687" s="19" t="s">
        <v>32</v>
      </c>
      <c r="H687" s="19" t="s">
        <v>114</v>
      </c>
      <c r="I687" s="19" t="s">
        <v>115</v>
      </c>
      <c r="J687" s="19">
        <v>27</v>
      </c>
      <c r="K687" s="19">
        <v>2.1700000000000001E-2</v>
      </c>
      <c r="L687" s="19" t="s">
        <v>541</v>
      </c>
      <c r="M687" s="19" t="s">
        <v>541</v>
      </c>
      <c r="N687" s="19">
        <v>50</v>
      </c>
      <c r="O687" s="19">
        <v>61.754250386400003</v>
      </c>
      <c r="P687" s="19">
        <v>26.120556414199999</v>
      </c>
      <c r="Q687" s="19">
        <v>13.0602782071</v>
      </c>
      <c r="R687" s="19" t="s">
        <v>870</v>
      </c>
      <c r="S687" s="19">
        <v>0.9</v>
      </c>
      <c r="T687" s="19">
        <v>0.9</v>
      </c>
      <c r="U687" s="19">
        <v>11.754250386400001</v>
      </c>
      <c r="AA687" s="19">
        <v>0</v>
      </c>
    </row>
    <row r="688" spans="1:27" x14ac:dyDescent="0.25">
      <c r="A688" s="19" t="s">
        <v>974</v>
      </c>
      <c r="B688" s="19" t="s">
        <v>951</v>
      </c>
      <c r="C688" s="19">
        <v>46012</v>
      </c>
      <c r="D688" s="19">
        <v>2.0373516228747999</v>
      </c>
      <c r="E688" s="19" t="s">
        <v>126</v>
      </c>
      <c r="F688" s="19" t="s">
        <v>127</v>
      </c>
      <c r="G688" s="19" t="s">
        <v>32</v>
      </c>
      <c r="H688" s="19" t="s">
        <v>114</v>
      </c>
      <c r="I688" s="19" t="s">
        <v>115</v>
      </c>
      <c r="J688" s="19">
        <v>29</v>
      </c>
      <c r="K688" s="19">
        <v>2.1700000000000001E-2</v>
      </c>
      <c r="L688" s="19" t="s">
        <v>541</v>
      </c>
      <c r="M688" s="19" t="s">
        <v>541</v>
      </c>
      <c r="N688" s="19">
        <v>50</v>
      </c>
      <c r="O688" s="19">
        <v>93.887171561100004</v>
      </c>
      <c r="P688" s="19">
        <v>97.527047913399997</v>
      </c>
      <c r="Q688" s="19">
        <v>48.763523956699999</v>
      </c>
      <c r="R688" s="19" t="s">
        <v>870</v>
      </c>
      <c r="S688" s="19">
        <v>0.9</v>
      </c>
      <c r="T688" s="19">
        <v>0.9</v>
      </c>
      <c r="U688" s="19">
        <v>43.887171561099997</v>
      </c>
      <c r="AA688" s="19">
        <v>0</v>
      </c>
    </row>
    <row r="689" spans="1:27" x14ac:dyDescent="0.25">
      <c r="A689" s="19" t="s">
        <v>975</v>
      </c>
      <c r="B689" s="19" t="s">
        <v>951</v>
      </c>
      <c r="C689" s="19">
        <v>46012</v>
      </c>
      <c r="D689" s="19">
        <v>1.3593500000000001</v>
      </c>
      <c r="E689" s="19" t="s">
        <v>129</v>
      </c>
      <c r="F689" s="19" t="s">
        <v>130</v>
      </c>
      <c r="G689" s="19" t="s">
        <v>32</v>
      </c>
      <c r="H689" s="19" t="s">
        <v>114</v>
      </c>
      <c r="I689" s="19" t="s">
        <v>115</v>
      </c>
      <c r="J689" s="19">
        <v>32</v>
      </c>
      <c r="K689" s="19">
        <v>2.1700000000000001E-2</v>
      </c>
      <c r="L689" s="19" t="s">
        <v>541</v>
      </c>
      <c r="M689" s="19" t="s">
        <v>541</v>
      </c>
      <c r="N689" s="19">
        <v>50</v>
      </c>
      <c r="O689" s="19">
        <v>62.642857142899999</v>
      </c>
      <c r="P689" s="19">
        <v>28.095238095199999</v>
      </c>
      <c r="Q689" s="19">
        <v>14.0476190476</v>
      </c>
      <c r="R689" s="19" t="s">
        <v>870</v>
      </c>
      <c r="S689" s="19">
        <v>0.9</v>
      </c>
      <c r="T689" s="19">
        <v>0.9</v>
      </c>
      <c r="U689" s="19">
        <v>12.642857142900001</v>
      </c>
      <c r="AA689" s="19">
        <v>0</v>
      </c>
    </row>
    <row r="690" spans="1:27" x14ac:dyDescent="0.25">
      <c r="A690" s="19" t="s">
        <v>976</v>
      </c>
      <c r="B690" s="19" t="s">
        <v>951</v>
      </c>
      <c r="C690" s="19">
        <v>46012</v>
      </c>
      <c r="D690" s="19">
        <v>4.17</v>
      </c>
      <c r="E690" s="19" t="s">
        <v>132</v>
      </c>
      <c r="F690" s="19" t="s">
        <v>133</v>
      </c>
      <c r="G690" s="19" t="s">
        <v>134</v>
      </c>
      <c r="H690" s="19" t="s">
        <v>87</v>
      </c>
      <c r="I690" s="19" t="s">
        <v>135</v>
      </c>
      <c r="J690" s="19">
        <v>11</v>
      </c>
      <c r="K690" s="19">
        <v>4.1700000000000001E-2</v>
      </c>
      <c r="L690" s="19" t="s">
        <v>541</v>
      </c>
      <c r="M690" s="19" t="s">
        <v>541</v>
      </c>
      <c r="N690" s="19">
        <v>50</v>
      </c>
      <c r="O690" s="19">
        <v>100</v>
      </c>
      <c r="P690" s="19">
        <v>100</v>
      </c>
      <c r="Q690" s="19">
        <v>50</v>
      </c>
      <c r="R690" s="19" t="s">
        <v>870</v>
      </c>
      <c r="S690" s="19">
        <v>0.9</v>
      </c>
      <c r="T690" s="19">
        <v>1</v>
      </c>
      <c r="U690" s="19">
        <v>50</v>
      </c>
      <c r="AA690" s="19">
        <v>0</v>
      </c>
    </row>
    <row r="691" spans="1:27" x14ac:dyDescent="0.25">
      <c r="A691" s="19" t="s">
        <v>977</v>
      </c>
      <c r="B691" s="19" t="s">
        <v>951</v>
      </c>
      <c r="C691" s="19">
        <v>46012</v>
      </c>
      <c r="D691" s="19">
        <v>2.5</v>
      </c>
      <c r="E691" s="19" t="s">
        <v>144</v>
      </c>
      <c r="F691" s="19" t="s">
        <v>145</v>
      </c>
      <c r="G691" s="19" t="s">
        <v>134</v>
      </c>
      <c r="H691" s="19" t="s">
        <v>146</v>
      </c>
      <c r="I691" s="19" t="s">
        <v>147</v>
      </c>
      <c r="J691" s="19">
        <v>4</v>
      </c>
      <c r="K691" s="19">
        <v>2.5000000000000001E-2</v>
      </c>
      <c r="L691" s="19" t="s">
        <v>541</v>
      </c>
      <c r="M691" s="19" t="s">
        <v>541</v>
      </c>
      <c r="N691" s="19">
        <v>50</v>
      </c>
      <c r="O691" s="19">
        <v>100</v>
      </c>
      <c r="P691" s="19">
        <v>100</v>
      </c>
      <c r="Q691" s="19">
        <v>50</v>
      </c>
      <c r="R691" s="19" t="s">
        <v>870</v>
      </c>
      <c r="S691" s="19">
        <v>0.9</v>
      </c>
      <c r="T691" s="19">
        <v>1</v>
      </c>
      <c r="U691" s="19">
        <v>50</v>
      </c>
      <c r="AA691" s="19">
        <v>0</v>
      </c>
    </row>
    <row r="692" spans="1:27" x14ac:dyDescent="0.25">
      <c r="A692" s="19" t="s">
        <v>978</v>
      </c>
      <c r="B692" s="19" t="s">
        <v>951</v>
      </c>
      <c r="C692" s="19">
        <v>46012</v>
      </c>
      <c r="D692" s="19">
        <v>2.5</v>
      </c>
      <c r="E692" s="19" t="s">
        <v>149</v>
      </c>
      <c r="F692" s="19" t="s">
        <v>150</v>
      </c>
      <c r="G692" s="19" t="s">
        <v>134</v>
      </c>
      <c r="H692" s="19" t="s">
        <v>146</v>
      </c>
      <c r="I692" s="19" t="s">
        <v>147</v>
      </c>
      <c r="J692" s="19">
        <v>5</v>
      </c>
      <c r="K692" s="19">
        <v>2.5000000000000001E-2</v>
      </c>
      <c r="L692" s="19" t="s">
        <v>541</v>
      </c>
      <c r="M692" s="19" t="s">
        <v>541</v>
      </c>
      <c r="N692" s="19">
        <v>50</v>
      </c>
      <c r="O692" s="19">
        <v>100</v>
      </c>
      <c r="P692" s="19">
        <v>100</v>
      </c>
      <c r="Q692" s="19">
        <v>50</v>
      </c>
      <c r="R692" s="19" t="s">
        <v>870</v>
      </c>
      <c r="S692" s="19">
        <v>0.9</v>
      </c>
      <c r="T692" s="19">
        <v>1</v>
      </c>
      <c r="U692" s="19">
        <v>50</v>
      </c>
      <c r="AA692" s="19">
        <v>0</v>
      </c>
    </row>
    <row r="693" spans="1:27" x14ac:dyDescent="0.25">
      <c r="A693" s="19" t="s">
        <v>979</v>
      </c>
      <c r="B693" s="19" t="s">
        <v>951</v>
      </c>
      <c r="C693" s="19">
        <v>46012</v>
      </c>
      <c r="D693" s="19">
        <v>2.5</v>
      </c>
      <c r="E693" s="19" t="s">
        <v>152</v>
      </c>
      <c r="F693" s="19" t="s">
        <v>153</v>
      </c>
      <c r="G693" s="19" t="s">
        <v>134</v>
      </c>
      <c r="H693" s="19" t="s">
        <v>146</v>
      </c>
      <c r="I693" s="19" t="s">
        <v>147</v>
      </c>
      <c r="J693" s="19">
        <v>6</v>
      </c>
      <c r="K693" s="19">
        <v>2.5000000000000001E-2</v>
      </c>
      <c r="L693" s="19" t="s">
        <v>541</v>
      </c>
      <c r="M693" s="19" t="s">
        <v>541</v>
      </c>
      <c r="N693" s="19">
        <v>50</v>
      </c>
      <c r="O693" s="19">
        <v>100</v>
      </c>
      <c r="P693" s="19">
        <v>100</v>
      </c>
      <c r="Q693" s="19">
        <v>50</v>
      </c>
      <c r="R693" s="19" t="s">
        <v>870</v>
      </c>
      <c r="S693" s="19">
        <v>0.9</v>
      </c>
      <c r="T693" s="19">
        <v>1</v>
      </c>
      <c r="U693" s="19">
        <v>50</v>
      </c>
      <c r="AA693" s="19">
        <v>0</v>
      </c>
    </row>
    <row r="694" spans="1:27" x14ac:dyDescent="0.25">
      <c r="A694" s="19" t="s">
        <v>980</v>
      </c>
      <c r="B694" s="19" t="s">
        <v>951</v>
      </c>
      <c r="C694" s="19">
        <v>46012</v>
      </c>
      <c r="D694" s="19">
        <v>2.5</v>
      </c>
      <c r="E694" s="19" t="s">
        <v>155</v>
      </c>
      <c r="F694" s="19" t="s">
        <v>156</v>
      </c>
      <c r="G694" s="19" t="s">
        <v>134</v>
      </c>
      <c r="H694" s="19" t="s">
        <v>146</v>
      </c>
      <c r="I694" s="19" t="s">
        <v>147</v>
      </c>
      <c r="J694" s="19">
        <v>7</v>
      </c>
      <c r="K694" s="19">
        <v>2.5000000000000001E-2</v>
      </c>
      <c r="L694" s="19" t="s">
        <v>541</v>
      </c>
      <c r="M694" s="19" t="s">
        <v>541</v>
      </c>
      <c r="N694" s="19">
        <v>50</v>
      </c>
      <c r="O694" s="19">
        <v>100</v>
      </c>
      <c r="P694" s="19">
        <v>100</v>
      </c>
      <c r="Q694" s="19">
        <v>50</v>
      </c>
      <c r="R694" s="19" t="s">
        <v>870</v>
      </c>
      <c r="S694" s="19">
        <v>0.9</v>
      </c>
      <c r="T694" s="19">
        <v>1</v>
      </c>
      <c r="U694" s="19">
        <v>50</v>
      </c>
      <c r="AA694" s="19">
        <v>0</v>
      </c>
    </row>
    <row r="695" spans="1:27" x14ac:dyDescent="0.25">
      <c r="A695" s="19" t="s">
        <v>981</v>
      </c>
      <c r="B695" s="19" t="s">
        <v>951</v>
      </c>
      <c r="C695" s="19">
        <v>46012</v>
      </c>
      <c r="D695" s="19">
        <v>2.5</v>
      </c>
      <c r="E695" s="19" t="s">
        <v>158</v>
      </c>
      <c r="F695" s="19" t="s">
        <v>159</v>
      </c>
      <c r="G695" s="19" t="s">
        <v>134</v>
      </c>
      <c r="H695" s="19" t="s">
        <v>146</v>
      </c>
      <c r="I695" s="19" t="s">
        <v>147</v>
      </c>
      <c r="J695" s="19">
        <v>8</v>
      </c>
      <c r="K695" s="19">
        <v>2.5000000000000001E-2</v>
      </c>
      <c r="L695" s="19" t="s">
        <v>541</v>
      </c>
      <c r="M695" s="19" t="s">
        <v>541</v>
      </c>
      <c r="N695" s="19">
        <v>50</v>
      </c>
      <c r="O695" s="19">
        <v>100</v>
      </c>
      <c r="P695" s="19">
        <v>100</v>
      </c>
      <c r="Q695" s="19">
        <v>50</v>
      </c>
      <c r="R695" s="19" t="s">
        <v>870</v>
      </c>
      <c r="S695" s="19">
        <v>0.9</v>
      </c>
      <c r="T695" s="19">
        <v>1</v>
      </c>
      <c r="U695" s="19">
        <v>50</v>
      </c>
      <c r="AA695" s="19">
        <v>0</v>
      </c>
    </row>
    <row r="696" spans="1:27" x14ac:dyDescent="0.25">
      <c r="A696" s="19" t="s">
        <v>982</v>
      </c>
      <c r="B696" s="19" t="s">
        <v>951</v>
      </c>
      <c r="C696" s="19">
        <v>46012</v>
      </c>
      <c r="D696" s="19">
        <v>0</v>
      </c>
      <c r="E696" s="19" t="s">
        <v>78</v>
      </c>
      <c r="F696" s="19" t="s">
        <v>79</v>
      </c>
      <c r="G696" s="19" t="s">
        <v>32</v>
      </c>
      <c r="H696" s="19" t="s">
        <v>63</v>
      </c>
      <c r="I696" s="19" t="s">
        <v>64</v>
      </c>
      <c r="J696" s="19">
        <v>25</v>
      </c>
      <c r="K696" s="19">
        <v>1.8599999999999998E-2</v>
      </c>
      <c r="L696" s="19" t="s">
        <v>35</v>
      </c>
      <c r="M696" s="19" t="s">
        <v>40</v>
      </c>
      <c r="N696" s="19">
        <v>0</v>
      </c>
      <c r="O696" s="19">
        <v>0</v>
      </c>
      <c r="P696" s="19">
        <v>0</v>
      </c>
      <c r="Q696" s="19">
        <v>0</v>
      </c>
      <c r="R696" s="19" t="s">
        <v>870</v>
      </c>
      <c r="S696" s="19">
        <v>0.9</v>
      </c>
      <c r="T696" s="19">
        <v>1</v>
      </c>
      <c r="U696" s="19">
        <v>0</v>
      </c>
      <c r="V696" s="19" t="s">
        <v>80</v>
      </c>
      <c r="W696" s="19">
        <v>0</v>
      </c>
      <c r="Y696" s="19" t="s">
        <v>40</v>
      </c>
      <c r="Z696" s="19">
        <v>33.33</v>
      </c>
      <c r="AA696" s="19">
        <v>0</v>
      </c>
    </row>
    <row r="697" spans="1:27" x14ac:dyDescent="0.25">
      <c r="A697" s="19" t="s">
        <v>983</v>
      </c>
      <c r="B697" s="19" t="s">
        <v>951</v>
      </c>
      <c r="C697" s="19">
        <v>46012</v>
      </c>
      <c r="D697" s="19">
        <v>0.69499999999999995</v>
      </c>
      <c r="E697" s="19" t="s">
        <v>140</v>
      </c>
      <c r="F697" s="19" t="s">
        <v>141</v>
      </c>
      <c r="G697" s="19" t="s">
        <v>134</v>
      </c>
      <c r="H697" s="19" t="s">
        <v>87</v>
      </c>
      <c r="I697" s="19" t="s">
        <v>135</v>
      </c>
      <c r="J697" s="19">
        <v>10</v>
      </c>
      <c r="K697" s="19">
        <v>4.1700000000000001E-2</v>
      </c>
      <c r="L697" s="19" t="s">
        <v>35</v>
      </c>
      <c r="M697" s="19" t="s">
        <v>142</v>
      </c>
      <c r="N697" s="19">
        <v>16.666666666699999</v>
      </c>
      <c r="O697" s="19">
        <v>16.666666666699999</v>
      </c>
      <c r="P697" s="19">
        <v>0</v>
      </c>
      <c r="Q697" s="19">
        <v>0</v>
      </c>
      <c r="R697" s="19" t="s">
        <v>870</v>
      </c>
      <c r="S697" s="19">
        <v>0.9</v>
      </c>
      <c r="T697" s="19">
        <v>1</v>
      </c>
      <c r="U697" s="19">
        <v>0</v>
      </c>
      <c r="W697" s="19">
        <v>0</v>
      </c>
      <c r="X697" s="19">
        <v>1</v>
      </c>
      <c r="Y697" s="19" t="s">
        <v>142</v>
      </c>
      <c r="Z697" s="19">
        <v>50</v>
      </c>
      <c r="AA697" s="19">
        <v>16.666666666699999</v>
      </c>
    </row>
    <row r="698" spans="1:27" x14ac:dyDescent="0.25">
      <c r="A698" s="19" t="s">
        <v>984</v>
      </c>
      <c r="B698" s="19" t="s">
        <v>951</v>
      </c>
      <c r="C698" s="19">
        <v>46012</v>
      </c>
      <c r="D698" s="19">
        <v>0</v>
      </c>
      <c r="E698" s="19" t="s">
        <v>90</v>
      </c>
      <c r="F698" s="19" t="s">
        <v>91</v>
      </c>
      <c r="G698" s="19" t="s">
        <v>32</v>
      </c>
      <c r="H698" s="19" t="s">
        <v>87</v>
      </c>
      <c r="I698" s="19" t="s">
        <v>88</v>
      </c>
      <c r="J698" s="19">
        <v>33</v>
      </c>
      <c r="K698" s="19">
        <v>3.2500000000000001E-2</v>
      </c>
      <c r="L698" s="19" t="s">
        <v>35</v>
      </c>
      <c r="M698" s="19" t="s">
        <v>110</v>
      </c>
      <c r="N698" s="19">
        <v>0</v>
      </c>
      <c r="O698" s="19">
        <v>0</v>
      </c>
      <c r="P698" s="19">
        <v>0</v>
      </c>
      <c r="Q698" s="19">
        <v>0</v>
      </c>
      <c r="R698" s="19" t="s">
        <v>870</v>
      </c>
      <c r="S698" s="19">
        <v>0.9</v>
      </c>
      <c r="T698" s="19">
        <v>1</v>
      </c>
      <c r="U698" s="19">
        <v>0</v>
      </c>
      <c r="V698" s="19" t="s">
        <v>80</v>
      </c>
      <c r="W698" s="19">
        <v>0</v>
      </c>
      <c r="Y698" s="19" t="s">
        <v>110</v>
      </c>
      <c r="Z698" s="19">
        <v>16.664999999999999</v>
      </c>
      <c r="AA698" s="19">
        <v>0</v>
      </c>
    </row>
    <row r="699" spans="1:27" x14ac:dyDescent="0.25">
      <c r="A699" s="19" t="s">
        <v>985</v>
      </c>
      <c r="B699" s="19" t="s">
        <v>951</v>
      </c>
      <c r="C699" s="19">
        <v>46012</v>
      </c>
      <c r="D699" s="19">
        <v>0</v>
      </c>
      <c r="E699" s="19" t="s">
        <v>96</v>
      </c>
      <c r="F699" s="19" t="s">
        <v>97</v>
      </c>
      <c r="G699" s="19" t="s">
        <v>32</v>
      </c>
      <c r="H699" s="19" t="s">
        <v>87</v>
      </c>
      <c r="I699" s="19" t="s">
        <v>88</v>
      </c>
      <c r="J699" s="19">
        <v>36</v>
      </c>
      <c r="K699" s="19">
        <v>3.2500000000000001E-2</v>
      </c>
      <c r="L699" s="19" t="s">
        <v>35</v>
      </c>
      <c r="N699" s="19">
        <v>0</v>
      </c>
      <c r="O699" s="19">
        <v>0</v>
      </c>
      <c r="P699" s="19">
        <v>0</v>
      </c>
      <c r="Q699" s="19">
        <v>0</v>
      </c>
      <c r="R699" s="19" t="s">
        <v>870</v>
      </c>
      <c r="S699" s="19">
        <v>0.9</v>
      </c>
      <c r="T699" s="19">
        <v>1</v>
      </c>
      <c r="U699" s="19">
        <v>0</v>
      </c>
      <c r="V699" s="19" t="s">
        <v>36</v>
      </c>
      <c r="W699" s="19">
        <v>0</v>
      </c>
      <c r="Z699" s="19">
        <v>0</v>
      </c>
      <c r="AA699" s="19">
        <v>0</v>
      </c>
    </row>
    <row r="700" spans="1:27" x14ac:dyDescent="0.25">
      <c r="A700" s="19" t="s">
        <v>986</v>
      </c>
      <c r="B700" s="19" t="s">
        <v>951</v>
      </c>
      <c r="C700" s="19">
        <v>46012</v>
      </c>
      <c r="D700" s="19">
        <v>0.2316435</v>
      </c>
      <c r="E700" s="19" t="s">
        <v>137</v>
      </c>
      <c r="F700" s="19" t="s">
        <v>138</v>
      </c>
      <c r="G700" s="19" t="s">
        <v>134</v>
      </c>
      <c r="H700" s="19" t="s">
        <v>87</v>
      </c>
      <c r="I700" s="19" t="s">
        <v>135</v>
      </c>
      <c r="J700" s="19">
        <v>9</v>
      </c>
      <c r="K700" s="19">
        <v>4.1700000000000001E-2</v>
      </c>
      <c r="L700" s="19" t="s">
        <v>35</v>
      </c>
      <c r="M700" s="19" t="s">
        <v>110</v>
      </c>
      <c r="N700" s="19">
        <v>5.5549999999999997</v>
      </c>
      <c r="O700" s="19">
        <v>5.5549999999999997</v>
      </c>
      <c r="P700" s="19">
        <v>0</v>
      </c>
      <c r="Q700" s="19">
        <v>0</v>
      </c>
      <c r="R700" s="19" t="s">
        <v>870</v>
      </c>
      <c r="S700" s="19">
        <v>0.9</v>
      </c>
      <c r="T700" s="19">
        <v>1</v>
      </c>
      <c r="U700" s="19">
        <v>0</v>
      </c>
      <c r="W700" s="19">
        <v>0</v>
      </c>
      <c r="X700" s="19">
        <v>1</v>
      </c>
      <c r="Y700" s="19" t="s">
        <v>110</v>
      </c>
      <c r="Z700" s="19">
        <v>16.664999999999999</v>
      </c>
      <c r="AA700" s="19">
        <v>5.5549999999999997</v>
      </c>
    </row>
    <row r="701" spans="1:27" x14ac:dyDescent="0.25">
      <c r="A701" s="19" t="s">
        <v>987</v>
      </c>
      <c r="B701" s="19" t="s">
        <v>951</v>
      </c>
      <c r="C701" s="19">
        <v>46012</v>
      </c>
      <c r="D701" s="19">
        <v>2.2197779999999998</v>
      </c>
      <c r="E701" s="19" t="s">
        <v>161</v>
      </c>
      <c r="F701" s="19" t="s">
        <v>162</v>
      </c>
      <c r="G701" s="19" t="s">
        <v>163</v>
      </c>
      <c r="I701" s="19" t="s">
        <v>164</v>
      </c>
      <c r="J701" s="19">
        <v>1</v>
      </c>
      <c r="K701" s="19">
        <v>3.3300000000000003E-2</v>
      </c>
      <c r="L701" s="19" t="s">
        <v>35</v>
      </c>
      <c r="M701" s="19" t="s">
        <v>165</v>
      </c>
      <c r="N701" s="19">
        <v>66.66</v>
      </c>
      <c r="O701" s="19">
        <v>66.66</v>
      </c>
      <c r="P701" s="19">
        <v>0</v>
      </c>
      <c r="Q701" s="19">
        <v>0</v>
      </c>
      <c r="R701" s="19" t="s">
        <v>870</v>
      </c>
      <c r="S701" s="19">
        <v>0.9</v>
      </c>
      <c r="T701" s="19">
        <v>1</v>
      </c>
      <c r="U701" s="19">
        <v>0</v>
      </c>
      <c r="W701" s="19">
        <v>0</v>
      </c>
      <c r="X701" s="19">
        <v>66.66</v>
      </c>
      <c r="Z701" s="19">
        <v>0</v>
      </c>
      <c r="AA701" s="19">
        <v>66.66</v>
      </c>
    </row>
    <row r="702" spans="1:27" x14ac:dyDescent="0.25">
      <c r="A702" s="19" t="s">
        <v>988</v>
      </c>
      <c r="B702" s="19" t="s">
        <v>951</v>
      </c>
      <c r="C702" s="19">
        <v>46012</v>
      </c>
      <c r="D702" s="19">
        <v>1.1098889999999999</v>
      </c>
      <c r="E702" s="19" t="s">
        <v>167</v>
      </c>
      <c r="F702" s="19" t="s">
        <v>168</v>
      </c>
      <c r="G702" s="19" t="s">
        <v>163</v>
      </c>
      <c r="I702" s="19" t="s">
        <v>164</v>
      </c>
      <c r="J702" s="19">
        <v>3</v>
      </c>
      <c r="K702" s="19">
        <v>3.3300000000000003E-2</v>
      </c>
      <c r="L702" s="19" t="s">
        <v>35</v>
      </c>
      <c r="M702" s="19" t="s">
        <v>165</v>
      </c>
      <c r="N702" s="19">
        <v>33.33</v>
      </c>
      <c r="O702" s="19">
        <v>33.33</v>
      </c>
      <c r="P702" s="19">
        <v>0</v>
      </c>
      <c r="Q702" s="19">
        <v>0</v>
      </c>
      <c r="R702" s="19" t="s">
        <v>870</v>
      </c>
      <c r="S702" s="19">
        <v>0.9</v>
      </c>
      <c r="T702" s="19">
        <v>1</v>
      </c>
      <c r="U702" s="19">
        <v>0</v>
      </c>
      <c r="W702" s="19">
        <v>0</v>
      </c>
      <c r="X702" s="19">
        <v>33.33</v>
      </c>
      <c r="Z702" s="19">
        <v>0</v>
      </c>
      <c r="AA702" s="19">
        <v>33.33</v>
      </c>
    </row>
    <row r="703" spans="1:27" x14ac:dyDescent="0.25">
      <c r="A703" s="19" t="s">
        <v>989</v>
      </c>
      <c r="B703" s="19" t="s">
        <v>951</v>
      </c>
      <c r="C703" s="19">
        <v>46012</v>
      </c>
      <c r="D703" s="19">
        <v>2.4641999999999999</v>
      </c>
      <c r="E703" s="19" t="s">
        <v>170</v>
      </c>
      <c r="F703" s="19" t="s">
        <v>171</v>
      </c>
      <c r="G703" s="19" t="s">
        <v>163</v>
      </c>
      <c r="I703" s="19" t="s">
        <v>164</v>
      </c>
      <c r="J703" s="19">
        <v>2</v>
      </c>
      <c r="K703" s="19">
        <v>3.3300000000000003E-2</v>
      </c>
      <c r="L703" s="19" t="s">
        <v>35</v>
      </c>
      <c r="M703" s="19" t="s">
        <v>165</v>
      </c>
      <c r="N703" s="19">
        <v>74</v>
      </c>
      <c r="O703" s="19">
        <v>74</v>
      </c>
      <c r="P703" s="19">
        <v>0</v>
      </c>
      <c r="Q703" s="19">
        <v>0</v>
      </c>
      <c r="R703" s="19" t="s">
        <v>870</v>
      </c>
      <c r="S703" s="19">
        <v>0.9</v>
      </c>
      <c r="T703" s="19">
        <v>1</v>
      </c>
      <c r="U703" s="19">
        <v>0</v>
      </c>
      <c r="W703" s="19">
        <v>0</v>
      </c>
      <c r="X703" s="19">
        <v>74</v>
      </c>
      <c r="Z703" s="19">
        <v>0</v>
      </c>
      <c r="AA703" s="19">
        <v>74</v>
      </c>
    </row>
    <row r="704" spans="1:27" x14ac:dyDescent="0.25">
      <c r="A704" s="19" t="s">
        <v>1318</v>
      </c>
      <c r="B704" s="19" t="s">
        <v>1319</v>
      </c>
      <c r="C704" s="19">
        <v>47122</v>
      </c>
      <c r="D704" s="19">
        <v>1.6299999999999899</v>
      </c>
      <c r="E704" s="19" t="s">
        <v>30</v>
      </c>
      <c r="F704" s="19" t="s">
        <v>31</v>
      </c>
      <c r="G704" s="19" t="s">
        <v>32</v>
      </c>
      <c r="H704" s="19" t="s">
        <v>33</v>
      </c>
      <c r="I704" s="19" t="s">
        <v>34</v>
      </c>
      <c r="J704" s="19">
        <v>17</v>
      </c>
      <c r="K704" s="19">
        <v>1.6299999999999999E-2</v>
      </c>
      <c r="L704" s="19" t="s">
        <v>541</v>
      </c>
      <c r="M704" s="19" t="s">
        <v>541</v>
      </c>
      <c r="N704" s="19">
        <v>50</v>
      </c>
      <c r="O704" s="19">
        <v>100</v>
      </c>
      <c r="P704" s="19">
        <v>100</v>
      </c>
      <c r="Q704" s="19">
        <v>50</v>
      </c>
      <c r="R704" s="19" t="s">
        <v>1075</v>
      </c>
      <c r="S704" s="19">
        <v>1</v>
      </c>
      <c r="T704" s="19">
        <v>1</v>
      </c>
      <c r="U704" s="19">
        <v>50</v>
      </c>
      <c r="AA704" s="19">
        <v>0</v>
      </c>
    </row>
    <row r="705" spans="1:27" x14ac:dyDescent="0.25">
      <c r="A705" s="19" t="s">
        <v>1320</v>
      </c>
      <c r="B705" s="19" t="s">
        <v>1319</v>
      </c>
      <c r="C705" s="19">
        <v>47122</v>
      </c>
      <c r="D705" s="19">
        <v>1.63</v>
      </c>
      <c r="E705" s="19" t="s">
        <v>38</v>
      </c>
      <c r="F705" s="19" t="s">
        <v>39</v>
      </c>
      <c r="G705" s="19" t="s">
        <v>32</v>
      </c>
      <c r="H705" s="19" t="s">
        <v>33</v>
      </c>
      <c r="I705" s="19" t="s">
        <v>34</v>
      </c>
      <c r="J705" s="19">
        <v>19</v>
      </c>
      <c r="K705" s="19">
        <v>1.6299999999999999E-2</v>
      </c>
      <c r="L705" s="19" t="s">
        <v>541</v>
      </c>
      <c r="M705" s="19" t="s">
        <v>541</v>
      </c>
      <c r="N705" s="19">
        <v>50</v>
      </c>
      <c r="O705" s="19">
        <v>100</v>
      </c>
      <c r="P705" s="19">
        <v>100</v>
      </c>
      <c r="Q705" s="19">
        <v>50</v>
      </c>
      <c r="R705" s="19" t="s">
        <v>1075</v>
      </c>
      <c r="S705" s="19">
        <v>1</v>
      </c>
      <c r="T705" s="19">
        <v>1</v>
      </c>
      <c r="U705" s="19">
        <v>50</v>
      </c>
      <c r="AA705" s="19">
        <v>0</v>
      </c>
    </row>
    <row r="706" spans="1:27" x14ac:dyDescent="0.25">
      <c r="A706" s="19" t="s">
        <v>1321</v>
      </c>
      <c r="B706" s="19" t="s">
        <v>1319</v>
      </c>
      <c r="C706" s="19">
        <v>47122</v>
      </c>
      <c r="D706" s="19">
        <v>1.63</v>
      </c>
      <c r="E706" s="19" t="s">
        <v>43</v>
      </c>
      <c r="F706" s="19" t="s">
        <v>44</v>
      </c>
      <c r="G706" s="19" t="s">
        <v>32</v>
      </c>
      <c r="H706" s="19" t="s">
        <v>33</v>
      </c>
      <c r="I706" s="19" t="s">
        <v>34</v>
      </c>
      <c r="J706" s="19">
        <v>18</v>
      </c>
      <c r="K706" s="19">
        <v>1.6299999999999999E-2</v>
      </c>
      <c r="L706" s="19" t="s">
        <v>541</v>
      </c>
      <c r="M706" s="19" t="s">
        <v>541</v>
      </c>
      <c r="N706" s="19">
        <v>50</v>
      </c>
      <c r="O706" s="19">
        <v>100</v>
      </c>
      <c r="P706" s="19">
        <v>100</v>
      </c>
      <c r="Q706" s="19">
        <v>50</v>
      </c>
      <c r="R706" s="19" t="s">
        <v>1075</v>
      </c>
      <c r="S706" s="19">
        <v>1</v>
      </c>
      <c r="T706" s="19">
        <v>1</v>
      </c>
      <c r="U706" s="19">
        <v>50</v>
      </c>
      <c r="AA706" s="19">
        <v>0</v>
      </c>
    </row>
    <row r="707" spans="1:27" x14ac:dyDescent="0.25">
      <c r="A707" s="19" t="s">
        <v>1322</v>
      </c>
      <c r="B707" s="19" t="s">
        <v>1319</v>
      </c>
      <c r="C707" s="19">
        <v>47122</v>
      </c>
      <c r="D707" s="19">
        <v>1.63</v>
      </c>
      <c r="E707" s="19" t="s">
        <v>46</v>
      </c>
      <c r="F707" s="19" t="s">
        <v>47</v>
      </c>
      <c r="G707" s="19" t="s">
        <v>32</v>
      </c>
      <c r="H707" s="19" t="s">
        <v>33</v>
      </c>
      <c r="I707" s="19" t="s">
        <v>34</v>
      </c>
      <c r="J707" s="19">
        <v>15</v>
      </c>
      <c r="K707" s="19">
        <v>1.6299999999999999E-2</v>
      </c>
      <c r="L707" s="19" t="s">
        <v>541</v>
      </c>
      <c r="M707" s="19" t="s">
        <v>541</v>
      </c>
      <c r="N707" s="19">
        <v>50</v>
      </c>
      <c r="O707" s="19">
        <v>100</v>
      </c>
      <c r="P707" s="19">
        <v>100</v>
      </c>
      <c r="Q707" s="19">
        <v>50</v>
      </c>
      <c r="R707" s="19" t="s">
        <v>1075</v>
      </c>
      <c r="S707" s="19">
        <v>1</v>
      </c>
      <c r="T707" s="19">
        <v>1</v>
      </c>
      <c r="U707" s="19">
        <v>50</v>
      </c>
      <c r="AA707" s="19">
        <v>0</v>
      </c>
    </row>
    <row r="708" spans="1:27" x14ac:dyDescent="0.25">
      <c r="A708" s="19" t="s">
        <v>1323</v>
      </c>
      <c r="B708" s="19" t="s">
        <v>1319</v>
      </c>
      <c r="C708" s="19">
        <v>47122</v>
      </c>
      <c r="D708" s="19">
        <v>1.63</v>
      </c>
      <c r="E708" s="19" t="s">
        <v>49</v>
      </c>
      <c r="F708" s="19" t="s">
        <v>50</v>
      </c>
      <c r="G708" s="19" t="s">
        <v>32</v>
      </c>
      <c r="H708" s="19" t="s">
        <v>33</v>
      </c>
      <c r="I708" s="19" t="s">
        <v>34</v>
      </c>
      <c r="J708" s="19">
        <v>12</v>
      </c>
      <c r="K708" s="19">
        <v>1.6299999999999999E-2</v>
      </c>
      <c r="L708" s="19" t="s">
        <v>541</v>
      </c>
      <c r="M708" s="19" t="s">
        <v>541</v>
      </c>
      <c r="N708" s="19">
        <v>50</v>
      </c>
      <c r="O708" s="19">
        <v>100</v>
      </c>
      <c r="P708" s="19">
        <v>100</v>
      </c>
      <c r="Q708" s="19">
        <v>50</v>
      </c>
      <c r="R708" s="19" t="s">
        <v>1075</v>
      </c>
      <c r="S708" s="19">
        <v>1</v>
      </c>
      <c r="T708" s="19">
        <v>1</v>
      </c>
      <c r="U708" s="19">
        <v>50</v>
      </c>
      <c r="AA708" s="19">
        <v>0</v>
      </c>
    </row>
    <row r="709" spans="1:27" x14ac:dyDescent="0.25">
      <c r="A709" s="19" t="s">
        <v>1324</v>
      </c>
      <c r="B709" s="19" t="s">
        <v>1319</v>
      </c>
      <c r="C709" s="19">
        <v>47122</v>
      </c>
      <c r="D709" s="19">
        <v>1.63</v>
      </c>
      <c r="E709" s="19" t="s">
        <v>52</v>
      </c>
      <c r="F709" s="19" t="s">
        <v>53</v>
      </c>
      <c r="G709" s="19" t="s">
        <v>32</v>
      </c>
      <c r="H709" s="19" t="s">
        <v>33</v>
      </c>
      <c r="I709" s="19" t="s">
        <v>34</v>
      </c>
      <c r="J709" s="19">
        <v>16</v>
      </c>
      <c r="K709" s="19">
        <v>1.6299999999999999E-2</v>
      </c>
      <c r="L709" s="19" t="s">
        <v>541</v>
      </c>
      <c r="M709" s="19" t="s">
        <v>541</v>
      </c>
      <c r="N709" s="19">
        <v>50</v>
      </c>
      <c r="O709" s="19">
        <v>100</v>
      </c>
      <c r="P709" s="19">
        <v>100</v>
      </c>
      <c r="Q709" s="19">
        <v>50</v>
      </c>
      <c r="R709" s="19" t="s">
        <v>1075</v>
      </c>
      <c r="S709" s="19">
        <v>1</v>
      </c>
      <c r="T709" s="19">
        <v>1</v>
      </c>
      <c r="U709" s="19">
        <v>50</v>
      </c>
      <c r="AA709" s="19">
        <v>0</v>
      </c>
    </row>
    <row r="710" spans="1:27" x14ac:dyDescent="0.25">
      <c r="A710" s="19" t="s">
        <v>1325</v>
      </c>
      <c r="B710" s="19" t="s">
        <v>1319</v>
      </c>
      <c r="C710" s="19">
        <v>47122</v>
      </c>
      <c r="D710" s="19">
        <v>1.63</v>
      </c>
      <c r="E710" s="19" t="s">
        <v>55</v>
      </c>
      <c r="F710" s="19" t="s">
        <v>56</v>
      </c>
      <c r="G710" s="19" t="s">
        <v>32</v>
      </c>
      <c r="H710" s="19" t="s">
        <v>33</v>
      </c>
      <c r="I710" s="19" t="s">
        <v>34</v>
      </c>
      <c r="J710" s="19">
        <v>14</v>
      </c>
      <c r="K710" s="19">
        <v>1.6299999999999999E-2</v>
      </c>
      <c r="L710" s="19" t="s">
        <v>541</v>
      </c>
      <c r="M710" s="19" t="s">
        <v>541</v>
      </c>
      <c r="N710" s="19">
        <v>50</v>
      </c>
      <c r="O710" s="19">
        <v>100</v>
      </c>
      <c r="P710" s="19">
        <v>100</v>
      </c>
      <c r="Q710" s="19">
        <v>50</v>
      </c>
      <c r="R710" s="19" t="s">
        <v>1075</v>
      </c>
      <c r="S710" s="19">
        <v>1</v>
      </c>
      <c r="T710" s="19">
        <v>1</v>
      </c>
      <c r="U710" s="19">
        <v>50</v>
      </c>
      <c r="AA710" s="19">
        <v>0</v>
      </c>
    </row>
    <row r="711" spans="1:27" x14ac:dyDescent="0.25">
      <c r="A711" s="19" t="s">
        <v>1326</v>
      </c>
      <c r="B711" s="19" t="s">
        <v>1319</v>
      </c>
      <c r="C711" s="19">
        <v>47122</v>
      </c>
      <c r="D711" s="19">
        <v>1.63</v>
      </c>
      <c r="E711" s="19" t="s">
        <v>58</v>
      </c>
      <c r="F711" s="19" t="s">
        <v>59</v>
      </c>
      <c r="G711" s="19" t="s">
        <v>32</v>
      </c>
      <c r="H711" s="19" t="s">
        <v>33</v>
      </c>
      <c r="I711" s="19" t="s">
        <v>34</v>
      </c>
      <c r="J711" s="19">
        <v>13</v>
      </c>
      <c r="K711" s="19">
        <v>1.6299999999999999E-2</v>
      </c>
      <c r="L711" s="19" t="s">
        <v>541</v>
      </c>
      <c r="M711" s="19" t="s">
        <v>541</v>
      </c>
      <c r="N711" s="19">
        <v>50</v>
      </c>
      <c r="O711" s="19">
        <v>100</v>
      </c>
      <c r="P711" s="19">
        <v>100</v>
      </c>
      <c r="Q711" s="19">
        <v>50</v>
      </c>
      <c r="R711" s="19" t="s">
        <v>1075</v>
      </c>
      <c r="S711" s="19">
        <v>1</v>
      </c>
      <c r="T711" s="19">
        <v>1</v>
      </c>
      <c r="U711" s="19">
        <v>50</v>
      </c>
      <c r="AA711" s="19">
        <v>0</v>
      </c>
    </row>
    <row r="712" spans="1:27" x14ac:dyDescent="0.25">
      <c r="A712" s="19" t="s">
        <v>1327</v>
      </c>
      <c r="B712" s="19" t="s">
        <v>1319</v>
      </c>
      <c r="C712" s="19">
        <v>47122</v>
      </c>
      <c r="D712" s="19">
        <v>1.8599999999999901</v>
      </c>
      <c r="E712" s="19" t="s">
        <v>61</v>
      </c>
      <c r="F712" s="19" t="s">
        <v>62</v>
      </c>
      <c r="G712" s="19" t="s">
        <v>32</v>
      </c>
      <c r="H712" s="19" t="s">
        <v>63</v>
      </c>
      <c r="I712" s="19" t="s">
        <v>64</v>
      </c>
      <c r="J712" s="19">
        <v>22</v>
      </c>
      <c r="K712" s="19">
        <v>1.8599999999999998E-2</v>
      </c>
      <c r="L712" s="19" t="s">
        <v>541</v>
      </c>
      <c r="M712" s="19" t="s">
        <v>541</v>
      </c>
      <c r="N712" s="19">
        <v>50</v>
      </c>
      <c r="O712" s="19">
        <v>100</v>
      </c>
      <c r="P712" s="19">
        <v>100</v>
      </c>
      <c r="Q712" s="19">
        <v>50</v>
      </c>
      <c r="R712" s="19" t="s">
        <v>1075</v>
      </c>
      <c r="S712" s="19">
        <v>1</v>
      </c>
      <c r="T712" s="19">
        <v>1</v>
      </c>
      <c r="U712" s="19">
        <v>50</v>
      </c>
      <c r="AA712" s="19">
        <v>0</v>
      </c>
    </row>
    <row r="713" spans="1:27" x14ac:dyDescent="0.25">
      <c r="A713" s="19" t="s">
        <v>1328</v>
      </c>
      <c r="B713" s="19" t="s">
        <v>1319</v>
      </c>
      <c r="C713" s="19">
        <v>47122</v>
      </c>
      <c r="D713" s="19">
        <v>1.8599999999999901</v>
      </c>
      <c r="E713" s="19" t="s">
        <v>66</v>
      </c>
      <c r="F713" s="19" t="s">
        <v>67</v>
      </c>
      <c r="G713" s="19" t="s">
        <v>32</v>
      </c>
      <c r="H713" s="19" t="s">
        <v>63</v>
      </c>
      <c r="I713" s="19" t="s">
        <v>64</v>
      </c>
      <c r="J713" s="19">
        <v>20</v>
      </c>
      <c r="K713" s="19">
        <v>1.8599999999999998E-2</v>
      </c>
      <c r="L713" s="19" t="s">
        <v>541</v>
      </c>
      <c r="M713" s="19" t="s">
        <v>541</v>
      </c>
      <c r="N713" s="19">
        <v>50</v>
      </c>
      <c r="O713" s="19">
        <v>100</v>
      </c>
      <c r="P713" s="19">
        <v>100</v>
      </c>
      <c r="Q713" s="19">
        <v>50</v>
      </c>
      <c r="R713" s="19" t="s">
        <v>1075</v>
      </c>
      <c r="S713" s="19">
        <v>1</v>
      </c>
      <c r="T713" s="19">
        <v>1</v>
      </c>
      <c r="U713" s="19">
        <v>50</v>
      </c>
      <c r="AA713" s="19">
        <v>0</v>
      </c>
    </row>
    <row r="714" spans="1:27" x14ac:dyDescent="0.25">
      <c r="A714" s="19" t="s">
        <v>1329</v>
      </c>
      <c r="B714" s="19" t="s">
        <v>1319</v>
      </c>
      <c r="C714" s="19">
        <v>47122</v>
      </c>
      <c r="D714" s="19">
        <v>1.8599999999999901</v>
      </c>
      <c r="E714" s="19" t="s">
        <v>69</v>
      </c>
      <c r="F714" s="19" t="s">
        <v>70</v>
      </c>
      <c r="G714" s="19" t="s">
        <v>32</v>
      </c>
      <c r="H714" s="19" t="s">
        <v>63</v>
      </c>
      <c r="I714" s="19" t="s">
        <v>64</v>
      </c>
      <c r="J714" s="19">
        <v>23</v>
      </c>
      <c r="K714" s="19">
        <v>1.8599999999999998E-2</v>
      </c>
      <c r="L714" s="19" t="s">
        <v>541</v>
      </c>
      <c r="M714" s="19" t="s">
        <v>541</v>
      </c>
      <c r="N714" s="19">
        <v>50</v>
      </c>
      <c r="O714" s="19">
        <v>100</v>
      </c>
      <c r="P714" s="19">
        <v>100</v>
      </c>
      <c r="Q714" s="19">
        <v>50</v>
      </c>
      <c r="R714" s="19" t="s">
        <v>1075</v>
      </c>
      <c r="S714" s="19">
        <v>1</v>
      </c>
      <c r="T714" s="19">
        <v>1</v>
      </c>
      <c r="U714" s="19">
        <v>50</v>
      </c>
      <c r="AA714" s="19">
        <v>0</v>
      </c>
    </row>
    <row r="715" spans="1:27" x14ac:dyDescent="0.25">
      <c r="A715" s="19" t="s">
        <v>1330</v>
      </c>
      <c r="B715" s="19" t="s">
        <v>1319</v>
      </c>
      <c r="C715" s="19">
        <v>47122</v>
      </c>
      <c r="D715" s="19">
        <v>1.8599999999999901</v>
      </c>
      <c r="E715" s="19" t="s">
        <v>72</v>
      </c>
      <c r="F715" s="19" t="s">
        <v>73</v>
      </c>
      <c r="G715" s="19" t="s">
        <v>32</v>
      </c>
      <c r="H715" s="19" t="s">
        <v>63</v>
      </c>
      <c r="I715" s="19" t="s">
        <v>64</v>
      </c>
      <c r="J715" s="19">
        <v>21</v>
      </c>
      <c r="K715" s="19">
        <v>1.8599999999999998E-2</v>
      </c>
      <c r="L715" s="19" t="s">
        <v>541</v>
      </c>
      <c r="M715" s="19" t="s">
        <v>541</v>
      </c>
      <c r="N715" s="19">
        <v>50</v>
      </c>
      <c r="O715" s="19">
        <v>100</v>
      </c>
      <c r="P715" s="19">
        <v>100</v>
      </c>
      <c r="Q715" s="19">
        <v>50</v>
      </c>
      <c r="R715" s="19" t="s">
        <v>1075</v>
      </c>
      <c r="S715" s="19">
        <v>1</v>
      </c>
      <c r="T715" s="19">
        <v>1</v>
      </c>
      <c r="U715" s="19">
        <v>50</v>
      </c>
      <c r="AA715" s="19">
        <v>0</v>
      </c>
    </row>
    <row r="716" spans="1:27" x14ac:dyDescent="0.25">
      <c r="A716" s="19" t="s">
        <v>1331</v>
      </c>
      <c r="B716" s="19" t="s">
        <v>1319</v>
      </c>
      <c r="C716" s="19">
        <v>47122</v>
      </c>
      <c r="D716" s="19">
        <v>1.8599999999999901</v>
      </c>
      <c r="E716" s="19" t="s">
        <v>75</v>
      </c>
      <c r="F716" s="19" t="s">
        <v>76</v>
      </c>
      <c r="G716" s="19" t="s">
        <v>32</v>
      </c>
      <c r="H716" s="19" t="s">
        <v>63</v>
      </c>
      <c r="I716" s="19" t="s">
        <v>64</v>
      </c>
      <c r="J716" s="19">
        <v>24</v>
      </c>
      <c r="K716" s="19">
        <v>1.8599999999999998E-2</v>
      </c>
      <c r="L716" s="19" t="s">
        <v>541</v>
      </c>
      <c r="M716" s="19" t="s">
        <v>541</v>
      </c>
      <c r="N716" s="19">
        <v>50</v>
      </c>
      <c r="O716" s="19">
        <v>100</v>
      </c>
      <c r="P716" s="19">
        <v>100</v>
      </c>
      <c r="Q716" s="19">
        <v>50</v>
      </c>
      <c r="R716" s="19" t="s">
        <v>1075</v>
      </c>
      <c r="S716" s="19">
        <v>1</v>
      </c>
      <c r="T716" s="19">
        <v>1</v>
      </c>
      <c r="U716" s="19">
        <v>50</v>
      </c>
      <c r="AA716" s="19">
        <v>0</v>
      </c>
    </row>
    <row r="717" spans="1:27" x14ac:dyDescent="0.25">
      <c r="A717" s="19" t="s">
        <v>1332</v>
      </c>
      <c r="B717" s="19" t="s">
        <v>1319</v>
      </c>
      <c r="C717" s="19">
        <v>47122</v>
      </c>
      <c r="D717" s="19">
        <v>1.8599999999999901</v>
      </c>
      <c r="E717" s="19" t="s">
        <v>78</v>
      </c>
      <c r="F717" s="19" t="s">
        <v>79</v>
      </c>
      <c r="G717" s="19" t="s">
        <v>32</v>
      </c>
      <c r="H717" s="19" t="s">
        <v>63</v>
      </c>
      <c r="I717" s="19" t="s">
        <v>64</v>
      </c>
      <c r="J717" s="19">
        <v>25</v>
      </c>
      <c r="K717" s="19">
        <v>1.8599999999999998E-2</v>
      </c>
      <c r="L717" s="19" t="s">
        <v>541</v>
      </c>
      <c r="M717" s="19" t="s">
        <v>541</v>
      </c>
      <c r="N717" s="19">
        <v>50</v>
      </c>
      <c r="O717" s="19">
        <v>100</v>
      </c>
      <c r="P717" s="19">
        <v>100</v>
      </c>
      <c r="Q717" s="19">
        <v>50</v>
      </c>
      <c r="R717" s="19" t="s">
        <v>1075</v>
      </c>
      <c r="S717" s="19">
        <v>1</v>
      </c>
      <c r="T717" s="19">
        <v>1</v>
      </c>
      <c r="U717" s="19">
        <v>50</v>
      </c>
      <c r="AA717" s="19">
        <v>0</v>
      </c>
    </row>
    <row r="718" spans="1:27" x14ac:dyDescent="0.25">
      <c r="A718" s="19" t="s">
        <v>1333</v>
      </c>
      <c r="B718" s="19" t="s">
        <v>1319</v>
      </c>
      <c r="C718" s="19">
        <v>47122</v>
      </c>
      <c r="D718" s="19">
        <v>1.8599999999999901</v>
      </c>
      <c r="E718" s="19" t="s">
        <v>82</v>
      </c>
      <c r="F718" s="19" t="s">
        <v>83</v>
      </c>
      <c r="G718" s="19" t="s">
        <v>32</v>
      </c>
      <c r="H718" s="19" t="s">
        <v>63</v>
      </c>
      <c r="I718" s="19" t="s">
        <v>64</v>
      </c>
      <c r="J718" s="19">
        <v>26</v>
      </c>
      <c r="K718" s="19">
        <v>1.8599999999999998E-2</v>
      </c>
      <c r="L718" s="19" t="s">
        <v>541</v>
      </c>
      <c r="M718" s="19" t="s">
        <v>541</v>
      </c>
      <c r="N718" s="19">
        <v>50</v>
      </c>
      <c r="O718" s="19">
        <v>100</v>
      </c>
      <c r="P718" s="19">
        <v>100</v>
      </c>
      <c r="Q718" s="19">
        <v>50</v>
      </c>
      <c r="R718" s="19" t="s">
        <v>1075</v>
      </c>
      <c r="S718" s="19">
        <v>1</v>
      </c>
      <c r="T718" s="19">
        <v>1</v>
      </c>
      <c r="U718" s="19">
        <v>50</v>
      </c>
      <c r="AA718" s="19">
        <v>0</v>
      </c>
    </row>
    <row r="719" spans="1:27" x14ac:dyDescent="0.25">
      <c r="A719" s="19" t="s">
        <v>1334</v>
      </c>
      <c r="B719" s="19" t="s">
        <v>1319</v>
      </c>
      <c r="C719" s="19">
        <v>47122</v>
      </c>
      <c r="D719" s="19">
        <v>3.01638040712468</v>
      </c>
      <c r="E719" s="19" t="s">
        <v>85</v>
      </c>
      <c r="F719" s="19" t="s">
        <v>86</v>
      </c>
      <c r="G719" s="19" t="s">
        <v>32</v>
      </c>
      <c r="H719" s="19" t="s">
        <v>87</v>
      </c>
      <c r="I719" s="19" t="s">
        <v>88</v>
      </c>
      <c r="J719" s="19">
        <v>35</v>
      </c>
      <c r="K719" s="19">
        <v>3.2500000000000001E-2</v>
      </c>
      <c r="L719" s="19" t="s">
        <v>541</v>
      </c>
      <c r="M719" s="19" t="s">
        <v>541</v>
      </c>
      <c r="N719" s="19">
        <v>50</v>
      </c>
      <c r="O719" s="19">
        <v>92.811704834599993</v>
      </c>
      <c r="P719" s="19">
        <v>85.623409669200001</v>
      </c>
      <c r="Q719" s="19">
        <v>42.8117048346</v>
      </c>
      <c r="R719" s="19" t="s">
        <v>1075</v>
      </c>
      <c r="S719" s="19">
        <v>1</v>
      </c>
      <c r="T719" s="19">
        <v>1</v>
      </c>
      <c r="U719" s="19">
        <v>42.8117048346</v>
      </c>
      <c r="AA719" s="19">
        <v>0</v>
      </c>
    </row>
    <row r="720" spans="1:27" x14ac:dyDescent="0.25">
      <c r="A720" s="19" t="s">
        <v>1335</v>
      </c>
      <c r="B720" s="19" t="s">
        <v>1319</v>
      </c>
      <c r="C720" s="19">
        <v>47122</v>
      </c>
      <c r="D720" s="19">
        <v>2.3712499999999999</v>
      </c>
      <c r="E720" s="19" t="s">
        <v>90</v>
      </c>
      <c r="F720" s="19" t="s">
        <v>91</v>
      </c>
      <c r="G720" s="19" t="s">
        <v>32</v>
      </c>
      <c r="H720" s="19" t="s">
        <v>87</v>
      </c>
      <c r="I720" s="19" t="s">
        <v>88</v>
      </c>
      <c r="J720" s="19">
        <v>33</v>
      </c>
      <c r="K720" s="19">
        <v>3.2500000000000001E-2</v>
      </c>
      <c r="L720" s="19" t="s">
        <v>541</v>
      </c>
      <c r="M720" s="19" t="s">
        <v>541</v>
      </c>
      <c r="N720" s="19">
        <v>50</v>
      </c>
      <c r="O720" s="19">
        <v>72.961538461499998</v>
      </c>
      <c r="P720" s="19">
        <v>45.923076923099998</v>
      </c>
      <c r="Q720" s="19">
        <v>22.961538461500002</v>
      </c>
      <c r="R720" s="19" t="s">
        <v>1075</v>
      </c>
      <c r="S720" s="19">
        <v>1</v>
      </c>
      <c r="T720" s="19">
        <v>1</v>
      </c>
      <c r="U720" s="19">
        <v>22.961538461500002</v>
      </c>
      <c r="AA720" s="19">
        <v>0</v>
      </c>
    </row>
    <row r="721" spans="1:27" x14ac:dyDescent="0.25">
      <c r="A721" s="19" t="s">
        <v>1336</v>
      </c>
      <c r="B721" s="19" t="s">
        <v>1319</v>
      </c>
      <c r="C721" s="19">
        <v>47122</v>
      </c>
      <c r="D721" s="19">
        <v>3.21692111959287</v>
      </c>
      <c r="E721" s="19" t="s">
        <v>93</v>
      </c>
      <c r="F721" s="19" t="s">
        <v>94</v>
      </c>
      <c r="G721" s="19" t="s">
        <v>32</v>
      </c>
      <c r="H721" s="19" t="s">
        <v>87</v>
      </c>
      <c r="I721" s="19" t="s">
        <v>88</v>
      </c>
      <c r="J721" s="19">
        <v>34</v>
      </c>
      <c r="K721" s="19">
        <v>3.2500000000000001E-2</v>
      </c>
      <c r="L721" s="19" t="s">
        <v>541</v>
      </c>
      <c r="M721" s="19" t="s">
        <v>541</v>
      </c>
      <c r="N721" s="19">
        <v>50</v>
      </c>
      <c r="O721" s="19">
        <v>98.982188295200004</v>
      </c>
      <c r="P721" s="19">
        <v>97.964376590300006</v>
      </c>
      <c r="Q721" s="19">
        <v>48.982188295199997</v>
      </c>
      <c r="R721" s="19" t="s">
        <v>1075</v>
      </c>
      <c r="S721" s="19">
        <v>1</v>
      </c>
      <c r="T721" s="19">
        <v>1</v>
      </c>
      <c r="U721" s="19">
        <v>48.982188295199997</v>
      </c>
      <c r="AA721" s="19">
        <v>0</v>
      </c>
    </row>
    <row r="722" spans="1:27" x14ac:dyDescent="0.25">
      <c r="A722" s="19" t="s">
        <v>1337</v>
      </c>
      <c r="B722" s="19" t="s">
        <v>1319</v>
      </c>
      <c r="C722" s="19">
        <v>47122</v>
      </c>
      <c r="D722" s="19">
        <v>3.25</v>
      </c>
      <c r="E722" s="19" t="s">
        <v>96</v>
      </c>
      <c r="F722" s="19" t="s">
        <v>97</v>
      </c>
      <c r="G722" s="19" t="s">
        <v>32</v>
      </c>
      <c r="H722" s="19" t="s">
        <v>87</v>
      </c>
      <c r="I722" s="19" t="s">
        <v>88</v>
      </c>
      <c r="J722" s="19">
        <v>36</v>
      </c>
      <c r="K722" s="19">
        <v>3.2500000000000001E-2</v>
      </c>
      <c r="L722" s="19" t="s">
        <v>541</v>
      </c>
      <c r="M722" s="19" t="s">
        <v>541</v>
      </c>
      <c r="N722" s="19">
        <v>50</v>
      </c>
      <c r="O722" s="19">
        <v>100</v>
      </c>
      <c r="P722" s="19">
        <v>100</v>
      </c>
      <c r="Q722" s="19">
        <v>50</v>
      </c>
      <c r="R722" s="19" t="s">
        <v>1075</v>
      </c>
      <c r="S722" s="19">
        <v>1</v>
      </c>
      <c r="T722" s="19">
        <v>1</v>
      </c>
      <c r="U722" s="19">
        <v>50</v>
      </c>
      <c r="AA722" s="19">
        <v>0</v>
      </c>
    </row>
    <row r="723" spans="1:27" x14ac:dyDescent="0.25">
      <c r="A723" s="19" t="s">
        <v>1338</v>
      </c>
      <c r="B723" s="19" t="s">
        <v>1319</v>
      </c>
      <c r="C723" s="19">
        <v>47122</v>
      </c>
      <c r="D723" s="19">
        <v>3.2475000000000001</v>
      </c>
      <c r="E723" s="19" t="s">
        <v>99</v>
      </c>
      <c r="F723" s="19" t="s">
        <v>100</v>
      </c>
      <c r="G723" s="19" t="s">
        <v>32</v>
      </c>
      <c r="H723" s="19" t="s">
        <v>101</v>
      </c>
      <c r="I723" s="19" t="s">
        <v>102</v>
      </c>
      <c r="J723" s="19">
        <v>39</v>
      </c>
      <c r="K723" s="19">
        <v>4.3299999999999998E-2</v>
      </c>
      <c r="L723" s="19" t="s">
        <v>541</v>
      </c>
      <c r="M723" s="19" t="s">
        <v>541</v>
      </c>
      <c r="N723" s="19">
        <v>50</v>
      </c>
      <c r="O723" s="19">
        <v>75</v>
      </c>
      <c r="P723" s="19">
        <v>50</v>
      </c>
      <c r="Q723" s="19">
        <v>25</v>
      </c>
      <c r="R723" s="19" t="s">
        <v>1075</v>
      </c>
      <c r="S723" s="19">
        <v>1</v>
      </c>
      <c r="T723" s="19">
        <v>1</v>
      </c>
      <c r="U723" s="19">
        <v>25</v>
      </c>
      <c r="AA723" s="19">
        <v>0</v>
      </c>
    </row>
    <row r="724" spans="1:27" x14ac:dyDescent="0.25">
      <c r="A724" s="19" t="s">
        <v>1340</v>
      </c>
      <c r="B724" s="19" t="s">
        <v>1319</v>
      </c>
      <c r="C724" s="19">
        <v>47122</v>
      </c>
      <c r="D724" s="19">
        <v>3.2475000000000001</v>
      </c>
      <c r="E724" s="19" t="s">
        <v>108</v>
      </c>
      <c r="F724" s="19" t="s">
        <v>109</v>
      </c>
      <c r="G724" s="19" t="s">
        <v>32</v>
      </c>
      <c r="H724" s="19" t="s">
        <v>101</v>
      </c>
      <c r="I724" s="19" t="s">
        <v>102</v>
      </c>
      <c r="J724" s="19">
        <v>37</v>
      </c>
      <c r="K724" s="19">
        <v>4.3299999999999998E-2</v>
      </c>
      <c r="L724" s="19" t="s">
        <v>541</v>
      </c>
      <c r="M724" s="19" t="s">
        <v>541</v>
      </c>
      <c r="N724" s="19">
        <v>50</v>
      </c>
      <c r="O724" s="19">
        <v>75</v>
      </c>
      <c r="P724" s="19">
        <v>50</v>
      </c>
      <c r="Q724" s="19">
        <v>25</v>
      </c>
      <c r="R724" s="19" t="s">
        <v>1075</v>
      </c>
      <c r="S724" s="19">
        <v>1</v>
      </c>
      <c r="T724" s="19">
        <v>1</v>
      </c>
      <c r="U724" s="19">
        <v>25</v>
      </c>
      <c r="AA724" s="19">
        <v>0</v>
      </c>
    </row>
    <row r="725" spans="1:27" x14ac:dyDescent="0.25">
      <c r="A725" s="19" t="s">
        <v>1341</v>
      </c>
      <c r="B725" s="19" t="s">
        <v>1319</v>
      </c>
      <c r="C725" s="19">
        <v>47122</v>
      </c>
      <c r="D725" s="19">
        <v>2.17</v>
      </c>
      <c r="E725" s="19" t="s">
        <v>112</v>
      </c>
      <c r="F725" s="19" t="s">
        <v>113</v>
      </c>
      <c r="G725" s="19" t="s">
        <v>32</v>
      </c>
      <c r="H725" s="19" t="s">
        <v>114</v>
      </c>
      <c r="I725" s="19" t="s">
        <v>115</v>
      </c>
      <c r="J725" s="19">
        <v>30</v>
      </c>
      <c r="K725" s="19">
        <v>2.1700000000000001E-2</v>
      </c>
      <c r="L725" s="19" t="s">
        <v>541</v>
      </c>
      <c r="M725" s="19" t="s">
        <v>541</v>
      </c>
      <c r="N725" s="19">
        <v>50</v>
      </c>
      <c r="O725" s="19">
        <v>100</v>
      </c>
      <c r="P725" s="19">
        <v>100</v>
      </c>
      <c r="Q725" s="19">
        <v>50</v>
      </c>
      <c r="R725" s="19" t="s">
        <v>1075</v>
      </c>
      <c r="S725" s="19">
        <v>1</v>
      </c>
      <c r="T725" s="19">
        <v>1</v>
      </c>
      <c r="U725" s="19">
        <v>50</v>
      </c>
      <c r="AA725" s="19">
        <v>0</v>
      </c>
    </row>
    <row r="726" spans="1:27" x14ac:dyDescent="0.25">
      <c r="A726" s="19" t="s">
        <v>1342</v>
      </c>
      <c r="B726" s="19" t="s">
        <v>1319</v>
      </c>
      <c r="C726" s="19">
        <v>47122</v>
      </c>
      <c r="D726" s="19">
        <v>2.17</v>
      </c>
      <c r="E726" s="19" t="s">
        <v>117</v>
      </c>
      <c r="F726" s="19" t="s">
        <v>118</v>
      </c>
      <c r="G726" s="19" t="s">
        <v>32</v>
      </c>
      <c r="H726" s="19" t="s">
        <v>114</v>
      </c>
      <c r="I726" s="19" t="s">
        <v>115</v>
      </c>
      <c r="J726" s="19">
        <v>31</v>
      </c>
      <c r="K726" s="19">
        <v>2.1700000000000001E-2</v>
      </c>
      <c r="L726" s="19" t="s">
        <v>541</v>
      </c>
      <c r="M726" s="19" t="s">
        <v>541</v>
      </c>
      <c r="N726" s="19">
        <v>50</v>
      </c>
      <c r="O726" s="19">
        <v>100</v>
      </c>
      <c r="P726" s="19">
        <v>100</v>
      </c>
      <c r="Q726" s="19">
        <v>50</v>
      </c>
      <c r="R726" s="19" t="s">
        <v>1075</v>
      </c>
      <c r="S726" s="19">
        <v>1</v>
      </c>
      <c r="T726" s="19">
        <v>1</v>
      </c>
      <c r="U726" s="19">
        <v>50</v>
      </c>
      <c r="AA726" s="19">
        <v>0</v>
      </c>
    </row>
    <row r="727" spans="1:27" x14ac:dyDescent="0.25">
      <c r="A727" s="19" t="s">
        <v>1344</v>
      </c>
      <c r="B727" s="19" t="s">
        <v>1319</v>
      </c>
      <c r="C727" s="19">
        <v>47122</v>
      </c>
      <c r="D727" s="19">
        <v>2.10788167938931</v>
      </c>
      <c r="E727" s="19" t="s">
        <v>123</v>
      </c>
      <c r="F727" s="19" t="s">
        <v>124</v>
      </c>
      <c r="G727" s="19" t="s">
        <v>32</v>
      </c>
      <c r="H727" s="19" t="s">
        <v>114</v>
      </c>
      <c r="I727" s="19" t="s">
        <v>115</v>
      </c>
      <c r="J727" s="19">
        <v>27</v>
      </c>
      <c r="K727" s="19">
        <v>2.1700000000000001E-2</v>
      </c>
      <c r="L727" s="19" t="s">
        <v>541</v>
      </c>
      <c r="M727" s="19" t="s">
        <v>541</v>
      </c>
      <c r="N727" s="19">
        <v>50</v>
      </c>
      <c r="O727" s="19">
        <v>97.137404580199998</v>
      </c>
      <c r="P727" s="19">
        <v>94.274809160299995</v>
      </c>
      <c r="Q727" s="19">
        <v>47.137404580199998</v>
      </c>
      <c r="R727" s="19" t="s">
        <v>1075</v>
      </c>
      <c r="S727" s="19">
        <v>1</v>
      </c>
      <c r="T727" s="19">
        <v>1</v>
      </c>
      <c r="U727" s="19">
        <v>47.137404580199998</v>
      </c>
      <c r="AA727" s="19">
        <v>0</v>
      </c>
    </row>
    <row r="728" spans="1:27" x14ac:dyDescent="0.25">
      <c r="A728" s="19" t="s">
        <v>1346</v>
      </c>
      <c r="B728" s="19" t="s">
        <v>1319</v>
      </c>
      <c r="C728" s="19">
        <v>47122</v>
      </c>
      <c r="D728" s="19">
        <v>2.17</v>
      </c>
      <c r="E728" s="19" t="s">
        <v>129</v>
      </c>
      <c r="F728" s="19" t="s">
        <v>130</v>
      </c>
      <c r="G728" s="19" t="s">
        <v>32</v>
      </c>
      <c r="H728" s="19" t="s">
        <v>114</v>
      </c>
      <c r="I728" s="19" t="s">
        <v>115</v>
      </c>
      <c r="J728" s="19">
        <v>32</v>
      </c>
      <c r="K728" s="19">
        <v>2.1700000000000001E-2</v>
      </c>
      <c r="L728" s="19" t="s">
        <v>541</v>
      </c>
      <c r="M728" s="19" t="s">
        <v>541</v>
      </c>
      <c r="N728" s="19">
        <v>50</v>
      </c>
      <c r="O728" s="19">
        <v>100</v>
      </c>
      <c r="P728" s="19">
        <v>100</v>
      </c>
      <c r="Q728" s="19">
        <v>50</v>
      </c>
      <c r="R728" s="19" t="s">
        <v>1075</v>
      </c>
      <c r="S728" s="19">
        <v>1</v>
      </c>
      <c r="T728" s="19">
        <v>1</v>
      </c>
      <c r="U728" s="19">
        <v>50</v>
      </c>
      <c r="AA728" s="19">
        <v>0</v>
      </c>
    </row>
    <row r="729" spans="1:27" x14ac:dyDescent="0.25">
      <c r="A729" s="19" t="s">
        <v>1347</v>
      </c>
      <c r="B729" s="19" t="s">
        <v>1319</v>
      </c>
      <c r="C729" s="19">
        <v>47122</v>
      </c>
      <c r="D729" s="19">
        <v>4.17</v>
      </c>
      <c r="E729" s="19" t="s">
        <v>132</v>
      </c>
      <c r="F729" s="19" t="s">
        <v>133</v>
      </c>
      <c r="G729" s="19" t="s">
        <v>134</v>
      </c>
      <c r="H729" s="19" t="s">
        <v>87</v>
      </c>
      <c r="I729" s="19" t="s">
        <v>135</v>
      </c>
      <c r="J729" s="19">
        <v>11</v>
      </c>
      <c r="K729" s="19">
        <v>4.1700000000000001E-2</v>
      </c>
      <c r="L729" s="19" t="s">
        <v>541</v>
      </c>
      <c r="M729" s="19" t="s">
        <v>541</v>
      </c>
      <c r="N729" s="19">
        <v>50</v>
      </c>
      <c r="O729" s="19">
        <v>100</v>
      </c>
      <c r="P729" s="19">
        <v>100</v>
      </c>
      <c r="Q729" s="19">
        <v>50</v>
      </c>
      <c r="R729" s="19" t="s">
        <v>1075</v>
      </c>
      <c r="S729" s="19">
        <v>1</v>
      </c>
      <c r="T729" s="19">
        <v>1</v>
      </c>
      <c r="U729" s="19">
        <v>50</v>
      </c>
      <c r="AA729" s="19">
        <v>0</v>
      </c>
    </row>
    <row r="730" spans="1:27" x14ac:dyDescent="0.25">
      <c r="A730" s="19" t="s">
        <v>1348</v>
      </c>
      <c r="B730" s="19" t="s">
        <v>1319</v>
      </c>
      <c r="C730" s="19">
        <v>47122</v>
      </c>
      <c r="D730" s="19">
        <v>4.17</v>
      </c>
      <c r="E730" s="19" t="s">
        <v>137</v>
      </c>
      <c r="F730" s="19" t="s">
        <v>138</v>
      </c>
      <c r="G730" s="19" t="s">
        <v>134</v>
      </c>
      <c r="H730" s="19" t="s">
        <v>87</v>
      </c>
      <c r="I730" s="19" t="s">
        <v>135</v>
      </c>
      <c r="J730" s="19">
        <v>9</v>
      </c>
      <c r="K730" s="19">
        <v>4.1700000000000001E-2</v>
      </c>
      <c r="L730" s="19" t="s">
        <v>541</v>
      </c>
      <c r="M730" s="19" t="s">
        <v>541</v>
      </c>
      <c r="N730" s="19">
        <v>50</v>
      </c>
      <c r="O730" s="19">
        <v>100</v>
      </c>
      <c r="P730" s="19">
        <v>100</v>
      </c>
      <c r="Q730" s="19">
        <v>50</v>
      </c>
      <c r="R730" s="19" t="s">
        <v>1075</v>
      </c>
      <c r="S730" s="19">
        <v>1</v>
      </c>
      <c r="T730" s="19">
        <v>1</v>
      </c>
      <c r="U730" s="19">
        <v>50</v>
      </c>
      <c r="AA730" s="19">
        <v>0</v>
      </c>
    </row>
    <row r="731" spans="1:27" x14ac:dyDescent="0.25">
      <c r="A731" s="19" t="s">
        <v>1349</v>
      </c>
      <c r="B731" s="19" t="s">
        <v>1319</v>
      </c>
      <c r="C731" s="19">
        <v>47122</v>
      </c>
      <c r="D731" s="19">
        <v>4.17</v>
      </c>
      <c r="E731" s="19" t="s">
        <v>140</v>
      </c>
      <c r="F731" s="19" t="s">
        <v>141</v>
      </c>
      <c r="G731" s="19" t="s">
        <v>134</v>
      </c>
      <c r="H731" s="19" t="s">
        <v>87</v>
      </c>
      <c r="I731" s="19" t="s">
        <v>135</v>
      </c>
      <c r="J731" s="19">
        <v>10</v>
      </c>
      <c r="K731" s="19">
        <v>4.1700000000000001E-2</v>
      </c>
      <c r="L731" s="19" t="s">
        <v>541</v>
      </c>
      <c r="M731" s="19" t="s">
        <v>541</v>
      </c>
      <c r="N731" s="19">
        <v>50</v>
      </c>
      <c r="O731" s="19">
        <v>100</v>
      </c>
      <c r="P731" s="19">
        <v>100</v>
      </c>
      <c r="Q731" s="19">
        <v>50</v>
      </c>
      <c r="R731" s="19" t="s">
        <v>1075</v>
      </c>
      <c r="S731" s="19">
        <v>1</v>
      </c>
      <c r="T731" s="19">
        <v>1</v>
      </c>
      <c r="U731" s="19">
        <v>50</v>
      </c>
      <c r="AA731" s="19">
        <v>0</v>
      </c>
    </row>
    <row r="732" spans="1:27" x14ac:dyDescent="0.25">
      <c r="A732" s="19" t="s">
        <v>1350</v>
      </c>
      <c r="B732" s="19" t="s">
        <v>1319</v>
      </c>
      <c r="C732" s="19">
        <v>47122</v>
      </c>
      <c r="D732" s="19">
        <v>2.5</v>
      </c>
      <c r="E732" s="19" t="s">
        <v>144</v>
      </c>
      <c r="F732" s="19" t="s">
        <v>145</v>
      </c>
      <c r="G732" s="19" t="s">
        <v>134</v>
      </c>
      <c r="H732" s="19" t="s">
        <v>146</v>
      </c>
      <c r="I732" s="19" t="s">
        <v>147</v>
      </c>
      <c r="J732" s="19">
        <v>4</v>
      </c>
      <c r="K732" s="19">
        <v>2.5000000000000001E-2</v>
      </c>
      <c r="L732" s="19" t="s">
        <v>541</v>
      </c>
      <c r="M732" s="19" t="s">
        <v>541</v>
      </c>
      <c r="N732" s="19">
        <v>50</v>
      </c>
      <c r="O732" s="19">
        <v>100</v>
      </c>
      <c r="P732" s="19">
        <v>100</v>
      </c>
      <c r="Q732" s="19">
        <v>50</v>
      </c>
      <c r="R732" s="19" t="s">
        <v>1075</v>
      </c>
      <c r="S732" s="19">
        <v>1</v>
      </c>
      <c r="T732" s="19">
        <v>1</v>
      </c>
      <c r="U732" s="19">
        <v>50</v>
      </c>
      <c r="AA732" s="19">
        <v>0</v>
      </c>
    </row>
    <row r="733" spans="1:27" x14ac:dyDescent="0.25">
      <c r="A733" s="19" t="s">
        <v>1351</v>
      </c>
      <c r="B733" s="19" t="s">
        <v>1319</v>
      </c>
      <c r="C733" s="19">
        <v>47122</v>
      </c>
      <c r="D733" s="19">
        <v>2.5</v>
      </c>
      <c r="E733" s="19" t="s">
        <v>149</v>
      </c>
      <c r="F733" s="19" t="s">
        <v>150</v>
      </c>
      <c r="G733" s="19" t="s">
        <v>134</v>
      </c>
      <c r="H733" s="19" t="s">
        <v>146</v>
      </c>
      <c r="I733" s="19" t="s">
        <v>147</v>
      </c>
      <c r="J733" s="19">
        <v>5</v>
      </c>
      <c r="K733" s="19">
        <v>2.5000000000000001E-2</v>
      </c>
      <c r="L733" s="19" t="s">
        <v>541</v>
      </c>
      <c r="M733" s="19" t="s">
        <v>541</v>
      </c>
      <c r="N733" s="19">
        <v>50</v>
      </c>
      <c r="O733" s="19">
        <v>100</v>
      </c>
      <c r="P733" s="19">
        <v>100</v>
      </c>
      <c r="Q733" s="19">
        <v>50</v>
      </c>
      <c r="R733" s="19" t="s">
        <v>1075</v>
      </c>
      <c r="S733" s="19">
        <v>1</v>
      </c>
      <c r="T733" s="19">
        <v>1</v>
      </c>
      <c r="U733" s="19">
        <v>50</v>
      </c>
      <c r="AA733" s="19">
        <v>0</v>
      </c>
    </row>
    <row r="734" spans="1:27" x14ac:dyDescent="0.25">
      <c r="A734" s="19" t="s">
        <v>1352</v>
      </c>
      <c r="B734" s="19" t="s">
        <v>1319</v>
      </c>
      <c r="C734" s="19">
        <v>47122</v>
      </c>
      <c r="D734" s="19">
        <v>2.5</v>
      </c>
      <c r="E734" s="19" t="s">
        <v>152</v>
      </c>
      <c r="F734" s="19" t="s">
        <v>153</v>
      </c>
      <c r="G734" s="19" t="s">
        <v>134</v>
      </c>
      <c r="H734" s="19" t="s">
        <v>146</v>
      </c>
      <c r="I734" s="19" t="s">
        <v>147</v>
      </c>
      <c r="J734" s="19">
        <v>6</v>
      </c>
      <c r="K734" s="19">
        <v>2.5000000000000001E-2</v>
      </c>
      <c r="L734" s="19" t="s">
        <v>541</v>
      </c>
      <c r="M734" s="19" t="s">
        <v>541</v>
      </c>
      <c r="N734" s="19">
        <v>50</v>
      </c>
      <c r="O734" s="19">
        <v>100</v>
      </c>
      <c r="P734" s="19">
        <v>100</v>
      </c>
      <c r="Q734" s="19">
        <v>50</v>
      </c>
      <c r="R734" s="19" t="s">
        <v>1075</v>
      </c>
      <c r="S734" s="19">
        <v>1</v>
      </c>
      <c r="T734" s="19">
        <v>1</v>
      </c>
      <c r="U734" s="19">
        <v>50</v>
      </c>
      <c r="AA734" s="19">
        <v>0</v>
      </c>
    </row>
    <row r="735" spans="1:27" x14ac:dyDescent="0.25">
      <c r="A735" s="19" t="s">
        <v>1353</v>
      </c>
      <c r="B735" s="19" t="s">
        <v>1319</v>
      </c>
      <c r="C735" s="19">
        <v>47122</v>
      </c>
      <c r="D735" s="19">
        <v>2.5</v>
      </c>
      <c r="E735" s="19" t="s">
        <v>155</v>
      </c>
      <c r="F735" s="19" t="s">
        <v>156</v>
      </c>
      <c r="G735" s="19" t="s">
        <v>134</v>
      </c>
      <c r="H735" s="19" t="s">
        <v>146</v>
      </c>
      <c r="I735" s="19" t="s">
        <v>147</v>
      </c>
      <c r="J735" s="19">
        <v>7</v>
      </c>
      <c r="K735" s="19">
        <v>2.5000000000000001E-2</v>
      </c>
      <c r="L735" s="19" t="s">
        <v>541</v>
      </c>
      <c r="M735" s="19" t="s">
        <v>541</v>
      </c>
      <c r="N735" s="19">
        <v>50</v>
      </c>
      <c r="O735" s="19">
        <v>100</v>
      </c>
      <c r="P735" s="19">
        <v>100</v>
      </c>
      <c r="Q735" s="19">
        <v>50</v>
      </c>
      <c r="R735" s="19" t="s">
        <v>1075</v>
      </c>
      <c r="S735" s="19">
        <v>1</v>
      </c>
      <c r="T735" s="19">
        <v>1</v>
      </c>
      <c r="U735" s="19">
        <v>50</v>
      </c>
      <c r="AA735" s="19">
        <v>0</v>
      </c>
    </row>
    <row r="736" spans="1:27" x14ac:dyDescent="0.25">
      <c r="A736" s="19" t="s">
        <v>1354</v>
      </c>
      <c r="B736" s="19" t="s">
        <v>1319</v>
      </c>
      <c r="C736" s="19">
        <v>47122</v>
      </c>
      <c r="D736" s="19">
        <v>2.5</v>
      </c>
      <c r="E736" s="19" t="s">
        <v>158</v>
      </c>
      <c r="F736" s="19" t="s">
        <v>159</v>
      </c>
      <c r="G736" s="19" t="s">
        <v>134</v>
      </c>
      <c r="H736" s="19" t="s">
        <v>146</v>
      </c>
      <c r="I736" s="19" t="s">
        <v>147</v>
      </c>
      <c r="J736" s="19">
        <v>8</v>
      </c>
      <c r="K736" s="19">
        <v>2.5000000000000001E-2</v>
      </c>
      <c r="L736" s="19" t="s">
        <v>541</v>
      </c>
      <c r="M736" s="19" t="s">
        <v>541</v>
      </c>
      <c r="N736" s="19">
        <v>50</v>
      </c>
      <c r="O736" s="19">
        <v>100</v>
      </c>
      <c r="P736" s="19">
        <v>100</v>
      </c>
      <c r="Q736" s="19">
        <v>50</v>
      </c>
      <c r="R736" s="19" t="s">
        <v>1075</v>
      </c>
      <c r="S736" s="19">
        <v>1</v>
      </c>
      <c r="T736" s="19">
        <v>1</v>
      </c>
      <c r="U736" s="19">
        <v>50</v>
      </c>
      <c r="AA736" s="19">
        <v>0</v>
      </c>
    </row>
    <row r="737" spans="1:27" x14ac:dyDescent="0.25">
      <c r="A737" s="19" t="s">
        <v>1339</v>
      </c>
      <c r="B737" s="19" t="s">
        <v>1319</v>
      </c>
      <c r="C737" s="19">
        <v>47122</v>
      </c>
      <c r="D737" s="19">
        <v>2.165</v>
      </c>
      <c r="E737" s="19" t="s">
        <v>105</v>
      </c>
      <c r="F737" s="19" t="s">
        <v>106</v>
      </c>
      <c r="G737" s="19" t="s">
        <v>32</v>
      </c>
      <c r="H737" s="19" t="s">
        <v>101</v>
      </c>
      <c r="I737" s="19" t="s">
        <v>102</v>
      </c>
      <c r="J737" s="19">
        <v>38</v>
      </c>
      <c r="K737" s="19">
        <v>4.3299999999999998E-2</v>
      </c>
      <c r="L737" s="19" t="s">
        <v>35</v>
      </c>
      <c r="M737" s="19" t="s">
        <v>103</v>
      </c>
      <c r="N737" s="19">
        <v>50</v>
      </c>
      <c r="O737" s="19">
        <v>50</v>
      </c>
      <c r="P737" s="19">
        <v>0</v>
      </c>
      <c r="Q737" s="19">
        <v>0</v>
      </c>
      <c r="R737" s="19" t="s">
        <v>1075</v>
      </c>
      <c r="S737" s="19">
        <v>1</v>
      </c>
      <c r="T737" s="19">
        <v>1</v>
      </c>
      <c r="U737" s="19">
        <v>0</v>
      </c>
      <c r="V737" s="19" t="s">
        <v>41</v>
      </c>
      <c r="W737" s="19">
        <v>1</v>
      </c>
      <c r="Y737" s="19" t="s">
        <v>103</v>
      </c>
      <c r="Z737" s="19">
        <v>50</v>
      </c>
      <c r="AA737" s="19">
        <v>50</v>
      </c>
    </row>
    <row r="738" spans="1:27" x14ac:dyDescent="0.25">
      <c r="A738" s="19" t="s">
        <v>1343</v>
      </c>
      <c r="B738" s="19" t="s">
        <v>1319</v>
      </c>
      <c r="C738" s="19">
        <v>47122</v>
      </c>
      <c r="D738" s="19">
        <v>1.085</v>
      </c>
      <c r="E738" s="19" t="s">
        <v>120</v>
      </c>
      <c r="F738" s="19" t="s">
        <v>121</v>
      </c>
      <c r="G738" s="19" t="s">
        <v>32</v>
      </c>
      <c r="H738" s="19" t="s">
        <v>114</v>
      </c>
      <c r="I738" s="19" t="s">
        <v>115</v>
      </c>
      <c r="J738" s="19">
        <v>28</v>
      </c>
      <c r="K738" s="19">
        <v>2.1700000000000001E-2</v>
      </c>
      <c r="L738" s="19" t="s">
        <v>35</v>
      </c>
      <c r="M738" s="19" t="s">
        <v>103</v>
      </c>
      <c r="N738" s="19">
        <v>50</v>
      </c>
      <c r="O738" s="19">
        <v>50</v>
      </c>
      <c r="P738" s="19">
        <v>0</v>
      </c>
      <c r="Q738" s="19">
        <v>0</v>
      </c>
      <c r="R738" s="19" t="s">
        <v>1075</v>
      </c>
      <c r="S738" s="19">
        <v>1</v>
      </c>
      <c r="T738" s="19">
        <v>1</v>
      </c>
      <c r="U738" s="19">
        <v>0</v>
      </c>
      <c r="V738" s="19" t="s">
        <v>41</v>
      </c>
      <c r="W738" s="19">
        <v>1</v>
      </c>
      <c r="Y738" s="19" t="s">
        <v>103</v>
      </c>
      <c r="Z738" s="19">
        <v>50</v>
      </c>
      <c r="AA738" s="19">
        <v>50</v>
      </c>
    </row>
    <row r="739" spans="1:27" x14ac:dyDescent="0.25">
      <c r="A739" s="19" t="s">
        <v>1345</v>
      </c>
      <c r="B739" s="19" t="s">
        <v>1319</v>
      </c>
      <c r="C739" s="19">
        <v>47122</v>
      </c>
      <c r="D739" s="19">
        <v>1.085</v>
      </c>
      <c r="E739" s="19" t="s">
        <v>126</v>
      </c>
      <c r="F739" s="19" t="s">
        <v>127</v>
      </c>
      <c r="G739" s="19" t="s">
        <v>32</v>
      </c>
      <c r="H739" s="19" t="s">
        <v>114</v>
      </c>
      <c r="I739" s="19" t="s">
        <v>115</v>
      </c>
      <c r="J739" s="19">
        <v>29</v>
      </c>
      <c r="K739" s="19">
        <v>2.1700000000000001E-2</v>
      </c>
      <c r="L739" s="19" t="s">
        <v>35</v>
      </c>
      <c r="M739" s="19" t="s">
        <v>103</v>
      </c>
      <c r="N739" s="19">
        <v>50</v>
      </c>
      <c r="O739" s="19">
        <v>50</v>
      </c>
      <c r="P739" s="19">
        <v>0</v>
      </c>
      <c r="Q739" s="19">
        <v>0</v>
      </c>
      <c r="R739" s="19" t="s">
        <v>1075</v>
      </c>
      <c r="S739" s="19">
        <v>1</v>
      </c>
      <c r="T739" s="19">
        <v>1</v>
      </c>
      <c r="U739" s="19">
        <v>0</v>
      </c>
      <c r="V739" s="19" t="s">
        <v>41</v>
      </c>
      <c r="W739" s="19">
        <v>1</v>
      </c>
      <c r="Y739" s="19" t="s">
        <v>103</v>
      </c>
      <c r="Z739" s="19">
        <v>50</v>
      </c>
      <c r="AA739" s="19">
        <v>50</v>
      </c>
    </row>
    <row r="740" spans="1:27" x14ac:dyDescent="0.25">
      <c r="A740" s="19" t="s">
        <v>1355</v>
      </c>
      <c r="B740" s="19" t="s">
        <v>1319</v>
      </c>
      <c r="C740" s="19">
        <v>47122</v>
      </c>
      <c r="D740" s="19">
        <v>1.1098889999999999</v>
      </c>
      <c r="E740" s="19" t="s">
        <v>161</v>
      </c>
      <c r="F740" s="19" t="s">
        <v>162</v>
      </c>
      <c r="G740" s="19" t="s">
        <v>163</v>
      </c>
      <c r="I740" s="19" t="s">
        <v>164</v>
      </c>
      <c r="J740" s="19">
        <v>1</v>
      </c>
      <c r="K740" s="19">
        <v>3.3300000000000003E-2</v>
      </c>
      <c r="L740" s="19" t="s">
        <v>35</v>
      </c>
      <c r="M740" s="19" t="s">
        <v>165</v>
      </c>
      <c r="N740" s="19">
        <v>33.33</v>
      </c>
      <c r="O740" s="19">
        <v>33.33</v>
      </c>
      <c r="P740" s="19">
        <v>0</v>
      </c>
      <c r="Q740" s="19">
        <v>0</v>
      </c>
      <c r="R740" s="19" t="s">
        <v>1075</v>
      </c>
      <c r="S740" s="19">
        <v>1</v>
      </c>
      <c r="T740" s="19">
        <v>1</v>
      </c>
      <c r="U740" s="19">
        <v>0</v>
      </c>
      <c r="W740" s="19">
        <v>0</v>
      </c>
      <c r="X740" s="19">
        <v>33.33</v>
      </c>
      <c r="Z740" s="19">
        <v>0</v>
      </c>
      <c r="AA740" s="19">
        <v>33.33</v>
      </c>
    </row>
    <row r="741" spans="1:27" x14ac:dyDescent="0.25">
      <c r="A741" s="19" t="s">
        <v>1356</v>
      </c>
      <c r="B741" s="19" t="s">
        <v>1319</v>
      </c>
      <c r="C741" s="19">
        <v>47122</v>
      </c>
      <c r="D741" s="19">
        <v>0</v>
      </c>
      <c r="E741" s="19" t="s">
        <v>167</v>
      </c>
      <c r="F741" s="19" t="s">
        <v>168</v>
      </c>
      <c r="G741" s="19" t="s">
        <v>163</v>
      </c>
      <c r="I741" s="19" t="s">
        <v>164</v>
      </c>
      <c r="J741" s="19">
        <v>3</v>
      </c>
      <c r="K741" s="19">
        <v>3.3300000000000003E-2</v>
      </c>
      <c r="L741" s="19" t="s">
        <v>35</v>
      </c>
      <c r="M741" s="19" t="s">
        <v>165</v>
      </c>
      <c r="N741" s="19">
        <v>0</v>
      </c>
      <c r="O741" s="19">
        <v>0</v>
      </c>
      <c r="P741" s="19">
        <v>0</v>
      </c>
      <c r="Q741" s="19">
        <v>0</v>
      </c>
      <c r="R741" s="19" t="s">
        <v>1075</v>
      </c>
      <c r="S741" s="19">
        <v>1</v>
      </c>
      <c r="T741" s="19">
        <v>1</v>
      </c>
      <c r="U741" s="19">
        <v>0</v>
      </c>
      <c r="W741" s="19">
        <v>0</v>
      </c>
      <c r="X741" s="19">
        <v>0</v>
      </c>
      <c r="Z741" s="19">
        <v>0</v>
      </c>
      <c r="AA741" s="19">
        <v>0</v>
      </c>
    </row>
    <row r="742" spans="1:27" x14ac:dyDescent="0.25">
      <c r="A742" s="19" t="s">
        <v>1357</v>
      </c>
      <c r="B742" s="19" t="s">
        <v>1319</v>
      </c>
      <c r="C742" s="19">
        <v>47122</v>
      </c>
      <c r="D742" s="19">
        <v>3.2633999999999999</v>
      </c>
      <c r="E742" s="19" t="s">
        <v>170</v>
      </c>
      <c r="F742" s="19" t="s">
        <v>171</v>
      </c>
      <c r="G742" s="19" t="s">
        <v>163</v>
      </c>
      <c r="I742" s="19" t="s">
        <v>164</v>
      </c>
      <c r="J742" s="19">
        <v>2</v>
      </c>
      <c r="K742" s="19">
        <v>3.3300000000000003E-2</v>
      </c>
      <c r="L742" s="19" t="s">
        <v>35</v>
      </c>
      <c r="M742" s="19" t="s">
        <v>165</v>
      </c>
      <c r="N742" s="19">
        <v>98</v>
      </c>
      <c r="O742" s="19">
        <v>98</v>
      </c>
      <c r="P742" s="19">
        <v>0</v>
      </c>
      <c r="Q742" s="19">
        <v>0</v>
      </c>
      <c r="R742" s="19" t="s">
        <v>1075</v>
      </c>
      <c r="S742" s="19">
        <v>1</v>
      </c>
      <c r="T742" s="19">
        <v>1</v>
      </c>
      <c r="U742" s="19">
        <v>0</v>
      </c>
      <c r="W742" s="19">
        <v>0</v>
      </c>
      <c r="X742" s="19">
        <v>98</v>
      </c>
      <c r="Z742" s="19">
        <v>0</v>
      </c>
      <c r="AA742" s="19">
        <v>98</v>
      </c>
    </row>
    <row r="743" spans="1:27" x14ac:dyDescent="0.25">
      <c r="A743" s="19" t="s">
        <v>2380</v>
      </c>
      <c r="B743" s="19" t="s">
        <v>2381</v>
      </c>
      <c r="C743" s="19">
        <v>46004</v>
      </c>
      <c r="D743" s="19">
        <v>1.54849999999999</v>
      </c>
      <c r="E743" s="19" t="s">
        <v>30</v>
      </c>
      <c r="F743" s="19" t="s">
        <v>31</v>
      </c>
      <c r="G743" s="19" t="s">
        <v>32</v>
      </c>
      <c r="H743" s="19" t="s">
        <v>33</v>
      </c>
      <c r="I743" s="19" t="s">
        <v>34</v>
      </c>
      <c r="J743" s="19">
        <v>17</v>
      </c>
      <c r="K743" s="19">
        <v>1.6299999999999999E-2</v>
      </c>
      <c r="L743" s="19" t="s">
        <v>541</v>
      </c>
      <c r="M743" s="19" t="s">
        <v>541</v>
      </c>
      <c r="N743" s="19">
        <v>50</v>
      </c>
      <c r="O743" s="19">
        <v>95</v>
      </c>
      <c r="P743" s="19">
        <v>100</v>
      </c>
      <c r="Q743" s="19">
        <v>50</v>
      </c>
      <c r="R743" s="19" t="s">
        <v>870</v>
      </c>
      <c r="S743" s="19">
        <v>0.9</v>
      </c>
      <c r="T743" s="19">
        <v>0.9</v>
      </c>
      <c r="U743" s="19">
        <v>45</v>
      </c>
      <c r="AA743" s="19">
        <v>0</v>
      </c>
    </row>
    <row r="744" spans="1:27" x14ac:dyDescent="0.25">
      <c r="A744" s="19" t="s">
        <v>2382</v>
      </c>
      <c r="B744" s="19" t="s">
        <v>2381</v>
      </c>
      <c r="C744" s="19">
        <v>46004</v>
      </c>
      <c r="D744" s="19">
        <v>1.54849999999999</v>
      </c>
      <c r="E744" s="19" t="s">
        <v>38</v>
      </c>
      <c r="F744" s="19" t="s">
        <v>39</v>
      </c>
      <c r="G744" s="19" t="s">
        <v>32</v>
      </c>
      <c r="H744" s="19" t="s">
        <v>33</v>
      </c>
      <c r="I744" s="19" t="s">
        <v>34</v>
      </c>
      <c r="J744" s="19">
        <v>19</v>
      </c>
      <c r="K744" s="19">
        <v>1.6299999999999999E-2</v>
      </c>
      <c r="L744" s="19" t="s">
        <v>541</v>
      </c>
      <c r="M744" s="19" t="s">
        <v>541</v>
      </c>
      <c r="N744" s="19">
        <v>50</v>
      </c>
      <c r="O744" s="19">
        <v>95</v>
      </c>
      <c r="P744" s="19">
        <v>100</v>
      </c>
      <c r="Q744" s="19">
        <v>50</v>
      </c>
      <c r="R744" s="19" t="s">
        <v>870</v>
      </c>
      <c r="S744" s="19">
        <v>0.9</v>
      </c>
      <c r="T744" s="19">
        <v>0.9</v>
      </c>
      <c r="U744" s="19">
        <v>45</v>
      </c>
      <c r="AA744" s="19">
        <v>0</v>
      </c>
    </row>
    <row r="745" spans="1:27" x14ac:dyDescent="0.25">
      <c r="A745" s="19" t="s">
        <v>2383</v>
      </c>
      <c r="B745" s="19" t="s">
        <v>2381</v>
      </c>
      <c r="C745" s="19">
        <v>46004</v>
      </c>
      <c r="D745" s="19">
        <v>1.54849999999999</v>
      </c>
      <c r="E745" s="19" t="s">
        <v>43</v>
      </c>
      <c r="F745" s="19" t="s">
        <v>44</v>
      </c>
      <c r="G745" s="19" t="s">
        <v>32</v>
      </c>
      <c r="H745" s="19" t="s">
        <v>33</v>
      </c>
      <c r="I745" s="19" t="s">
        <v>34</v>
      </c>
      <c r="J745" s="19">
        <v>18</v>
      </c>
      <c r="K745" s="19">
        <v>1.6299999999999999E-2</v>
      </c>
      <c r="L745" s="19" t="s">
        <v>541</v>
      </c>
      <c r="M745" s="19" t="s">
        <v>541</v>
      </c>
      <c r="N745" s="19">
        <v>50</v>
      </c>
      <c r="O745" s="19">
        <v>95</v>
      </c>
      <c r="P745" s="19">
        <v>100</v>
      </c>
      <c r="Q745" s="19">
        <v>50</v>
      </c>
      <c r="R745" s="19" t="s">
        <v>870</v>
      </c>
      <c r="S745" s="19">
        <v>0.9</v>
      </c>
      <c r="T745" s="19">
        <v>0.9</v>
      </c>
      <c r="U745" s="19">
        <v>45</v>
      </c>
      <c r="AA745" s="19">
        <v>0</v>
      </c>
    </row>
    <row r="746" spans="1:27" x14ac:dyDescent="0.25">
      <c r="A746" s="19" t="s">
        <v>2384</v>
      </c>
      <c r="B746" s="19" t="s">
        <v>2381</v>
      </c>
      <c r="C746" s="19">
        <v>46004</v>
      </c>
      <c r="D746" s="19">
        <v>1.5477171824973299</v>
      </c>
      <c r="E746" s="19" t="s">
        <v>46</v>
      </c>
      <c r="F746" s="19" t="s">
        <v>47</v>
      </c>
      <c r="G746" s="19" t="s">
        <v>32</v>
      </c>
      <c r="H746" s="19" t="s">
        <v>33</v>
      </c>
      <c r="I746" s="19" t="s">
        <v>34</v>
      </c>
      <c r="J746" s="19">
        <v>15</v>
      </c>
      <c r="K746" s="19">
        <v>1.6299999999999999E-2</v>
      </c>
      <c r="L746" s="19" t="s">
        <v>541</v>
      </c>
      <c r="M746" s="19" t="s">
        <v>541</v>
      </c>
      <c r="N746" s="19">
        <v>50</v>
      </c>
      <c r="O746" s="19">
        <v>94.951974386299995</v>
      </c>
      <c r="P746" s="19">
        <v>99.893276414100001</v>
      </c>
      <c r="Q746" s="19">
        <v>49.946638206999999</v>
      </c>
      <c r="R746" s="19" t="s">
        <v>870</v>
      </c>
      <c r="S746" s="19">
        <v>0.9</v>
      </c>
      <c r="T746" s="19">
        <v>0.9</v>
      </c>
      <c r="U746" s="19">
        <v>44.951974386300002</v>
      </c>
      <c r="AA746" s="19">
        <v>0</v>
      </c>
    </row>
    <row r="747" spans="1:27" x14ac:dyDescent="0.25">
      <c r="A747" s="19" t="s">
        <v>2385</v>
      </c>
      <c r="B747" s="19" t="s">
        <v>2381</v>
      </c>
      <c r="C747" s="19">
        <v>46004</v>
      </c>
      <c r="D747" s="19">
        <v>1.54849999999999</v>
      </c>
      <c r="E747" s="19" t="s">
        <v>49</v>
      </c>
      <c r="F747" s="19" t="s">
        <v>50</v>
      </c>
      <c r="G747" s="19" t="s">
        <v>32</v>
      </c>
      <c r="H747" s="19" t="s">
        <v>33</v>
      </c>
      <c r="I747" s="19" t="s">
        <v>34</v>
      </c>
      <c r="J747" s="19">
        <v>12</v>
      </c>
      <c r="K747" s="19">
        <v>1.6299999999999999E-2</v>
      </c>
      <c r="L747" s="19" t="s">
        <v>541</v>
      </c>
      <c r="M747" s="19" t="s">
        <v>541</v>
      </c>
      <c r="N747" s="19">
        <v>50</v>
      </c>
      <c r="O747" s="19">
        <v>95</v>
      </c>
      <c r="P747" s="19">
        <v>100</v>
      </c>
      <c r="Q747" s="19">
        <v>50</v>
      </c>
      <c r="R747" s="19" t="s">
        <v>870</v>
      </c>
      <c r="S747" s="19">
        <v>0.9</v>
      </c>
      <c r="T747" s="19">
        <v>0.9</v>
      </c>
      <c r="U747" s="19">
        <v>45</v>
      </c>
      <c r="AA747" s="19">
        <v>0</v>
      </c>
    </row>
    <row r="748" spans="1:27" x14ac:dyDescent="0.25">
      <c r="A748" s="19" t="s">
        <v>2386</v>
      </c>
      <c r="B748" s="19" t="s">
        <v>2381</v>
      </c>
      <c r="C748" s="19">
        <v>46004</v>
      </c>
      <c r="D748" s="19">
        <v>1.54849999999999</v>
      </c>
      <c r="E748" s="19" t="s">
        <v>52</v>
      </c>
      <c r="F748" s="19" t="s">
        <v>53</v>
      </c>
      <c r="G748" s="19" t="s">
        <v>32</v>
      </c>
      <c r="H748" s="19" t="s">
        <v>33</v>
      </c>
      <c r="I748" s="19" t="s">
        <v>34</v>
      </c>
      <c r="J748" s="19">
        <v>16</v>
      </c>
      <c r="K748" s="19">
        <v>1.6299999999999999E-2</v>
      </c>
      <c r="L748" s="19" t="s">
        <v>541</v>
      </c>
      <c r="M748" s="19" t="s">
        <v>541</v>
      </c>
      <c r="N748" s="19">
        <v>50</v>
      </c>
      <c r="O748" s="19">
        <v>95</v>
      </c>
      <c r="P748" s="19">
        <v>100</v>
      </c>
      <c r="Q748" s="19">
        <v>50</v>
      </c>
      <c r="R748" s="19" t="s">
        <v>870</v>
      </c>
      <c r="S748" s="19">
        <v>0.9</v>
      </c>
      <c r="T748" s="19">
        <v>0.9</v>
      </c>
      <c r="U748" s="19">
        <v>45</v>
      </c>
      <c r="AA748" s="19">
        <v>0</v>
      </c>
    </row>
    <row r="749" spans="1:27" x14ac:dyDescent="0.25">
      <c r="A749" s="19" t="s">
        <v>2387</v>
      </c>
      <c r="B749" s="19" t="s">
        <v>2381</v>
      </c>
      <c r="C749" s="19">
        <v>46004</v>
      </c>
      <c r="D749" s="19">
        <v>1.54849999999999</v>
      </c>
      <c r="E749" s="19" t="s">
        <v>55</v>
      </c>
      <c r="F749" s="19" t="s">
        <v>56</v>
      </c>
      <c r="G749" s="19" t="s">
        <v>32</v>
      </c>
      <c r="H749" s="19" t="s">
        <v>33</v>
      </c>
      <c r="I749" s="19" t="s">
        <v>34</v>
      </c>
      <c r="J749" s="19">
        <v>14</v>
      </c>
      <c r="K749" s="19">
        <v>1.6299999999999999E-2</v>
      </c>
      <c r="L749" s="19" t="s">
        <v>541</v>
      </c>
      <c r="M749" s="19" t="s">
        <v>541</v>
      </c>
      <c r="N749" s="19">
        <v>50</v>
      </c>
      <c r="O749" s="19">
        <v>95</v>
      </c>
      <c r="P749" s="19">
        <v>100</v>
      </c>
      <c r="Q749" s="19">
        <v>50</v>
      </c>
      <c r="R749" s="19" t="s">
        <v>870</v>
      </c>
      <c r="S749" s="19">
        <v>0.9</v>
      </c>
      <c r="T749" s="19">
        <v>0.9</v>
      </c>
      <c r="U749" s="19">
        <v>45</v>
      </c>
      <c r="AA749" s="19">
        <v>0</v>
      </c>
    </row>
    <row r="750" spans="1:27" x14ac:dyDescent="0.25">
      <c r="A750" s="19" t="s">
        <v>2388</v>
      </c>
      <c r="B750" s="19" t="s">
        <v>2381</v>
      </c>
      <c r="C750" s="19">
        <v>46004</v>
      </c>
      <c r="D750" s="19">
        <v>1.54849999999999</v>
      </c>
      <c r="E750" s="19" t="s">
        <v>58</v>
      </c>
      <c r="F750" s="19" t="s">
        <v>59</v>
      </c>
      <c r="G750" s="19" t="s">
        <v>32</v>
      </c>
      <c r="H750" s="19" t="s">
        <v>33</v>
      </c>
      <c r="I750" s="19" t="s">
        <v>34</v>
      </c>
      <c r="J750" s="19">
        <v>13</v>
      </c>
      <c r="K750" s="19">
        <v>1.6299999999999999E-2</v>
      </c>
      <c r="L750" s="19" t="s">
        <v>541</v>
      </c>
      <c r="M750" s="19" t="s">
        <v>541</v>
      </c>
      <c r="N750" s="19">
        <v>50</v>
      </c>
      <c r="O750" s="19">
        <v>95</v>
      </c>
      <c r="P750" s="19">
        <v>100</v>
      </c>
      <c r="Q750" s="19">
        <v>50</v>
      </c>
      <c r="R750" s="19" t="s">
        <v>870</v>
      </c>
      <c r="S750" s="19">
        <v>0.9</v>
      </c>
      <c r="T750" s="19">
        <v>0.9</v>
      </c>
      <c r="U750" s="19">
        <v>45</v>
      </c>
      <c r="AA750" s="19">
        <v>0</v>
      </c>
    </row>
    <row r="751" spans="1:27" x14ac:dyDescent="0.25">
      <c r="A751" s="19" t="s">
        <v>2389</v>
      </c>
      <c r="B751" s="19" t="s">
        <v>2381</v>
      </c>
      <c r="C751" s="19">
        <v>46004</v>
      </c>
      <c r="D751" s="19">
        <v>1.7669999999999999</v>
      </c>
      <c r="E751" s="19" t="s">
        <v>61</v>
      </c>
      <c r="F751" s="19" t="s">
        <v>62</v>
      </c>
      <c r="G751" s="19" t="s">
        <v>32</v>
      </c>
      <c r="H751" s="19" t="s">
        <v>63</v>
      </c>
      <c r="I751" s="19" t="s">
        <v>64</v>
      </c>
      <c r="J751" s="19">
        <v>22</v>
      </c>
      <c r="K751" s="19">
        <v>1.8599999999999998E-2</v>
      </c>
      <c r="L751" s="19" t="s">
        <v>541</v>
      </c>
      <c r="M751" s="19" t="s">
        <v>541</v>
      </c>
      <c r="N751" s="19">
        <v>50</v>
      </c>
      <c r="O751" s="19">
        <v>95</v>
      </c>
      <c r="P751" s="19">
        <v>100</v>
      </c>
      <c r="Q751" s="19">
        <v>50</v>
      </c>
      <c r="R751" s="19" t="s">
        <v>870</v>
      </c>
      <c r="S751" s="19">
        <v>0.9</v>
      </c>
      <c r="T751" s="19">
        <v>0.9</v>
      </c>
      <c r="U751" s="19">
        <v>45</v>
      </c>
      <c r="AA751" s="19">
        <v>0</v>
      </c>
    </row>
    <row r="752" spans="1:27" x14ac:dyDescent="0.25">
      <c r="A752" s="19" t="s">
        <v>2390</v>
      </c>
      <c r="B752" s="19" t="s">
        <v>2381</v>
      </c>
      <c r="C752" s="19">
        <v>46004</v>
      </c>
      <c r="D752" s="19">
        <v>1.7669999999999999</v>
      </c>
      <c r="E752" s="19" t="s">
        <v>66</v>
      </c>
      <c r="F752" s="19" t="s">
        <v>67</v>
      </c>
      <c r="G752" s="19" t="s">
        <v>32</v>
      </c>
      <c r="H752" s="19" t="s">
        <v>63</v>
      </c>
      <c r="I752" s="19" t="s">
        <v>64</v>
      </c>
      <c r="J752" s="19">
        <v>20</v>
      </c>
      <c r="K752" s="19">
        <v>1.8599999999999998E-2</v>
      </c>
      <c r="L752" s="19" t="s">
        <v>541</v>
      </c>
      <c r="M752" s="19" t="s">
        <v>541</v>
      </c>
      <c r="N752" s="19">
        <v>50</v>
      </c>
      <c r="O752" s="19">
        <v>95</v>
      </c>
      <c r="P752" s="19">
        <v>100</v>
      </c>
      <c r="Q752" s="19">
        <v>50</v>
      </c>
      <c r="R752" s="19" t="s">
        <v>870</v>
      </c>
      <c r="S752" s="19">
        <v>0.9</v>
      </c>
      <c r="T752" s="19">
        <v>0.9</v>
      </c>
      <c r="U752" s="19">
        <v>45</v>
      </c>
      <c r="AA752" s="19">
        <v>0</v>
      </c>
    </row>
    <row r="753" spans="1:27" x14ac:dyDescent="0.25">
      <c r="A753" s="19" t="s">
        <v>2391</v>
      </c>
      <c r="B753" s="19" t="s">
        <v>2381</v>
      </c>
      <c r="C753" s="19">
        <v>46004</v>
      </c>
      <c r="D753" s="19">
        <v>1.7669999999999999</v>
      </c>
      <c r="E753" s="19" t="s">
        <v>69</v>
      </c>
      <c r="F753" s="19" t="s">
        <v>70</v>
      </c>
      <c r="G753" s="19" t="s">
        <v>32</v>
      </c>
      <c r="H753" s="19" t="s">
        <v>63</v>
      </c>
      <c r="I753" s="19" t="s">
        <v>64</v>
      </c>
      <c r="J753" s="19">
        <v>23</v>
      </c>
      <c r="K753" s="19">
        <v>1.8599999999999998E-2</v>
      </c>
      <c r="L753" s="19" t="s">
        <v>541</v>
      </c>
      <c r="M753" s="19" t="s">
        <v>541</v>
      </c>
      <c r="N753" s="19">
        <v>50</v>
      </c>
      <c r="O753" s="19">
        <v>95</v>
      </c>
      <c r="P753" s="19">
        <v>100</v>
      </c>
      <c r="Q753" s="19">
        <v>50</v>
      </c>
      <c r="R753" s="19" t="s">
        <v>870</v>
      </c>
      <c r="S753" s="19">
        <v>0.9</v>
      </c>
      <c r="T753" s="19">
        <v>0.9</v>
      </c>
      <c r="U753" s="19">
        <v>45</v>
      </c>
      <c r="AA753" s="19">
        <v>0</v>
      </c>
    </row>
    <row r="754" spans="1:27" x14ac:dyDescent="0.25">
      <c r="A754" s="19" t="s">
        <v>2392</v>
      </c>
      <c r="B754" s="19" t="s">
        <v>2381</v>
      </c>
      <c r="C754" s="19">
        <v>46004</v>
      </c>
      <c r="D754" s="19">
        <v>1.7669999999999999</v>
      </c>
      <c r="E754" s="19" t="s">
        <v>72</v>
      </c>
      <c r="F754" s="19" t="s">
        <v>73</v>
      </c>
      <c r="G754" s="19" t="s">
        <v>32</v>
      </c>
      <c r="H754" s="19" t="s">
        <v>63</v>
      </c>
      <c r="I754" s="19" t="s">
        <v>64</v>
      </c>
      <c r="J754" s="19">
        <v>21</v>
      </c>
      <c r="K754" s="19">
        <v>1.8599999999999998E-2</v>
      </c>
      <c r="L754" s="19" t="s">
        <v>541</v>
      </c>
      <c r="M754" s="19" t="s">
        <v>541</v>
      </c>
      <c r="N754" s="19">
        <v>50</v>
      </c>
      <c r="O754" s="19">
        <v>95</v>
      </c>
      <c r="P754" s="19">
        <v>100</v>
      </c>
      <c r="Q754" s="19">
        <v>50</v>
      </c>
      <c r="R754" s="19" t="s">
        <v>870</v>
      </c>
      <c r="S754" s="19">
        <v>0.9</v>
      </c>
      <c r="T754" s="19">
        <v>0.9</v>
      </c>
      <c r="U754" s="19">
        <v>45</v>
      </c>
      <c r="AA754" s="19">
        <v>0</v>
      </c>
    </row>
    <row r="755" spans="1:27" x14ac:dyDescent="0.25">
      <c r="A755" s="19" t="s">
        <v>2393</v>
      </c>
      <c r="B755" s="19" t="s">
        <v>2381</v>
      </c>
      <c r="C755" s="19">
        <v>46004</v>
      </c>
      <c r="D755" s="19">
        <v>1.34849999999999</v>
      </c>
      <c r="E755" s="19" t="s">
        <v>75</v>
      </c>
      <c r="F755" s="19" t="s">
        <v>76</v>
      </c>
      <c r="G755" s="19" t="s">
        <v>32</v>
      </c>
      <c r="H755" s="19" t="s">
        <v>63</v>
      </c>
      <c r="I755" s="19" t="s">
        <v>64</v>
      </c>
      <c r="J755" s="19">
        <v>24</v>
      </c>
      <c r="K755" s="19">
        <v>1.8599999999999998E-2</v>
      </c>
      <c r="L755" s="19" t="s">
        <v>541</v>
      </c>
      <c r="M755" s="19" t="s">
        <v>541</v>
      </c>
      <c r="N755" s="19">
        <v>50</v>
      </c>
      <c r="O755" s="19">
        <v>72.5</v>
      </c>
      <c r="P755" s="19">
        <v>50</v>
      </c>
      <c r="Q755" s="19">
        <v>25</v>
      </c>
      <c r="R755" s="19" t="s">
        <v>870</v>
      </c>
      <c r="S755" s="19">
        <v>0.9</v>
      </c>
      <c r="T755" s="19">
        <v>0.9</v>
      </c>
      <c r="U755" s="19">
        <v>22.5</v>
      </c>
      <c r="AA755" s="19">
        <v>0</v>
      </c>
    </row>
    <row r="756" spans="1:27" x14ac:dyDescent="0.25">
      <c r="A756" s="19" t="s">
        <v>2394</v>
      </c>
      <c r="B756" s="19" t="s">
        <v>2381</v>
      </c>
      <c r="C756" s="19">
        <v>46004</v>
      </c>
      <c r="D756" s="19">
        <v>1.60889007470651</v>
      </c>
      <c r="E756" s="19" t="s">
        <v>78</v>
      </c>
      <c r="F756" s="19" t="s">
        <v>79</v>
      </c>
      <c r="G756" s="19" t="s">
        <v>32</v>
      </c>
      <c r="H756" s="19" t="s">
        <v>63</v>
      </c>
      <c r="I756" s="19" t="s">
        <v>64</v>
      </c>
      <c r="J756" s="19">
        <v>25</v>
      </c>
      <c r="K756" s="19">
        <v>1.8599999999999998E-2</v>
      </c>
      <c r="L756" s="19" t="s">
        <v>541</v>
      </c>
      <c r="M756" s="19" t="s">
        <v>541</v>
      </c>
      <c r="N756" s="19">
        <v>50</v>
      </c>
      <c r="O756" s="19">
        <v>86.499466382099996</v>
      </c>
      <c r="P756" s="19">
        <v>81.109925293499998</v>
      </c>
      <c r="Q756" s="19">
        <v>40.554962646699998</v>
      </c>
      <c r="R756" s="19" t="s">
        <v>870</v>
      </c>
      <c r="S756" s="19">
        <v>0.9</v>
      </c>
      <c r="T756" s="19">
        <v>0.9</v>
      </c>
      <c r="U756" s="19">
        <v>36.499466382100003</v>
      </c>
      <c r="AA756" s="19">
        <v>0</v>
      </c>
    </row>
    <row r="757" spans="1:27" x14ac:dyDescent="0.25">
      <c r="A757" s="19" t="s">
        <v>2395</v>
      </c>
      <c r="B757" s="19" t="s">
        <v>2381</v>
      </c>
      <c r="C757" s="19">
        <v>46004</v>
      </c>
      <c r="D757" s="19">
        <v>1.7669999999999999</v>
      </c>
      <c r="E757" s="19" t="s">
        <v>82</v>
      </c>
      <c r="F757" s="19" t="s">
        <v>83</v>
      </c>
      <c r="G757" s="19" t="s">
        <v>32</v>
      </c>
      <c r="H757" s="19" t="s">
        <v>63</v>
      </c>
      <c r="I757" s="19" t="s">
        <v>64</v>
      </c>
      <c r="J757" s="19">
        <v>26</v>
      </c>
      <c r="K757" s="19">
        <v>1.8599999999999998E-2</v>
      </c>
      <c r="L757" s="19" t="s">
        <v>541</v>
      </c>
      <c r="M757" s="19" t="s">
        <v>541</v>
      </c>
      <c r="N757" s="19">
        <v>50</v>
      </c>
      <c r="O757" s="19">
        <v>95</v>
      </c>
      <c r="P757" s="19">
        <v>100</v>
      </c>
      <c r="Q757" s="19">
        <v>50</v>
      </c>
      <c r="R757" s="19" t="s">
        <v>870</v>
      </c>
      <c r="S757" s="19">
        <v>0.9</v>
      </c>
      <c r="T757" s="19">
        <v>0.9</v>
      </c>
      <c r="U757" s="19">
        <v>45</v>
      </c>
      <c r="AA757" s="19">
        <v>0</v>
      </c>
    </row>
    <row r="758" spans="1:27" x14ac:dyDescent="0.25">
      <c r="A758" s="19" t="s">
        <v>2396</v>
      </c>
      <c r="B758" s="19" t="s">
        <v>2381</v>
      </c>
      <c r="C758" s="19">
        <v>46004</v>
      </c>
      <c r="D758" s="19">
        <v>2.9002001067235801</v>
      </c>
      <c r="E758" s="19" t="s">
        <v>85</v>
      </c>
      <c r="F758" s="19" t="s">
        <v>86</v>
      </c>
      <c r="G758" s="19" t="s">
        <v>32</v>
      </c>
      <c r="H758" s="19" t="s">
        <v>87</v>
      </c>
      <c r="I758" s="19" t="s">
        <v>88</v>
      </c>
      <c r="J758" s="19">
        <v>35</v>
      </c>
      <c r="K758" s="19">
        <v>3.2500000000000001E-2</v>
      </c>
      <c r="L758" s="19" t="s">
        <v>541</v>
      </c>
      <c r="M758" s="19" t="s">
        <v>541</v>
      </c>
      <c r="N758" s="19">
        <v>50</v>
      </c>
      <c r="O758" s="19">
        <v>89.236926360699997</v>
      </c>
      <c r="P758" s="19">
        <v>87.1931696905</v>
      </c>
      <c r="Q758" s="19">
        <v>43.596584845300001</v>
      </c>
      <c r="R758" s="19" t="s">
        <v>870</v>
      </c>
      <c r="S758" s="19">
        <v>0.9</v>
      </c>
      <c r="T758" s="19">
        <v>0.9</v>
      </c>
      <c r="U758" s="19">
        <v>39.236926360699997</v>
      </c>
      <c r="AA758" s="19">
        <v>0</v>
      </c>
    </row>
    <row r="759" spans="1:27" x14ac:dyDescent="0.25">
      <c r="A759" s="19" t="s">
        <v>2397</v>
      </c>
      <c r="B759" s="19" t="s">
        <v>2381</v>
      </c>
      <c r="C759" s="19">
        <v>46004</v>
      </c>
      <c r="D759" s="19">
        <v>3.0874999999999999</v>
      </c>
      <c r="E759" s="19" t="s">
        <v>93</v>
      </c>
      <c r="F759" s="19" t="s">
        <v>94</v>
      </c>
      <c r="G759" s="19" t="s">
        <v>32</v>
      </c>
      <c r="H759" s="19" t="s">
        <v>87</v>
      </c>
      <c r="I759" s="19" t="s">
        <v>88</v>
      </c>
      <c r="J759" s="19">
        <v>34</v>
      </c>
      <c r="K759" s="19">
        <v>3.2500000000000001E-2</v>
      </c>
      <c r="L759" s="19" t="s">
        <v>541</v>
      </c>
      <c r="M759" s="19" t="s">
        <v>541</v>
      </c>
      <c r="N759" s="19">
        <v>50</v>
      </c>
      <c r="O759" s="19">
        <v>95</v>
      </c>
      <c r="P759" s="19">
        <v>100</v>
      </c>
      <c r="Q759" s="19">
        <v>50</v>
      </c>
      <c r="R759" s="19" t="s">
        <v>870</v>
      </c>
      <c r="S759" s="19">
        <v>0.9</v>
      </c>
      <c r="T759" s="19">
        <v>0.9</v>
      </c>
      <c r="U759" s="19">
        <v>45</v>
      </c>
      <c r="AA759" s="19">
        <v>0</v>
      </c>
    </row>
    <row r="760" spans="1:27" x14ac:dyDescent="0.25">
      <c r="A760" s="19" t="s">
        <v>2398</v>
      </c>
      <c r="B760" s="19" t="s">
        <v>2381</v>
      </c>
      <c r="C760" s="19">
        <v>46004</v>
      </c>
      <c r="D760" s="19">
        <v>3.1361307363927402</v>
      </c>
      <c r="E760" s="19" t="s">
        <v>99</v>
      </c>
      <c r="F760" s="19" t="s">
        <v>100</v>
      </c>
      <c r="G760" s="19" t="s">
        <v>32</v>
      </c>
      <c r="H760" s="19" t="s">
        <v>101</v>
      </c>
      <c r="I760" s="19" t="s">
        <v>102</v>
      </c>
      <c r="J760" s="19">
        <v>39</v>
      </c>
      <c r="K760" s="19">
        <v>4.3299999999999998E-2</v>
      </c>
      <c r="L760" s="19" t="s">
        <v>541</v>
      </c>
      <c r="M760" s="19" t="s">
        <v>541</v>
      </c>
      <c r="N760" s="19">
        <v>50</v>
      </c>
      <c r="O760" s="19">
        <v>72.427961579500007</v>
      </c>
      <c r="P760" s="19">
        <v>49.8399146211</v>
      </c>
      <c r="Q760" s="19">
        <v>24.919957310600001</v>
      </c>
      <c r="R760" s="19" t="s">
        <v>870</v>
      </c>
      <c r="S760" s="19">
        <v>0.9</v>
      </c>
      <c r="T760" s="19">
        <v>0.9</v>
      </c>
      <c r="U760" s="19">
        <v>22.4279615795</v>
      </c>
      <c r="AA760" s="19">
        <v>0</v>
      </c>
    </row>
    <row r="761" spans="1:27" x14ac:dyDescent="0.25">
      <c r="A761" s="19" t="s">
        <v>2399</v>
      </c>
      <c r="B761" s="19" t="s">
        <v>2381</v>
      </c>
      <c r="C761" s="19">
        <v>46004</v>
      </c>
      <c r="D761" s="19">
        <v>4.1135000000000002</v>
      </c>
      <c r="E761" s="19" t="s">
        <v>105</v>
      </c>
      <c r="F761" s="19" t="s">
        <v>106</v>
      </c>
      <c r="G761" s="19" t="s">
        <v>32</v>
      </c>
      <c r="H761" s="19" t="s">
        <v>101</v>
      </c>
      <c r="I761" s="19" t="s">
        <v>102</v>
      </c>
      <c r="J761" s="19">
        <v>38</v>
      </c>
      <c r="K761" s="19">
        <v>4.3299999999999998E-2</v>
      </c>
      <c r="L761" s="19" t="s">
        <v>541</v>
      </c>
      <c r="M761" s="19" t="s">
        <v>541</v>
      </c>
      <c r="N761" s="19">
        <v>50</v>
      </c>
      <c r="O761" s="19">
        <v>95</v>
      </c>
      <c r="P761" s="19">
        <v>100</v>
      </c>
      <c r="Q761" s="19">
        <v>50</v>
      </c>
      <c r="R761" s="19" t="s">
        <v>870</v>
      </c>
      <c r="S761" s="19">
        <v>0.9</v>
      </c>
      <c r="T761" s="19">
        <v>0.9</v>
      </c>
      <c r="U761" s="19">
        <v>45</v>
      </c>
      <c r="AA761" s="19">
        <v>0</v>
      </c>
    </row>
    <row r="762" spans="1:27" x14ac:dyDescent="0.25">
      <c r="A762" s="19" t="s">
        <v>2400</v>
      </c>
      <c r="B762" s="19" t="s">
        <v>2381</v>
      </c>
      <c r="C762" s="19">
        <v>46004</v>
      </c>
      <c r="D762" s="19">
        <v>3.1392499999999899</v>
      </c>
      <c r="E762" s="19" t="s">
        <v>108</v>
      </c>
      <c r="F762" s="19" t="s">
        <v>109</v>
      </c>
      <c r="G762" s="19" t="s">
        <v>32</v>
      </c>
      <c r="H762" s="19" t="s">
        <v>101</v>
      </c>
      <c r="I762" s="19" t="s">
        <v>102</v>
      </c>
      <c r="J762" s="19">
        <v>37</v>
      </c>
      <c r="K762" s="19">
        <v>4.3299999999999998E-2</v>
      </c>
      <c r="L762" s="19" t="s">
        <v>541</v>
      </c>
      <c r="M762" s="19" t="s">
        <v>541</v>
      </c>
      <c r="N762" s="19">
        <v>50</v>
      </c>
      <c r="O762" s="19">
        <v>72.5</v>
      </c>
      <c r="P762" s="19">
        <v>50</v>
      </c>
      <c r="Q762" s="19">
        <v>25</v>
      </c>
      <c r="R762" s="19" t="s">
        <v>870</v>
      </c>
      <c r="S762" s="19">
        <v>0.9</v>
      </c>
      <c r="T762" s="19">
        <v>0.9</v>
      </c>
      <c r="U762" s="19">
        <v>22.5</v>
      </c>
      <c r="AA762" s="19">
        <v>0</v>
      </c>
    </row>
    <row r="763" spans="1:27" x14ac:dyDescent="0.25">
      <c r="A763" s="19" t="s">
        <v>2401</v>
      </c>
      <c r="B763" s="19" t="s">
        <v>2381</v>
      </c>
      <c r="C763" s="19">
        <v>46004</v>
      </c>
      <c r="D763" s="19">
        <v>2.0615000000000001</v>
      </c>
      <c r="E763" s="19" t="s">
        <v>112</v>
      </c>
      <c r="F763" s="19" t="s">
        <v>113</v>
      </c>
      <c r="G763" s="19" t="s">
        <v>32</v>
      </c>
      <c r="H763" s="19" t="s">
        <v>114</v>
      </c>
      <c r="I763" s="19" t="s">
        <v>115</v>
      </c>
      <c r="J763" s="19">
        <v>30</v>
      </c>
      <c r="K763" s="19">
        <v>2.1700000000000001E-2</v>
      </c>
      <c r="L763" s="19" t="s">
        <v>541</v>
      </c>
      <c r="M763" s="19" t="s">
        <v>541</v>
      </c>
      <c r="N763" s="19">
        <v>50</v>
      </c>
      <c r="O763" s="19">
        <v>95</v>
      </c>
      <c r="P763" s="19">
        <v>100</v>
      </c>
      <c r="Q763" s="19">
        <v>50</v>
      </c>
      <c r="R763" s="19" t="s">
        <v>870</v>
      </c>
      <c r="S763" s="19">
        <v>0.9</v>
      </c>
      <c r="T763" s="19">
        <v>0.9</v>
      </c>
      <c r="U763" s="19">
        <v>45</v>
      </c>
      <c r="AA763" s="19">
        <v>0</v>
      </c>
    </row>
    <row r="764" spans="1:27" x14ac:dyDescent="0.25">
      <c r="A764" s="19" t="s">
        <v>2402</v>
      </c>
      <c r="B764" s="19" t="s">
        <v>2381</v>
      </c>
      <c r="C764" s="19">
        <v>46004</v>
      </c>
      <c r="D764" s="19">
        <v>1.5014485294117601</v>
      </c>
      <c r="E764" s="19" t="s">
        <v>120</v>
      </c>
      <c r="F764" s="19" t="s">
        <v>121</v>
      </c>
      <c r="G764" s="19" t="s">
        <v>32</v>
      </c>
      <c r="H764" s="19" t="s">
        <v>114</v>
      </c>
      <c r="I764" s="19" t="s">
        <v>115</v>
      </c>
      <c r="J764" s="19">
        <v>28</v>
      </c>
      <c r="K764" s="19">
        <v>2.1700000000000001E-2</v>
      </c>
      <c r="L764" s="19" t="s">
        <v>541</v>
      </c>
      <c r="M764" s="19" t="s">
        <v>541</v>
      </c>
      <c r="N764" s="19">
        <v>50</v>
      </c>
      <c r="O764" s="19">
        <v>69.191176470599999</v>
      </c>
      <c r="P764" s="19">
        <v>42.647058823499997</v>
      </c>
      <c r="Q764" s="19">
        <v>21.323529411799999</v>
      </c>
      <c r="R764" s="19" t="s">
        <v>870</v>
      </c>
      <c r="S764" s="19">
        <v>0.9</v>
      </c>
      <c r="T764" s="19">
        <v>0.9</v>
      </c>
      <c r="U764" s="19">
        <v>19.191176470599999</v>
      </c>
      <c r="AA764" s="19">
        <v>0</v>
      </c>
    </row>
    <row r="765" spans="1:27" x14ac:dyDescent="0.25">
      <c r="A765" s="19" t="s">
        <v>2403</v>
      </c>
      <c r="B765" s="19" t="s">
        <v>2381</v>
      </c>
      <c r="C765" s="19">
        <v>46004</v>
      </c>
      <c r="D765" s="19">
        <v>2.0583735325506902</v>
      </c>
      <c r="E765" s="19" t="s">
        <v>123</v>
      </c>
      <c r="F765" s="19" t="s">
        <v>124</v>
      </c>
      <c r="G765" s="19" t="s">
        <v>32</v>
      </c>
      <c r="H765" s="19" t="s">
        <v>114</v>
      </c>
      <c r="I765" s="19" t="s">
        <v>115</v>
      </c>
      <c r="J765" s="19">
        <v>27</v>
      </c>
      <c r="K765" s="19">
        <v>2.1700000000000001E-2</v>
      </c>
      <c r="L765" s="19" t="s">
        <v>541</v>
      </c>
      <c r="M765" s="19" t="s">
        <v>541</v>
      </c>
      <c r="N765" s="19">
        <v>50</v>
      </c>
      <c r="O765" s="19">
        <v>94.855923159</v>
      </c>
      <c r="P765" s="19">
        <v>99.679829242300002</v>
      </c>
      <c r="Q765" s="19">
        <v>49.8399146211</v>
      </c>
      <c r="R765" s="19" t="s">
        <v>870</v>
      </c>
      <c r="S765" s="19">
        <v>0.9</v>
      </c>
      <c r="T765" s="19">
        <v>0.9</v>
      </c>
      <c r="U765" s="19">
        <v>44.855923159</v>
      </c>
      <c r="AA765" s="19">
        <v>0</v>
      </c>
    </row>
    <row r="766" spans="1:27" x14ac:dyDescent="0.25">
      <c r="A766" s="19" t="s">
        <v>2404</v>
      </c>
      <c r="B766" s="19" t="s">
        <v>2381</v>
      </c>
      <c r="C766" s="19">
        <v>46004</v>
      </c>
      <c r="D766" s="19">
        <v>2.0615000000000001</v>
      </c>
      <c r="E766" s="19" t="s">
        <v>126</v>
      </c>
      <c r="F766" s="19" t="s">
        <v>127</v>
      </c>
      <c r="G766" s="19" t="s">
        <v>32</v>
      </c>
      <c r="H766" s="19" t="s">
        <v>114</v>
      </c>
      <c r="I766" s="19" t="s">
        <v>115</v>
      </c>
      <c r="J766" s="19">
        <v>29</v>
      </c>
      <c r="K766" s="19">
        <v>2.1700000000000001E-2</v>
      </c>
      <c r="L766" s="19" t="s">
        <v>541</v>
      </c>
      <c r="M766" s="19" t="s">
        <v>541</v>
      </c>
      <c r="N766" s="19">
        <v>50</v>
      </c>
      <c r="O766" s="19">
        <v>95</v>
      </c>
      <c r="P766" s="19">
        <v>100</v>
      </c>
      <c r="Q766" s="19">
        <v>50</v>
      </c>
      <c r="R766" s="19" t="s">
        <v>870</v>
      </c>
      <c r="S766" s="19">
        <v>0.9</v>
      </c>
      <c r="T766" s="19">
        <v>0.9</v>
      </c>
      <c r="U766" s="19">
        <v>45</v>
      </c>
      <c r="AA766" s="19">
        <v>0</v>
      </c>
    </row>
    <row r="767" spans="1:27" x14ac:dyDescent="0.25">
      <c r="A767" s="19" t="s">
        <v>2405</v>
      </c>
      <c r="B767" s="19" t="s">
        <v>2381</v>
      </c>
      <c r="C767" s="19">
        <v>46004</v>
      </c>
      <c r="D767" s="19">
        <v>4.17</v>
      </c>
      <c r="E767" s="19" t="s">
        <v>132</v>
      </c>
      <c r="F767" s="19" t="s">
        <v>133</v>
      </c>
      <c r="G767" s="19" t="s">
        <v>134</v>
      </c>
      <c r="H767" s="19" t="s">
        <v>87</v>
      </c>
      <c r="I767" s="19" t="s">
        <v>135</v>
      </c>
      <c r="J767" s="19">
        <v>11</v>
      </c>
      <c r="K767" s="19">
        <v>4.1700000000000001E-2</v>
      </c>
      <c r="L767" s="19" t="s">
        <v>541</v>
      </c>
      <c r="M767" s="19" t="s">
        <v>541</v>
      </c>
      <c r="N767" s="19">
        <v>50</v>
      </c>
      <c r="O767" s="19">
        <v>100</v>
      </c>
      <c r="P767" s="19">
        <v>100</v>
      </c>
      <c r="Q767" s="19">
        <v>50</v>
      </c>
      <c r="R767" s="19" t="s">
        <v>870</v>
      </c>
      <c r="S767" s="19">
        <v>0.9</v>
      </c>
      <c r="T767" s="19">
        <v>1</v>
      </c>
      <c r="U767" s="19">
        <v>50</v>
      </c>
      <c r="AA767" s="19">
        <v>0</v>
      </c>
    </row>
    <row r="768" spans="1:27" x14ac:dyDescent="0.25">
      <c r="A768" s="19" t="s">
        <v>2406</v>
      </c>
      <c r="B768" s="19" t="s">
        <v>2381</v>
      </c>
      <c r="C768" s="19">
        <v>46004</v>
      </c>
      <c r="D768" s="19">
        <v>4.17</v>
      </c>
      <c r="E768" s="19" t="s">
        <v>137</v>
      </c>
      <c r="F768" s="19" t="s">
        <v>138</v>
      </c>
      <c r="G768" s="19" t="s">
        <v>134</v>
      </c>
      <c r="H768" s="19" t="s">
        <v>87</v>
      </c>
      <c r="I768" s="19" t="s">
        <v>135</v>
      </c>
      <c r="J768" s="19">
        <v>9</v>
      </c>
      <c r="K768" s="19">
        <v>4.1700000000000001E-2</v>
      </c>
      <c r="L768" s="19" t="s">
        <v>541</v>
      </c>
      <c r="M768" s="19" t="s">
        <v>541</v>
      </c>
      <c r="N768" s="19">
        <v>50</v>
      </c>
      <c r="O768" s="19">
        <v>100</v>
      </c>
      <c r="P768" s="19">
        <v>100</v>
      </c>
      <c r="Q768" s="19">
        <v>50</v>
      </c>
      <c r="R768" s="19" t="s">
        <v>870</v>
      </c>
      <c r="S768" s="19">
        <v>0.9</v>
      </c>
      <c r="T768" s="19">
        <v>1</v>
      </c>
      <c r="U768" s="19">
        <v>50</v>
      </c>
      <c r="AA768" s="19">
        <v>0</v>
      </c>
    </row>
    <row r="769" spans="1:27" x14ac:dyDescent="0.25">
      <c r="A769" s="19" t="s">
        <v>2407</v>
      </c>
      <c r="B769" s="19" t="s">
        <v>2381</v>
      </c>
      <c r="C769" s="19">
        <v>46004</v>
      </c>
      <c r="D769" s="19">
        <v>4.17</v>
      </c>
      <c r="E769" s="19" t="s">
        <v>140</v>
      </c>
      <c r="F769" s="19" t="s">
        <v>141</v>
      </c>
      <c r="G769" s="19" t="s">
        <v>134</v>
      </c>
      <c r="H769" s="19" t="s">
        <v>87</v>
      </c>
      <c r="I769" s="19" t="s">
        <v>135</v>
      </c>
      <c r="J769" s="19">
        <v>10</v>
      </c>
      <c r="K769" s="19">
        <v>4.1700000000000001E-2</v>
      </c>
      <c r="L769" s="19" t="s">
        <v>541</v>
      </c>
      <c r="M769" s="19" t="s">
        <v>541</v>
      </c>
      <c r="N769" s="19">
        <v>50</v>
      </c>
      <c r="O769" s="19">
        <v>100</v>
      </c>
      <c r="P769" s="19">
        <v>100</v>
      </c>
      <c r="Q769" s="19">
        <v>50</v>
      </c>
      <c r="R769" s="19" t="s">
        <v>870</v>
      </c>
      <c r="S769" s="19">
        <v>0.9</v>
      </c>
      <c r="T769" s="19">
        <v>1</v>
      </c>
      <c r="U769" s="19">
        <v>50</v>
      </c>
      <c r="AA769" s="19">
        <v>0</v>
      </c>
    </row>
    <row r="770" spans="1:27" x14ac:dyDescent="0.25">
      <c r="A770" s="19" t="s">
        <v>2408</v>
      </c>
      <c r="B770" s="19" t="s">
        <v>2381</v>
      </c>
      <c r="C770" s="19">
        <v>46004</v>
      </c>
      <c r="D770" s="19">
        <v>2.5</v>
      </c>
      <c r="E770" s="19" t="s">
        <v>144</v>
      </c>
      <c r="F770" s="19" t="s">
        <v>145</v>
      </c>
      <c r="G770" s="19" t="s">
        <v>134</v>
      </c>
      <c r="H770" s="19" t="s">
        <v>146</v>
      </c>
      <c r="I770" s="19" t="s">
        <v>147</v>
      </c>
      <c r="J770" s="19">
        <v>4</v>
      </c>
      <c r="K770" s="19">
        <v>2.5000000000000001E-2</v>
      </c>
      <c r="L770" s="19" t="s">
        <v>541</v>
      </c>
      <c r="M770" s="19" t="s">
        <v>541</v>
      </c>
      <c r="N770" s="19">
        <v>50</v>
      </c>
      <c r="O770" s="19">
        <v>100</v>
      </c>
      <c r="P770" s="19">
        <v>100</v>
      </c>
      <c r="Q770" s="19">
        <v>50</v>
      </c>
      <c r="R770" s="19" t="s">
        <v>870</v>
      </c>
      <c r="S770" s="19">
        <v>0.9</v>
      </c>
      <c r="T770" s="19">
        <v>1</v>
      </c>
      <c r="U770" s="19">
        <v>50</v>
      </c>
      <c r="AA770" s="19">
        <v>0</v>
      </c>
    </row>
    <row r="771" spans="1:27" x14ac:dyDescent="0.25">
      <c r="A771" s="19" t="s">
        <v>2409</v>
      </c>
      <c r="B771" s="19" t="s">
        <v>2381</v>
      </c>
      <c r="C771" s="19">
        <v>46004</v>
      </c>
      <c r="D771" s="19">
        <v>2.5</v>
      </c>
      <c r="E771" s="19" t="s">
        <v>149</v>
      </c>
      <c r="F771" s="19" t="s">
        <v>150</v>
      </c>
      <c r="G771" s="19" t="s">
        <v>134</v>
      </c>
      <c r="H771" s="19" t="s">
        <v>146</v>
      </c>
      <c r="I771" s="19" t="s">
        <v>147</v>
      </c>
      <c r="J771" s="19">
        <v>5</v>
      </c>
      <c r="K771" s="19">
        <v>2.5000000000000001E-2</v>
      </c>
      <c r="L771" s="19" t="s">
        <v>541</v>
      </c>
      <c r="M771" s="19" t="s">
        <v>541</v>
      </c>
      <c r="N771" s="19">
        <v>50</v>
      </c>
      <c r="O771" s="19">
        <v>100</v>
      </c>
      <c r="P771" s="19">
        <v>100</v>
      </c>
      <c r="Q771" s="19">
        <v>50</v>
      </c>
      <c r="R771" s="19" t="s">
        <v>870</v>
      </c>
      <c r="S771" s="19">
        <v>0.9</v>
      </c>
      <c r="T771" s="19">
        <v>1</v>
      </c>
      <c r="U771" s="19">
        <v>50</v>
      </c>
      <c r="AA771" s="19">
        <v>0</v>
      </c>
    </row>
    <row r="772" spans="1:27" x14ac:dyDescent="0.25">
      <c r="A772" s="19" t="s">
        <v>2410</v>
      </c>
      <c r="B772" s="19" t="s">
        <v>2381</v>
      </c>
      <c r="C772" s="19">
        <v>46004</v>
      </c>
      <c r="D772" s="19">
        <v>2.5</v>
      </c>
      <c r="E772" s="19" t="s">
        <v>152</v>
      </c>
      <c r="F772" s="19" t="s">
        <v>153</v>
      </c>
      <c r="G772" s="19" t="s">
        <v>134</v>
      </c>
      <c r="H772" s="19" t="s">
        <v>146</v>
      </c>
      <c r="I772" s="19" t="s">
        <v>147</v>
      </c>
      <c r="J772" s="19">
        <v>6</v>
      </c>
      <c r="K772" s="19">
        <v>2.5000000000000001E-2</v>
      </c>
      <c r="L772" s="19" t="s">
        <v>541</v>
      </c>
      <c r="M772" s="19" t="s">
        <v>541</v>
      </c>
      <c r="N772" s="19">
        <v>50</v>
      </c>
      <c r="O772" s="19">
        <v>100</v>
      </c>
      <c r="P772" s="19">
        <v>100</v>
      </c>
      <c r="Q772" s="19">
        <v>50</v>
      </c>
      <c r="R772" s="19" t="s">
        <v>870</v>
      </c>
      <c r="S772" s="19">
        <v>0.9</v>
      </c>
      <c r="T772" s="19">
        <v>1</v>
      </c>
      <c r="U772" s="19">
        <v>50</v>
      </c>
      <c r="AA772" s="19">
        <v>0</v>
      </c>
    </row>
    <row r="773" spans="1:27" x14ac:dyDescent="0.25">
      <c r="A773" s="19" t="s">
        <v>2411</v>
      </c>
      <c r="B773" s="19" t="s">
        <v>2381</v>
      </c>
      <c r="C773" s="19">
        <v>46004</v>
      </c>
      <c r="D773" s="19">
        <v>2.5</v>
      </c>
      <c r="E773" s="19" t="s">
        <v>155</v>
      </c>
      <c r="F773" s="19" t="s">
        <v>156</v>
      </c>
      <c r="G773" s="19" t="s">
        <v>134</v>
      </c>
      <c r="H773" s="19" t="s">
        <v>146</v>
      </c>
      <c r="I773" s="19" t="s">
        <v>147</v>
      </c>
      <c r="J773" s="19">
        <v>7</v>
      </c>
      <c r="K773" s="19">
        <v>2.5000000000000001E-2</v>
      </c>
      <c r="L773" s="19" t="s">
        <v>541</v>
      </c>
      <c r="M773" s="19" t="s">
        <v>541</v>
      </c>
      <c r="N773" s="19">
        <v>50</v>
      </c>
      <c r="O773" s="19">
        <v>100</v>
      </c>
      <c r="P773" s="19">
        <v>100</v>
      </c>
      <c r="Q773" s="19">
        <v>50</v>
      </c>
      <c r="R773" s="19" t="s">
        <v>870</v>
      </c>
      <c r="S773" s="19">
        <v>0.9</v>
      </c>
      <c r="T773" s="19">
        <v>1</v>
      </c>
      <c r="U773" s="19">
        <v>50</v>
      </c>
      <c r="AA773" s="19">
        <v>0</v>
      </c>
    </row>
    <row r="774" spans="1:27" x14ac:dyDescent="0.25">
      <c r="A774" s="19" t="s">
        <v>2412</v>
      </c>
      <c r="B774" s="19" t="s">
        <v>2381</v>
      </c>
      <c r="C774" s="19">
        <v>46004</v>
      </c>
      <c r="D774" s="19">
        <v>2.34375</v>
      </c>
      <c r="E774" s="19" t="s">
        <v>158</v>
      </c>
      <c r="F774" s="19" t="s">
        <v>159</v>
      </c>
      <c r="G774" s="19" t="s">
        <v>134</v>
      </c>
      <c r="H774" s="19" t="s">
        <v>146</v>
      </c>
      <c r="I774" s="19" t="s">
        <v>147</v>
      </c>
      <c r="J774" s="19">
        <v>8</v>
      </c>
      <c r="K774" s="19">
        <v>2.5000000000000001E-2</v>
      </c>
      <c r="L774" s="19" t="s">
        <v>541</v>
      </c>
      <c r="M774" s="19" t="s">
        <v>541</v>
      </c>
      <c r="N774" s="19">
        <v>50</v>
      </c>
      <c r="O774" s="19">
        <v>93.75</v>
      </c>
      <c r="P774" s="19">
        <v>87.5</v>
      </c>
      <c r="Q774" s="19">
        <v>43.75</v>
      </c>
      <c r="R774" s="19" t="s">
        <v>870</v>
      </c>
      <c r="S774" s="19">
        <v>0.9</v>
      </c>
      <c r="T774" s="19">
        <v>1</v>
      </c>
      <c r="U774" s="19">
        <v>43.75</v>
      </c>
      <c r="AA774" s="19">
        <v>0</v>
      </c>
    </row>
    <row r="775" spans="1:27" x14ac:dyDescent="0.25">
      <c r="A775" s="19" t="s">
        <v>2413</v>
      </c>
      <c r="B775" s="19" t="s">
        <v>2381</v>
      </c>
      <c r="C775" s="19">
        <v>46004</v>
      </c>
      <c r="D775" s="19">
        <v>1.085</v>
      </c>
      <c r="E775" s="19" t="s">
        <v>117</v>
      </c>
      <c r="F775" s="19" t="s">
        <v>118</v>
      </c>
      <c r="G775" s="19" t="s">
        <v>32</v>
      </c>
      <c r="H775" s="19" t="s">
        <v>114</v>
      </c>
      <c r="I775" s="19" t="s">
        <v>115</v>
      </c>
      <c r="J775" s="19">
        <v>31</v>
      </c>
      <c r="K775" s="19">
        <v>2.1700000000000001E-2</v>
      </c>
      <c r="L775" s="19" t="s">
        <v>35</v>
      </c>
      <c r="M775" s="19" t="s">
        <v>103</v>
      </c>
      <c r="N775" s="19">
        <v>50</v>
      </c>
      <c r="O775" s="19">
        <v>50</v>
      </c>
      <c r="P775" s="19">
        <v>0</v>
      </c>
      <c r="Q775" s="19">
        <v>0</v>
      </c>
      <c r="R775" s="19" t="s">
        <v>870</v>
      </c>
      <c r="S775" s="19">
        <v>0.9</v>
      </c>
      <c r="T775" s="19">
        <v>1</v>
      </c>
      <c r="U775" s="19">
        <v>0</v>
      </c>
      <c r="V775" s="19" t="s">
        <v>41</v>
      </c>
      <c r="W775" s="19">
        <v>1</v>
      </c>
      <c r="Y775" s="19" t="s">
        <v>103</v>
      </c>
      <c r="Z775" s="19">
        <v>50</v>
      </c>
      <c r="AA775" s="19">
        <v>50</v>
      </c>
    </row>
    <row r="776" spans="1:27" x14ac:dyDescent="0.25">
      <c r="A776" s="19" t="s">
        <v>2414</v>
      </c>
      <c r="B776" s="19" t="s">
        <v>2381</v>
      </c>
      <c r="C776" s="19">
        <v>46004</v>
      </c>
      <c r="D776" s="19">
        <v>0</v>
      </c>
      <c r="E776" s="19" t="s">
        <v>90</v>
      </c>
      <c r="F776" s="19" t="s">
        <v>91</v>
      </c>
      <c r="G776" s="19" t="s">
        <v>32</v>
      </c>
      <c r="H776" s="19" t="s">
        <v>87</v>
      </c>
      <c r="I776" s="19" t="s">
        <v>88</v>
      </c>
      <c r="J776" s="19">
        <v>33</v>
      </c>
      <c r="K776" s="19">
        <v>3.2500000000000001E-2</v>
      </c>
      <c r="L776" s="19" t="s">
        <v>35</v>
      </c>
      <c r="M776" s="19" t="s">
        <v>110</v>
      </c>
      <c r="N776" s="19">
        <v>0</v>
      </c>
      <c r="O776" s="19">
        <v>0</v>
      </c>
      <c r="P776" s="19">
        <v>0</v>
      </c>
      <c r="Q776" s="19">
        <v>0</v>
      </c>
      <c r="R776" s="19" t="s">
        <v>870</v>
      </c>
      <c r="S776" s="19">
        <v>0.9</v>
      </c>
      <c r="T776" s="19">
        <v>1</v>
      </c>
      <c r="U776" s="19">
        <v>0</v>
      </c>
      <c r="V776" s="19" t="s">
        <v>80</v>
      </c>
      <c r="W776" s="19">
        <v>0</v>
      </c>
      <c r="Y776" s="19" t="s">
        <v>110</v>
      </c>
      <c r="Z776" s="19">
        <v>16.664999999999999</v>
      </c>
      <c r="AA776" s="19">
        <v>0</v>
      </c>
    </row>
    <row r="777" spans="1:27" x14ac:dyDescent="0.25">
      <c r="A777" s="19" t="s">
        <v>2415</v>
      </c>
      <c r="B777" s="19" t="s">
        <v>2381</v>
      </c>
      <c r="C777" s="19">
        <v>46004</v>
      </c>
      <c r="D777" s="19">
        <v>0</v>
      </c>
      <c r="E777" s="19" t="s">
        <v>96</v>
      </c>
      <c r="F777" s="19" t="s">
        <v>97</v>
      </c>
      <c r="G777" s="19" t="s">
        <v>32</v>
      </c>
      <c r="H777" s="19" t="s">
        <v>87</v>
      </c>
      <c r="I777" s="19" t="s">
        <v>88</v>
      </c>
      <c r="J777" s="19">
        <v>36</v>
      </c>
      <c r="K777" s="19">
        <v>3.2500000000000001E-2</v>
      </c>
      <c r="L777" s="19" t="s">
        <v>35</v>
      </c>
      <c r="N777" s="19">
        <v>0</v>
      </c>
      <c r="O777" s="19">
        <v>0</v>
      </c>
      <c r="P777" s="19">
        <v>0</v>
      </c>
      <c r="Q777" s="19">
        <v>0</v>
      </c>
      <c r="R777" s="19" t="s">
        <v>870</v>
      </c>
      <c r="S777" s="19">
        <v>0.9</v>
      </c>
      <c r="T777" s="19">
        <v>1</v>
      </c>
      <c r="U777" s="19">
        <v>0</v>
      </c>
      <c r="V777" s="19" t="s">
        <v>36</v>
      </c>
      <c r="W777" s="19">
        <v>0</v>
      </c>
      <c r="Z777" s="19">
        <v>0</v>
      </c>
      <c r="AA777" s="19">
        <v>0</v>
      </c>
    </row>
    <row r="778" spans="1:27" x14ac:dyDescent="0.25">
      <c r="A778" s="19" t="s">
        <v>2416</v>
      </c>
      <c r="B778" s="19" t="s">
        <v>2381</v>
      </c>
      <c r="C778" s="19">
        <v>46004</v>
      </c>
      <c r="D778" s="19">
        <v>1.085</v>
      </c>
      <c r="E778" s="19" t="s">
        <v>129</v>
      </c>
      <c r="F778" s="19" t="s">
        <v>130</v>
      </c>
      <c r="G778" s="19" t="s">
        <v>32</v>
      </c>
      <c r="H778" s="19" t="s">
        <v>114</v>
      </c>
      <c r="I778" s="19" t="s">
        <v>115</v>
      </c>
      <c r="J778" s="19">
        <v>32</v>
      </c>
      <c r="K778" s="19">
        <v>2.1700000000000001E-2</v>
      </c>
      <c r="L778" s="19" t="s">
        <v>35</v>
      </c>
      <c r="M778" s="19" t="s">
        <v>103</v>
      </c>
      <c r="N778" s="19">
        <v>50</v>
      </c>
      <c r="O778" s="19">
        <v>50</v>
      </c>
      <c r="P778" s="19">
        <v>0</v>
      </c>
      <c r="Q778" s="19">
        <v>0</v>
      </c>
      <c r="R778" s="19" t="s">
        <v>870</v>
      </c>
      <c r="S778" s="19">
        <v>0.9</v>
      </c>
      <c r="T778" s="19">
        <v>1</v>
      </c>
      <c r="U778" s="19">
        <v>0</v>
      </c>
      <c r="V778" s="19" t="s">
        <v>41</v>
      </c>
      <c r="W778" s="19">
        <v>1</v>
      </c>
      <c r="Y778" s="19" t="s">
        <v>103</v>
      </c>
      <c r="Z778" s="19">
        <v>50</v>
      </c>
      <c r="AA778" s="19">
        <v>50</v>
      </c>
    </row>
    <row r="779" spans="1:27" x14ac:dyDescent="0.25">
      <c r="A779" s="19" t="s">
        <v>2417</v>
      </c>
      <c r="B779" s="19" t="s">
        <v>2381</v>
      </c>
      <c r="C779" s="19">
        <v>46004</v>
      </c>
      <c r="D779" s="19">
        <v>2.2197779999999998</v>
      </c>
      <c r="E779" s="19" t="s">
        <v>161</v>
      </c>
      <c r="F779" s="19" t="s">
        <v>162</v>
      </c>
      <c r="G779" s="19" t="s">
        <v>163</v>
      </c>
      <c r="I779" s="19" t="s">
        <v>164</v>
      </c>
      <c r="J779" s="19">
        <v>1</v>
      </c>
      <c r="K779" s="19">
        <v>3.3300000000000003E-2</v>
      </c>
      <c r="L779" s="19" t="s">
        <v>35</v>
      </c>
      <c r="M779" s="19" t="s">
        <v>165</v>
      </c>
      <c r="N779" s="19">
        <v>66.66</v>
      </c>
      <c r="O779" s="19">
        <v>66.66</v>
      </c>
      <c r="P779" s="19">
        <v>0</v>
      </c>
      <c r="Q779" s="19">
        <v>0</v>
      </c>
      <c r="R779" s="19" t="s">
        <v>870</v>
      </c>
      <c r="S779" s="19">
        <v>0.9</v>
      </c>
      <c r="T779" s="19">
        <v>1</v>
      </c>
      <c r="U779" s="19">
        <v>0</v>
      </c>
      <c r="W779" s="19">
        <v>0</v>
      </c>
      <c r="X779" s="19">
        <v>66.66</v>
      </c>
      <c r="Z779" s="19">
        <v>0</v>
      </c>
      <c r="AA779" s="19">
        <v>66.66</v>
      </c>
    </row>
    <row r="780" spans="1:27" x14ac:dyDescent="0.25">
      <c r="A780" s="19" t="s">
        <v>2418</v>
      </c>
      <c r="B780" s="19" t="s">
        <v>2381</v>
      </c>
      <c r="C780" s="19">
        <v>46004</v>
      </c>
      <c r="D780" s="19">
        <v>3.33</v>
      </c>
      <c r="E780" s="19" t="s">
        <v>167</v>
      </c>
      <c r="F780" s="19" t="s">
        <v>168</v>
      </c>
      <c r="G780" s="19" t="s">
        <v>163</v>
      </c>
      <c r="I780" s="19" t="s">
        <v>164</v>
      </c>
      <c r="J780" s="19">
        <v>3</v>
      </c>
      <c r="K780" s="19">
        <v>3.3300000000000003E-2</v>
      </c>
      <c r="L780" s="19" t="s">
        <v>35</v>
      </c>
      <c r="M780" s="19" t="s">
        <v>165</v>
      </c>
      <c r="N780" s="19">
        <v>100</v>
      </c>
      <c r="O780" s="19">
        <v>100</v>
      </c>
      <c r="P780" s="19">
        <v>0</v>
      </c>
      <c r="Q780" s="19">
        <v>0</v>
      </c>
      <c r="R780" s="19" t="s">
        <v>870</v>
      </c>
      <c r="S780" s="19">
        <v>0.9</v>
      </c>
      <c r="T780" s="19">
        <v>1</v>
      </c>
      <c r="U780" s="19">
        <v>0</v>
      </c>
      <c r="W780" s="19">
        <v>0</v>
      </c>
      <c r="X780" s="19">
        <v>100</v>
      </c>
      <c r="Z780" s="19">
        <v>0</v>
      </c>
      <c r="AA780" s="19">
        <v>100</v>
      </c>
    </row>
    <row r="781" spans="1:27" x14ac:dyDescent="0.25">
      <c r="A781" s="19" t="s">
        <v>2419</v>
      </c>
      <c r="B781" s="19" t="s">
        <v>2381</v>
      </c>
      <c r="C781" s="19">
        <v>46004</v>
      </c>
      <c r="D781" s="19">
        <v>3.0303</v>
      </c>
      <c r="E781" s="19" t="s">
        <v>170</v>
      </c>
      <c r="F781" s="19" t="s">
        <v>171</v>
      </c>
      <c r="G781" s="19" t="s">
        <v>163</v>
      </c>
      <c r="I781" s="19" t="s">
        <v>164</v>
      </c>
      <c r="J781" s="19">
        <v>2</v>
      </c>
      <c r="K781" s="19">
        <v>3.3300000000000003E-2</v>
      </c>
      <c r="L781" s="19" t="s">
        <v>35</v>
      </c>
      <c r="M781" s="19" t="s">
        <v>165</v>
      </c>
      <c r="N781" s="19">
        <v>91</v>
      </c>
      <c r="O781" s="19">
        <v>91</v>
      </c>
      <c r="P781" s="19">
        <v>0</v>
      </c>
      <c r="Q781" s="19">
        <v>0</v>
      </c>
      <c r="R781" s="19" t="s">
        <v>870</v>
      </c>
      <c r="S781" s="19">
        <v>0.9</v>
      </c>
      <c r="T781" s="19">
        <v>1</v>
      </c>
      <c r="U781" s="19">
        <v>0</v>
      </c>
      <c r="W781" s="19">
        <v>0</v>
      </c>
      <c r="X781" s="19">
        <v>91</v>
      </c>
      <c r="Z781" s="19">
        <v>0</v>
      </c>
      <c r="AA781" s="19">
        <v>91</v>
      </c>
    </row>
    <row r="782" spans="1:27" x14ac:dyDescent="0.25">
      <c r="A782" s="19" t="s">
        <v>1701</v>
      </c>
      <c r="B782" s="19" t="s">
        <v>1685</v>
      </c>
      <c r="C782" s="19" t="s">
        <v>1686</v>
      </c>
      <c r="D782" s="19">
        <v>4.17</v>
      </c>
      <c r="E782" s="19" t="s">
        <v>132</v>
      </c>
      <c r="F782" s="19" t="s">
        <v>133</v>
      </c>
      <c r="G782" s="19" t="s">
        <v>134</v>
      </c>
      <c r="H782" s="19" t="s">
        <v>87</v>
      </c>
      <c r="I782" s="19" t="s">
        <v>135</v>
      </c>
      <c r="J782" s="19">
        <v>11</v>
      </c>
      <c r="K782" s="19">
        <v>4.1700000000000001E-2</v>
      </c>
      <c r="L782" s="19" t="s">
        <v>541</v>
      </c>
      <c r="M782" s="19" t="s">
        <v>541</v>
      </c>
      <c r="N782" s="19">
        <v>50</v>
      </c>
      <c r="O782" s="19">
        <v>100</v>
      </c>
      <c r="P782" s="19">
        <v>100</v>
      </c>
      <c r="Q782" s="19">
        <v>50</v>
      </c>
      <c r="R782" s="19" t="s">
        <v>870</v>
      </c>
      <c r="S782" s="19">
        <v>0.9</v>
      </c>
      <c r="T782" s="19">
        <v>1</v>
      </c>
      <c r="U782" s="19">
        <v>50</v>
      </c>
      <c r="AA782" s="19">
        <v>0</v>
      </c>
    </row>
    <row r="783" spans="1:27" x14ac:dyDescent="0.25">
      <c r="A783" s="19" t="s">
        <v>1702</v>
      </c>
      <c r="B783" s="19" t="s">
        <v>1685</v>
      </c>
      <c r="C783" s="19" t="s">
        <v>1686</v>
      </c>
      <c r="D783" s="19">
        <v>4.17</v>
      </c>
      <c r="E783" s="19" t="s">
        <v>137</v>
      </c>
      <c r="F783" s="19" t="s">
        <v>138</v>
      </c>
      <c r="G783" s="19" t="s">
        <v>134</v>
      </c>
      <c r="H783" s="19" t="s">
        <v>87</v>
      </c>
      <c r="I783" s="19" t="s">
        <v>135</v>
      </c>
      <c r="J783" s="19">
        <v>9</v>
      </c>
      <c r="K783" s="19">
        <v>4.1700000000000001E-2</v>
      </c>
      <c r="L783" s="19" t="s">
        <v>541</v>
      </c>
      <c r="M783" s="19" t="s">
        <v>541</v>
      </c>
      <c r="N783" s="19">
        <v>50</v>
      </c>
      <c r="O783" s="19">
        <v>100</v>
      </c>
      <c r="P783" s="19">
        <v>100</v>
      </c>
      <c r="Q783" s="19">
        <v>50</v>
      </c>
      <c r="R783" s="19" t="s">
        <v>870</v>
      </c>
      <c r="S783" s="19">
        <v>0.9</v>
      </c>
      <c r="T783" s="19">
        <v>1</v>
      </c>
      <c r="U783" s="19">
        <v>50</v>
      </c>
      <c r="AA783" s="19">
        <v>0</v>
      </c>
    </row>
    <row r="784" spans="1:27" x14ac:dyDescent="0.25">
      <c r="A784" s="19" t="s">
        <v>1703</v>
      </c>
      <c r="B784" s="19" t="s">
        <v>1685</v>
      </c>
      <c r="C784" s="19" t="s">
        <v>1686</v>
      </c>
      <c r="D784" s="19">
        <v>2.78</v>
      </c>
      <c r="E784" s="19" t="s">
        <v>140</v>
      </c>
      <c r="F784" s="19" t="s">
        <v>141</v>
      </c>
      <c r="G784" s="19" t="s">
        <v>134</v>
      </c>
      <c r="H784" s="19" t="s">
        <v>87</v>
      </c>
      <c r="I784" s="19" t="s">
        <v>135</v>
      </c>
      <c r="J784" s="19">
        <v>10</v>
      </c>
      <c r="K784" s="19">
        <v>4.1700000000000001E-2</v>
      </c>
      <c r="L784" s="19" t="s">
        <v>541</v>
      </c>
      <c r="M784" s="19" t="s">
        <v>541</v>
      </c>
      <c r="N784" s="19">
        <v>50</v>
      </c>
      <c r="O784" s="19">
        <v>66.666666666699996</v>
      </c>
      <c r="P784" s="19">
        <v>33.333333333299997</v>
      </c>
      <c r="Q784" s="19">
        <v>16.666666666699999</v>
      </c>
      <c r="R784" s="19" t="s">
        <v>870</v>
      </c>
      <c r="S784" s="19">
        <v>0.9</v>
      </c>
      <c r="T784" s="19">
        <v>1</v>
      </c>
      <c r="U784" s="19">
        <v>16.666666666699999</v>
      </c>
      <c r="AA784" s="19">
        <v>0</v>
      </c>
    </row>
    <row r="785" spans="1:27" x14ac:dyDescent="0.25">
      <c r="A785" s="19" t="s">
        <v>1704</v>
      </c>
      <c r="B785" s="19" t="s">
        <v>1685</v>
      </c>
      <c r="C785" s="19" t="s">
        <v>1686</v>
      </c>
      <c r="D785" s="19">
        <v>2.5</v>
      </c>
      <c r="E785" s="19" t="s">
        <v>144</v>
      </c>
      <c r="F785" s="19" t="s">
        <v>145</v>
      </c>
      <c r="G785" s="19" t="s">
        <v>134</v>
      </c>
      <c r="H785" s="19" t="s">
        <v>146</v>
      </c>
      <c r="I785" s="19" t="s">
        <v>147</v>
      </c>
      <c r="J785" s="19">
        <v>4</v>
      </c>
      <c r="K785" s="19">
        <v>2.5000000000000001E-2</v>
      </c>
      <c r="L785" s="19" t="s">
        <v>541</v>
      </c>
      <c r="M785" s="19" t="s">
        <v>541</v>
      </c>
      <c r="N785" s="19">
        <v>50</v>
      </c>
      <c r="O785" s="19">
        <v>100</v>
      </c>
      <c r="P785" s="19">
        <v>100</v>
      </c>
      <c r="Q785" s="19">
        <v>50</v>
      </c>
      <c r="R785" s="19" t="s">
        <v>870</v>
      </c>
      <c r="S785" s="19">
        <v>0.9</v>
      </c>
      <c r="T785" s="19">
        <v>1</v>
      </c>
      <c r="U785" s="19">
        <v>50</v>
      </c>
      <c r="AA785" s="19">
        <v>0</v>
      </c>
    </row>
    <row r="786" spans="1:27" x14ac:dyDescent="0.25">
      <c r="A786" s="19" t="s">
        <v>1684</v>
      </c>
      <c r="B786" s="19" t="s">
        <v>1685</v>
      </c>
      <c r="C786" s="19" t="s">
        <v>1686</v>
      </c>
      <c r="D786" s="19">
        <v>1.5365046972860099</v>
      </c>
      <c r="E786" s="19" t="s">
        <v>30</v>
      </c>
      <c r="F786" s="19" t="s">
        <v>31</v>
      </c>
      <c r="G786" s="19" t="s">
        <v>32</v>
      </c>
      <c r="H786" s="19" t="s">
        <v>33</v>
      </c>
      <c r="I786" s="19" t="s">
        <v>34</v>
      </c>
      <c r="J786" s="19">
        <v>17</v>
      </c>
      <c r="K786" s="19">
        <v>1.6299999999999999E-2</v>
      </c>
      <c r="L786" s="19" t="s">
        <v>541</v>
      </c>
      <c r="M786" s="19" t="s">
        <v>541</v>
      </c>
      <c r="N786" s="19">
        <v>50</v>
      </c>
      <c r="O786" s="19">
        <v>94.264091858</v>
      </c>
      <c r="P786" s="19">
        <v>98.364648573400004</v>
      </c>
      <c r="Q786" s="19">
        <v>49.182324286700002</v>
      </c>
      <c r="R786" s="19" t="s">
        <v>870</v>
      </c>
      <c r="S786" s="19">
        <v>0.9</v>
      </c>
      <c r="T786" s="19">
        <v>0.9</v>
      </c>
      <c r="U786" s="19">
        <v>44.264091858</v>
      </c>
      <c r="AA786" s="19">
        <v>0</v>
      </c>
    </row>
    <row r="787" spans="1:27" x14ac:dyDescent="0.25">
      <c r="A787" s="19" t="s">
        <v>1706</v>
      </c>
      <c r="B787" s="19" t="s">
        <v>1685</v>
      </c>
      <c r="C787" s="19" t="s">
        <v>1686</v>
      </c>
      <c r="D787" s="19">
        <v>2.5</v>
      </c>
      <c r="E787" s="19" t="s">
        <v>152</v>
      </c>
      <c r="F787" s="19" t="s">
        <v>153</v>
      </c>
      <c r="G787" s="19" t="s">
        <v>134</v>
      </c>
      <c r="H787" s="19" t="s">
        <v>146</v>
      </c>
      <c r="I787" s="19" t="s">
        <v>147</v>
      </c>
      <c r="J787" s="19">
        <v>6</v>
      </c>
      <c r="K787" s="19">
        <v>2.5000000000000001E-2</v>
      </c>
      <c r="L787" s="19" t="s">
        <v>541</v>
      </c>
      <c r="M787" s="19" t="s">
        <v>541</v>
      </c>
      <c r="N787" s="19">
        <v>50</v>
      </c>
      <c r="O787" s="19">
        <v>100</v>
      </c>
      <c r="P787" s="19">
        <v>100</v>
      </c>
      <c r="Q787" s="19">
        <v>50</v>
      </c>
      <c r="R787" s="19" t="s">
        <v>870</v>
      </c>
      <c r="S787" s="19">
        <v>0.9</v>
      </c>
      <c r="T787" s="19">
        <v>1</v>
      </c>
      <c r="U787" s="19">
        <v>50</v>
      </c>
      <c r="AA787" s="19">
        <v>0</v>
      </c>
    </row>
    <row r="788" spans="1:27" x14ac:dyDescent="0.25">
      <c r="A788" s="19" t="s">
        <v>1707</v>
      </c>
      <c r="B788" s="19" t="s">
        <v>1685</v>
      </c>
      <c r="C788" s="19" t="s">
        <v>1686</v>
      </c>
      <c r="D788" s="19">
        <v>2.5</v>
      </c>
      <c r="E788" s="19" t="s">
        <v>155</v>
      </c>
      <c r="F788" s="19" t="s">
        <v>156</v>
      </c>
      <c r="G788" s="19" t="s">
        <v>134</v>
      </c>
      <c r="H788" s="19" t="s">
        <v>146</v>
      </c>
      <c r="I788" s="19" t="s">
        <v>147</v>
      </c>
      <c r="J788" s="19">
        <v>7</v>
      </c>
      <c r="K788" s="19">
        <v>2.5000000000000001E-2</v>
      </c>
      <c r="L788" s="19" t="s">
        <v>541</v>
      </c>
      <c r="M788" s="19" t="s">
        <v>541</v>
      </c>
      <c r="N788" s="19">
        <v>50</v>
      </c>
      <c r="O788" s="19">
        <v>100</v>
      </c>
      <c r="P788" s="19">
        <v>100</v>
      </c>
      <c r="Q788" s="19">
        <v>50</v>
      </c>
      <c r="R788" s="19" t="s">
        <v>870</v>
      </c>
      <c r="S788" s="19">
        <v>0.9</v>
      </c>
      <c r="T788" s="19">
        <v>1</v>
      </c>
      <c r="U788" s="19">
        <v>50</v>
      </c>
      <c r="AA788" s="19">
        <v>0</v>
      </c>
    </row>
    <row r="789" spans="1:27" x14ac:dyDescent="0.25">
      <c r="A789" s="19" t="s">
        <v>1687</v>
      </c>
      <c r="B789" s="19" t="s">
        <v>1685</v>
      </c>
      <c r="C789" s="19" t="s">
        <v>1686</v>
      </c>
      <c r="D789" s="19">
        <v>1.54390605427974</v>
      </c>
      <c r="E789" s="19" t="s">
        <v>46</v>
      </c>
      <c r="F789" s="19" t="s">
        <v>47</v>
      </c>
      <c r="G789" s="19" t="s">
        <v>32</v>
      </c>
      <c r="H789" s="19" t="s">
        <v>33</v>
      </c>
      <c r="I789" s="19" t="s">
        <v>34</v>
      </c>
      <c r="J789" s="19">
        <v>15</v>
      </c>
      <c r="K789" s="19">
        <v>1.6299999999999999E-2</v>
      </c>
      <c r="L789" s="19" t="s">
        <v>541</v>
      </c>
      <c r="M789" s="19" t="s">
        <v>541</v>
      </c>
      <c r="N789" s="19">
        <v>50</v>
      </c>
      <c r="O789" s="19">
        <v>94.718162839200005</v>
      </c>
      <c r="P789" s="19">
        <v>99.373695198299998</v>
      </c>
      <c r="Q789" s="19">
        <v>49.6868475992</v>
      </c>
      <c r="R789" s="19" t="s">
        <v>870</v>
      </c>
      <c r="S789" s="19">
        <v>0.9</v>
      </c>
      <c r="T789" s="19">
        <v>0.9</v>
      </c>
      <c r="U789" s="19">
        <v>44.718162839199998</v>
      </c>
      <c r="AA789" s="19">
        <v>0</v>
      </c>
    </row>
    <row r="790" spans="1:27" x14ac:dyDescent="0.25">
      <c r="A790" s="19" t="s">
        <v>1688</v>
      </c>
      <c r="B790" s="19" t="s">
        <v>1685</v>
      </c>
      <c r="C790" s="19" t="s">
        <v>1686</v>
      </c>
      <c r="D790" s="19">
        <v>1.4826534446763999</v>
      </c>
      <c r="E790" s="19" t="s">
        <v>49</v>
      </c>
      <c r="F790" s="19" t="s">
        <v>50</v>
      </c>
      <c r="G790" s="19" t="s">
        <v>32</v>
      </c>
      <c r="H790" s="19" t="s">
        <v>33</v>
      </c>
      <c r="I790" s="19" t="s">
        <v>34</v>
      </c>
      <c r="J790" s="19">
        <v>12</v>
      </c>
      <c r="K790" s="19">
        <v>1.6299999999999999E-2</v>
      </c>
      <c r="L790" s="19" t="s">
        <v>541</v>
      </c>
      <c r="M790" s="19" t="s">
        <v>541</v>
      </c>
      <c r="N790" s="19">
        <v>50</v>
      </c>
      <c r="O790" s="19">
        <v>90.960334029199998</v>
      </c>
      <c r="P790" s="19">
        <v>91.022964509399998</v>
      </c>
      <c r="Q790" s="19">
        <v>45.511482254699999</v>
      </c>
      <c r="R790" s="19" t="s">
        <v>870</v>
      </c>
      <c r="S790" s="19">
        <v>0.9</v>
      </c>
      <c r="T790" s="19">
        <v>0.9</v>
      </c>
      <c r="U790" s="19">
        <v>40.960334029199998</v>
      </c>
      <c r="AA790" s="19">
        <v>0</v>
      </c>
    </row>
    <row r="791" spans="1:27" x14ac:dyDescent="0.25">
      <c r="A791" s="19" t="s">
        <v>1689</v>
      </c>
      <c r="B791" s="19" t="s">
        <v>1685</v>
      </c>
      <c r="C791" s="19" t="s">
        <v>1686</v>
      </c>
      <c r="D791" s="19">
        <v>1.1817499999999901</v>
      </c>
      <c r="E791" s="19" t="s">
        <v>52</v>
      </c>
      <c r="F791" s="19" t="s">
        <v>53</v>
      </c>
      <c r="G791" s="19" t="s">
        <v>32</v>
      </c>
      <c r="H791" s="19" t="s">
        <v>33</v>
      </c>
      <c r="I791" s="19" t="s">
        <v>34</v>
      </c>
      <c r="J791" s="19">
        <v>16</v>
      </c>
      <c r="K791" s="19">
        <v>1.6299999999999999E-2</v>
      </c>
      <c r="L791" s="19" t="s">
        <v>541</v>
      </c>
      <c r="M791" s="19" t="s">
        <v>541</v>
      </c>
      <c r="N791" s="19">
        <v>50</v>
      </c>
      <c r="O791" s="19">
        <v>72.5</v>
      </c>
      <c r="P791" s="19">
        <v>50</v>
      </c>
      <c r="Q791" s="19">
        <v>25</v>
      </c>
      <c r="R791" s="19" t="s">
        <v>870</v>
      </c>
      <c r="S791" s="19">
        <v>0.9</v>
      </c>
      <c r="T791" s="19">
        <v>0.9</v>
      </c>
      <c r="U791" s="19">
        <v>22.5</v>
      </c>
      <c r="AA791" s="19">
        <v>0</v>
      </c>
    </row>
    <row r="792" spans="1:27" x14ac:dyDescent="0.25">
      <c r="A792" s="19" t="s">
        <v>1690</v>
      </c>
      <c r="B792" s="19" t="s">
        <v>1685</v>
      </c>
      <c r="C792" s="19" t="s">
        <v>1686</v>
      </c>
      <c r="D792" s="19">
        <v>1.54671346555323</v>
      </c>
      <c r="E792" s="19" t="s">
        <v>55</v>
      </c>
      <c r="F792" s="19" t="s">
        <v>56</v>
      </c>
      <c r="G792" s="19" t="s">
        <v>32</v>
      </c>
      <c r="H792" s="19" t="s">
        <v>33</v>
      </c>
      <c r="I792" s="19" t="s">
        <v>34</v>
      </c>
      <c r="J792" s="19">
        <v>14</v>
      </c>
      <c r="K792" s="19">
        <v>1.6299999999999999E-2</v>
      </c>
      <c r="L792" s="19" t="s">
        <v>541</v>
      </c>
      <c r="M792" s="19" t="s">
        <v>541</v>
      </c>
      <c r="N792" s="19">
        <v>50</v>
      </c>
      <c r="O792" s="19">
        <v>94.890396659700002</v>
      </c>
      <c r="P792" s="19">
        <v>99.756437021599993</v>
      </c>
      <c r="Q792" s="19">
        <v>49.878218510799996</v>
      </c>
      <c r="R792" s="19" t="s">
        <v>870</v>
      </c>
      <c r="S792" s="19">
        <v>0.9</v>
      </c>
      <c r="T792" s="19">
        <v>0.9</v>
      </c>
      <c r="U792" s="19">
        <v>44.890396659700002</v>
      </c>
      <c r="AA792" s="19">
        <v>0</v>
      </c>
    </row>
    <row r="793" spans="1:27" x14ac:dyDescent="0.25">
      <c r="A793" s="19" t="s">
        <v>1691</v>
      </c>
      <c r="B793" s="19" t="s">
        <v>1685</v>
      </c>
      <c r="C793" s="19" t="s">
        <v>1686</v>
      </c>
      <c r="D793" s="19">
        <v>1.54849999999999</v>
      </c>
      <c r="E793" s="19" t="s">
        <v>58</v>
      </c>
      <c r="F793" s="19" t="s">
        <v>59</v>
      </c>
      <c r="G793" s="19" t="s">
        <v>32</v>
      </c>
      <c r="H793" s="19" t="s">
        <v>33</v>
      </c>
      <c r="I793" s="19" t="s">
        <v>34</v>
      </c>
      <c r="J793" s="19">
        <v>13</v>
      </c>
      <c r="K793" s="19">
        <v>1.6299999999999999E-2</v>
      </c>
      <c r="L793" s="19" t="s">
        <v>541</v>
      </c>
      <c r="M793" s="19" t="s">
        <v>541</v>
      </c>
      <c r="N793" s="19">
        <v>50</v>
      </c>
      <c r="O793" s="19">
        <v>95</v>
      </c>
      <c r="P793" s="19">
        <v>100</v>
      </c>
      <c r="Q793" s="19">
        <v>50</v>
      </c>
      <c r="R793" s="19" t="s">
        <v>870</v>
      </c>
      <c r="S793" s="19">
        <v>0.9</v>
      </c>
      <c r="T793" s="19">
        <v>0.9</v>
      </c>
      <c r="U793" s="19">
        <v>45</v>
      </c>
      <c r="AA793" s="19">
        <v>0</v>
      </c>
    </row>
    <row r="794" spans="1:27" x14ac:dyDescent="0.25">
      <c r="A794" s="19" t="s">
        <v>1692</v>
      </c>
      <c r="B794" s="19" t="s">
        <v>1685</v>
      </c>
      <c r="C794" s="19" t="s">
        <v>1686</v>
      </c>
      <c r="D794" s="19">
        <v>1.5782818371607501</v>
      </c>
      <c r="E794" s="19" t="s">
        <v>61</v>
      </c>
      <c r="F794" s="19" t="s">
        <v>62</v>
      </c>
      <c r="G794" s="19" t="s">
        <v>32</v>
      </c>
      <c r="H794" s="19" t="s">
        <v>63</v>
      </c>
      <c r="I794" s="19" t="s">
        <v>64</v>
      </c>
      <c r="J794" s="19">
        <v>22</v>
      </c>
      <c r="K794" s="19">
        <v>1.8599999999999998E-2</v>
      </c>
      <c r="L794" s="19" t="s">
        <v>541</v>
      </c>
      <c r="M794" s="19" t="s">
        <v>541</v>
      </c>
      <c r="N794" s="19">
        <v>50</v>
      </c>
      <c r="O794" s="19">
        <v>84.853862212899998</v>
      </c>
      <c r="P794" s="19">
        <v>77.453027139900001</v>
      </c>
      <c r="Q794" s="19">
        <v>38.7265135699</v>
      </c>
      <c r="R794" s="19" t="s">
        <v>870</v>
      </c>
      <c r="S794" s="19">
        <v>0.9</v>
      </c>
      <c r="T794" s="19">
        <v>0.9</v>
      </c>
      <c r="U794" s="19">
        <v>34.853862212899998</v>
      </c>
      <c r="AA794" s="19">
        <v>0</v>
      </c>
    </row>
    <row r="795" spans="1:27" x14ac:dyDescent="0.25">
      <c r="A795" s="19" t="s">
        <v>1693</v>
      </c>
      <c r="B795" s="19" t="s">
        <v>1685</v>
      </c>
      <c r="C795" s="19" t="s">
        <v>1686</v>
      </c>
      <c r="D795" s="19">
        <v>1.69186221294363</v>
      </c>
      <c r="E795" s="19" t="s">
        <v>66</v>
      </c>
      <c r="F795" s="19" t="s">
        <v>67</v>
      </c>
      <c r="G795" s="19" t="s">
        <v>32</v>
      </c>
      <c r="H795" s="19" t="s">
        <v>63</v>
      </c>
      <c r="I795" s="19" t="s">
        <v>64</v>
      </c>
      <c r="J795" s="19">
        <v>20</v>
      </c>
      <c r="K795" s="19">
        <v>1.8599999999999998E-2</v>
      </c>
      <c r="L795" s="19" t="s">
        <v>541</v>
      </c>
      <c r="M795" s="19" t="s">
        <v>541</v>
      </c>
      <c r="N795" s="19">
        <v>50</v>
      </c>
      <c r="O795" s="19">
        <v>90.960334029199998</v>
      </c>
      <c r="P795" s="19">
        <v>91.022964509399998</v>
      </c>
      <c r="Q795" s="19">
        <v>45.511482254699999</v>
      </c>
      <c r="R795" s="19" t="s">
        <v>870</v>
      </c>
      <c r="S795" s="19">
        <v>0.9</v>
      </c>
      <c r="T795" s="19">
        <v>0.9</v>
      </c>
      <c r="U795" s="19">
        <v>40.960334029199998</v>
      </c>
      <c r="AA795" s="19">
        <v>0</v>
      </c>
    </row>
    <row r="796" spans="1:27" x14ac:dyDescent="0.25">
      <c r="A796" s="19" t="s">
        <v>1694</v>
      </c>
      <c r="B796" s="19" t="s">
        <v>1685</v>
      </c>
      <c r="C796" s="19" t="s">
        <v>1686</v>
      </c>
      <c r="D796" s="19">
        <v>1.3109311064718101</v>
      </c>
      <c r="E796" s="19" t="s">
        <v>69</v>
      </c>
      <c r="F796" s="19" t="s">
        <v>70</v>
      </c>
      <c r="G796" s="19" t="s">
        <v>32</v>
      </c>
      <c r="H796" s="19" t="s">
        <v>63</v>
      </c>
      <c r="I796" s="19" t="s">
        <v>64</v>
      </c>
      <c r="J796" s="19">
        <v>23</v>
      </c>
      <c r="K796" s="19">
        <v>1.8599999999999998E-2</v>
      </c>
      <c r="L796" s="19" t="s">
        <v>541</v>
      </c>
      <c r="M796" s="19" t="s">
        <v>541</v>
      </c>
      <c r="N796" s="19">
        <v>50</v>
      </c>
      <c r="O796" s="19">
        <v>70.480167014599999</v>
      </c>
      <c r="P796" s="19">
        <v>45.511482254699999</v>
      </c>
      <c r="Q796" s="19">
        <v>22.755741127299999</v>
      </c>
      <c r="R796" s="19" t="s">
        <v>870</v>
      </c>
      <c r="S796" s="19">
        <v>0.9</v>
      </c>
      <c r="T796" s="19">
        <v>0.9</v>
      </c>
      <c r="U796" s="19">
        <v>20.480167014599999</v>
      </c>
      <c r="AA796" s="19">
        <v>0</v>
      </c>
    </row>
    <row r="797" spans="1:27" x14ac:dyDescent="0.25">
      <c r="A797" s="19" t="s">
        <v>1695</v>
      </c>
      <c r="B797" s="19" t="s">
        <v>1685</v>
      </c>
      <c r="C797" s="19" t="s">
        <v>1686</v>
      </c>
      <c r="D797" s="19">
        <v>1.7669999999999999</v>
      </c>
      <c r="E797" s="19" t="s">
        <v>72</v>
      </c>
      <c r="F797" s="19" t="s">
        <v>73</v>
      </c>
      <c r="G797" s="19" t="s">
        <v>32</v>
      </c>
      <c r="H797" s="19" t="s">
        <v>63</v>
      </c>
      <c r="I797" s="19" t="s">
        <v>64</v>
      </c>
      <c r="J797" s="19">
        <v>21</v>
      </c>
      <c r="K797" s="19">
        <v>1.8599999999999998E-2</v>
      </c>
      <c r="L797" s="19" t="s">
        <v>541</v>
      </c>
      <c r="M797" s="19" t="s">
        <v>541</v>
      </c>
      <c r="N797" s="19">
        <v>50</v>
      </c>
      <c r="O797" s="19">
        <v>95</v>
      </c>
      <c r="P797" s="19">
        <v>100</v>
      </c>
      <c r="Q797" s="19">
        <v>50</v>
      </c>
      <c r="R797" s="19" t="s">
        <v>870</v>
      </c>
      <c r="S797" s="19">
        <v>0.9</v>
      </c>
      <c r="T797" s="19">
        <v>0.9</v>
      </c>
      <c r="U797" s="19">
        <v>45</v>
      </c>
      <c r="AA797" s="19">
        <v>0</v>
      </c>
    </row>
    <row r="798" spans="1:27" x14ac:dyDescent="0.25">
      <c r="A798" s="19" t="s">
        <v>1696</v>
      </c>
      <c r="B798" s="19" t="s">
        <v>1685</v>
      </c>
      <c r="C798" s="19" t="s">
        <v>1686</v>
      </c>
      <c r="D798" s="19">
        <v>1.2882150313152301</v>
      </c>
      <c r="E798" s="19" t="s">
        <v>75</v>
      </c>
      <c r="F798" s="19" t="s">
        <v>76</v>
      </c>
      <c r="G798" s="19" t="s">
        <v>32</v>
      </c>
      <c r="H798" s="19" t="s">
        <v>63</v>
      </c>
      <c r="I798" s="19" t="s">
        <v>64</v>
      </c>
      <c r="J798" s="19">
        <v>24</v>
      </c>
      <c r="K798" s="19">
        <v>1.8599999999999998E-2</v>
      </c>
      <c r="L798" s="19" t="s">
        <v>541</v>
      </c>
      <c r="M798" s="19" t="s">
        <v>541</v>
      </c>
      <c r="N798" s="19">
        <v>50</v>
      </c>
      <c r="O798" s="19">
        <v>69.258872651399997</v>
      </c>
      <c r="P798" s="19">
        <v>42.797494780800001</v>
      </c>
      <c r="Q798" s="19">
        <v>21.398747390400001</v>
      </c>
      <c r="R798" s="19" t="s">
        <v>870</v>
      </c>
      <c r="S798" s="19">
        <v>0.9</v>
      </c>
      <c r="T798" s="19">
        <v>0.9</v>
      </c>
      <c r="U798" s="19">
        <v>19.258872651400001</v>
      </c>
      <c r="AA798" s="19">
        <v>0</v>
      </c>
    </row>
    <row r="799" spans="1:27" x14ac:dyDescent="0.25">
      <c r="A799" s="19" t="s">
        <v>1697</v>
      </c>
      <c r="B799" s="19" t="s">
        <v>1685</v>
      </c>
      <c r="C799" s="19" t="s">
        <v>1686</v>
      </c>
      <c r="D799" s="19">
        <v>1.7669999999999999</v>
      </c>
      <c r="E799" s="19" t="s">
        <v>82</v>
      </c>
      <c r="F799" s="19" t="s">
        <v>83</v>
      </c>
      <c r="G799" s="19" t="s">
        <v>32</v>
      </c>
      <c r="H799" s="19" t="s">
        <v>63</v>
      </c>
      <c r="I799" s="19" t="s">
        <v>64</v>
      </c>
      <c r="J799" s="19">
        <v>26</v>
      </c>
      <c r="K799" s="19">
        <v>1.8599999999999998E-2</v>
      </c>
      <c r="L799" s="19" t="s">
        <v>541</v>
      </c>
      <c r="M799" s="19" t="s">
        <v>541</v>
      </c>
      <c r="N799" s="19">
        <v>50</v>
      </c>
      <c r="O799" s="19">
        <v>95</v>
      </c>
      <c r="P799" s="19">
        <v>100</v>
      </c>
      <c r="Q799" s="19">
        <v>50</v>
      </c>
      <c r="R799" s="19" t="s">
        <v>870</v>
      </c>
      <c r="S799" s="19">
        <v>0.9</v>
      </c>
      <c r="T799" s="19">
        <v>0.9</v>
      </c>
      <c r="U799" s="19">
        <v>45</v>
      </c>
      <c r="AA799" s="19">
        <v>0</v>
      </c>
    </row>
    <row r="800" spans="1:27" x14ac:dyDescent="0.25">
      <c r="A800" s="19" t="s">
        <v>1698</v>
      </c>
      <c r="B800" s="19" t="s">
        <v>1685</v>
      </c>
      <c r="C800" s="19" t="s">
        <v>1686</v>
      </c>
      <c r="D800" s="19">
        <v>2.9562108559498901</v>
      </c>
      <c r="E800" s="19" t="s">
        <v>85</v>
      </c>
      <c r="F800" s="19" t="s">
        <v>86</v>
      </c>
      <c r="G800" s="19" t="s">
        <v>32</v>
      </c>
      <c r="H800" s="19" t="s">
        <v>87</v>
      </c>
      <c r="I800" s="19" t="s">
        <v>88</v>
      </c>
      <c r="J800" s="19">
        <v>35</v>
      </c>
      <c r="K800" s="19">
        <v>3.2500000000000001E-2</v>
      </c>
      <c r="L800" s="19" t="s">
        <v>541</v>
      </c>
      <c r="M800" s="19" t="s">
        <v>541</v>
      </c>
      <c r="N800" s="19">
        <v>50</v>
      </c>
      <c r="O800" s="19">
        <v>90.960334029199998</v>
      </c>
      <c r="P800" s="19">
        <v>91.022964509399998</v>
      </c>
      <c r="Q800" s="19">
        <v>45.511482254699999</v>
      </c>
      <c r="R800" s="19" t="s">
        <v>870</v>
      </c>
      <c r="S800" s="19">
        <v>0.9</v>
      </c>
      <c r="T800" s="19">
        <v>0.9</v>
      </c>
      <c r="U800" s="19">
        <v>40.960334029199998</v>
      </c>
      <c r="AA800" s="19">
        <v>0</v>
      </c>
    </row>
    <row r="801" spans="1:27" x14ac:dyDescent="0.25">
      <c r="A801" s="19" t="s">
        <v>1699</v>
      </c>
      <c r="B801" s="19" t="s">
        <v>1685</v>
      </c>
      <c r="C801" s="19" t="s">
        <v>1686</v>
      </c>
      <c r="D801" s="19">
        <v>1.7562891440501001</v>
      </c>
      <c r="E801" s="19" t="s">
        <v>93</v>
      </c>
      <c r="F801" s="19" t="s">
        <v>94</v>
      </c>
      <c r="G801" s="19" t="s">
        <v>32</v>
      </c>
      <c r="H801" s="19" t="s">
        <v>87</v>
      </c>
      <c r="I801" s="19" t="s">
        <v>88</v>
      </c>
      <c r="J801" s="19">
        <v>34</v>
      </c>
      <c r="K801" s="19">
        <v>3.2500000000000001E-2</v>
      </c>
      <c r="L801" s="19" t="s">
        <v>541</v>
      </c>
      <c r="M801" s="19" t="s">
        <v>541</v>
      </c>
      <c r="N801" s="19">
        <v>50</v>
      </c>
      <c r="O801" s="19">
        <v>54.039665970800002</v>
      </c>
      <c r="P801" s="19">
        <v>8.9770354906099996</v>
      </c>
      <c r="Q801" s="19">
        <v>4.4885177453000003</v>
      </c>
      <c r="R801" s="19" t="s">
        <v>870</v>
      </c>
      <c r="S801" s="19">
        <v>0.9</v>
      </c>
      <c r="T801" s="19">
        <v>0.9</v>
      </c>
      <c r="U801" s="19">
        <v>4.0396659707699998</v>
      </c>
      <c r="AA801" s="19">
        <v>0</v>
      </c>
    </row>
    <row r="802" spans="1:27" x14ac:dyDescent="0.25">
      <c r="A802" s="19" t="s">
        <v>1705</v>
      </c>
      <c r="B802" s="19" t="s">
        <v>1685</v>
      </c>
      <c r="C802" s="19" t="s">
        <v>1686</v>
      </c>
      <c r="D802" s="19">
        <v>2.5</v>
      </c>
      <c r="E802" s="19" t="s">
        <v>149</v>
      </c>
      <c r="F802" s="19" t="s">
        <v>150</v>
      </c>
      <c r="G802" s="19" t="s">
        <v>134</v>
      </c>
      <c r="H802" s="19" t="s">
        <v>146</v>
      </c>
      <c r="I802" s="19" t="s">
        <v>147</v>
      </c>
      <c r="J802" s="19">
        <v>5</v>
      </c>
      <c r="K802" s="19">
        <v>2.5000000000000001E-2</v>
      </c>
      <c r="L802" s="19" t="s">
        <v>541</v>
      </c>
      <c r="M802" s="19" t="s">
        <v>541</v>
      </c>
      <c r="N802" s="19">
        <v>50</v>
      </c>
      <c r="O802" s="19">
        <v>100</v>
      </c>
      <c r="P802" s="19">
        <v>100</v>
      </c>
      <c r="Q802" s="19">
        <v>50</v>
      </c>
      <c r="R802" s="19" t="s">
        <v>870</v>
      </c>
      <c r="S802" s="19">
        <v>0.9</v>
      </c>
      <c r="T802" s="19">
        <v>1</v>
      </c>
      <c r="U802" s="19">
        <v>50</v>
      </c>
      <c r="AA802" s="19">
        <v>0</v>
      </c>
    </row>
    <row r="803" spans="1:27" x14ac:dyDescent="0.25">
      <c r="A803" s="19" t="s">
        <v>1708</v>
      </c>
      <c r="B803" s="19" t="s">
        <v>1685</v>
      </c>
      <c r="C803" s="19" t="s">
        <v>1686</v>
      </c>
      <c r="D803" s="19">
        <v>0.54327899999999996</v>
      </c>
      <c r="E803" s="19" t="s">
        <v>38</v>
      </c>
      <c r="F803" s="19" t="s">
        <v>39</v>
      </c>
      <c r="G803" s="19" t="s">
        <v>32</v>
      </c>
      <c r="H803" s="19" t="s">
        <v>33</v>
      </c>
      <c r="I803" s="19" t="s">
        <v>34</v>
      </c>
      <c r="J803" s="19">
        <v>19</v>
      </c>
      <c r="K803" s="19">
        <v>1.6299999999999999E-2</v>
      </c>
      <c r="L803" s="19" t="s">
        <v>35</v>
      </c>
      <c r="M803" s="19" t="s">
        <v>40</v>
      </c>
      <c r="N803" s="19">
        <v>33.33</v>
      </c>
      <c r="O803" s="19">
        <v>33.33</v>
      </c>
      <c r="P803" s="19">
        <v>0</v>
      </c>
      <c r="Q803" s="19">
        <v>0</v>
      </c>
      <c r="R803" s="19" t="s">
        <v>870</v>
      </c>
      <c r="S803" s="19">
        <v>0.9</v>
      </c>
      <c r="T803" s="19">
        <v>1</v>
      </c>
      <c r="U803" s="19">
        <v>0</v>
      </c>
      <c r="V803" s="19" t="s">
        <v>41</v>
      </c>
      <c r="W803" s="19">
        <v>1</v>
      </c>
      <c r="Y803" s="19" t="s">
        <v>40</v>
      </c>
      <c r="Z803" s="19">
        <v>33.33</v>
      </c>
      <c r="AA803" s="19">
        <v>33.33</v>
      </c>
    </row>
    <row r="804" spans="1:27" x14ac:dyDescent="0.25">
      <c r="A804" s="19" t="s">
        <v>1709</v>
      </c>
      <c r="B804" s="19" t="s">
        <v>1685</v>
      </c>
      <c r="C804" s="19" t="s">
        <v>1686</v>
      </c>
      <c r="D804" s="19">
        <v>0</v>
      </c>
      <c r="E804" s="19" t="s">
        <v>43</v>
      </c>
      <c r="F804" s="19" t="s">
        <v>44</v>
      </c>
      <c r="G804" s="19" t="s">
        <v>32</v>
      </c>
      <c r="H804" s="19" t="s">
        <v>33</v>
      </c>
      <c r="I804" s="19" t="s">
        <v>34</v>
      </c>
      <c r="J804" s="19">
        <v>18</v>
      </c>
      <c r="K804" s="19">
        <v>1.6299999999999999E-2</v>
      </c>
      <c r="L804" s="19" t="s">
        <v>35</v>
      </c>
      <c r="N804" s="19">
        <v>0</v>
      </c>
      <c r="O804" s="19">
        <v>0</v>
      </c>
      <c r="P804" s="19">
        <v>0</v>
      </c>
      <c r="Q804" s="19">
        <v>0</v>
      </c>
      <c r="R804" s="19" t="s">
        <v>870</v>
      </c>
      <c r="S804" s="19">
        <v>0.9</v>
      </c>
      <c r="T804" s="19">
        <v>1</v>
      </c>
      <c r="U804" s="19">
        <v>0</v>
      </c>
      <c r="V804" s="19" t="s">
        <v>36</v>
      </c>
      <c r="W804" s="19">
        <v>0</v>
      </c>
      <c r="Z804" s="19">
        <v>0</v>
      </c>
      <c r="AA804" s="19">
        <v>0</v>
      </c>
    </row>
    <row r="805" spans="1:27" x14ac:dyDescent="0.25">
      <c r="A805" s="19" t="s">
        <v>1710</v>
      </c>
      <c r="B805" s="19" t="s">
        <v>1685</v>
      </c>
      <c r="C805" s="19" t="s">
        <v>1686</v>
      </c>
      <c r="D805" s="19">
        <v>1.25</v>
      </c>
      <c r="E805" s="19" t="s">
        <v>158</v>
      </c>
      <c r="F805" s="19" t="s">
        <v>159</v>
      </c>
      <c r="G805" s="19" t="s">
        <v>134</v>
      </c>
      <c r="H805" s="19" t="s">
        <v>146</v>
      </c>
      <c r="I805" s="19" t="s">
        <v>147</v>
      </c>
      <c r="J805" s="19">
        <v>8</v>
      </c>
      <c r="K805" s="19">
        <v>2.5000000000000001E-2</v>
      </c>
      <c r="L805" s="19" t="s">
        <v>35</v>
      </c>
      <c r="M805" s="19" t="s">
        <v>103</v>
      </c>
      <c r="N805" s="19">
        <v>50</v>
      </c>
      <c r="O805" s="19">
        <v>50</v>
      </c>
      <c r="P805" s="19">
        <v>0</v>
      </c>
      <c r="Q805" s="19">
        <v>0</v>
      </c>
      <c r="R805" s="19" t="s">
        <v>870</v>
      </c>
      <c r="S805" s="19">
        <v>0.9</v>
      </c>
      <c r="T805" s="19">
        <v>1</v>
      </c>
      <c r="U805" s="19">
        <v>0</v>
      </c>
      <c r="V805" s="19" t="s">
        <v>41</v>
      </c>
      <c r="W805" s="19">
        <v>1</v>
      </c>
      <c r="Y805" s="19" t="s">
        <v>103</v>
      </c>
      <c r="Z805" s="19">
        <v>50</v>
      </c>
      <c r="AA805" s="19">
        <v>50</v>
      </c>
    </row>
    <row r="806" spans="1:27" x14ac:dyDescent="0.25">
      <c r="A806" s="19" t="s">
        <v>1711</v>
      </c>
      <c r="B806" s="19" t="s">
        <v>1685</v>
      </c>
      <c r="C806" s="19" t="s">
        <v>1686</v>
      </c>
      <c r="D806" s="19">
        <v>0</v>
      </c>
      <c r="E806" s="19" t="s">
        <v>78</v>
      </c>
      <c r="F806" s="19" t="s">
        <v>79</v>
      </c>
      <c r="G806" s="19" t="s">
        <v>32</v>
      </c>
      <c r="H806" s="19" t="s">
        <v>63</v>
      </c>
      <c r="I806" s="19" t="s">
        <v>64</v>
      </c>
      <c r="J806" s="19">
        <v>25</v>
      </c>
      <c r="K806" s="19">
        <v>1.8599999999999998E-2</v>
      </c>
      <c r="L806" s="19" t="s">
        <v>35</v>
      </c>
      <c r="N806" s="19">
        <v>0</v>
      </c>
      <c r="O806" s="19">
        <v>0</v>
      </c>
      <c r="P806" s="19">
        <v>0</v>
      </c>
      <c r="Q806" s="19">
        <v>0</v>
      </c>
      <c r="R806" s="19" t="s">
        <v>870</v>
      </c>
      <c r="S806" s="19">
        <v>0.9</v>
      </c>
      <c r="T806" s="19">
        <v>1</v>
      </c>
      <c r="U806" s="19">
        <v>0</v>
      </c>
      <c r="V806" s="19" t="s">
        <v>36</v>
      </c>
      <c r="W806" s="19">
        <v>0</v>
      </c>
      <c r="Z806" s="19">
        <v>0</v>
      </c>
      <c r="AA806" s="19">
        <v>0</v>
      </c>
    </row>
    <row r="807" spans="1:27" x14ac:dyDescent="0.25">
      <c r="A807" s="19" t="s">
        <v>1712</v>
      </c>
      <c r="B807" s="19" t="s">
        <v>1685</v>
      </c>
      <c r="C807" s="19" t="s">
        <v>1686</v>
      </c>
      <c r="D807" s="19">
        <v>0</v>
      </c>
      <c r="E807" s="19" t="s">
        <v>90</v>
      </c>
      <c r="F807" s="19" t="s">
        <v>91</v>
      </c>
      <c r="G807" s="19" t="s">
        <v>32</v>
      </c>
      <c r="H807" s="19" t="s">
        <v>87</v>
      </c>
      <c r="I807" s="19" t="s">
        <v>88</v>
      </c>
      <c r="J807" s="19">
        <v>33</v>
      </c>
      <c r="K807" s="19">
        <v>3.2500000000000001E-2</v>
      </c>
      <c r="L807" s="19" t="s">
        <v>35</v>
      </c>
      <c r="N807" s="19">
        <v>0</v>
      </c>
      <c r="O807" s="19">
        <v>0</v>
      </c>
      <c r="P807" s="19">
        <v>0</v>
      </c>
      <c r="Q807" s="19">
        <v>0</v>
      </c>
      <c r="R807" s="19" t="s">
        <v>870</v>
      </c>
      <c r="S807" s="19">
        <v>0.9</v>
      </c>
      <c r="T807" s="19">
        <v>1</v>
      </c>
      <c r="U807" s="19">
        <v>0</v>
      </c>
      <c r="V807" s="19" t="s">
        <v>36</v>
      </c>
      <c r="W807" s="19">
        <v>0</v>
      </c>
      <c r="Z807" s="19">
        <v>0</v>
      </c>
      <c r="AA807" s="19">
        <v>0</v>
      </c>
    </row>
    <row r="808" spans="1:27" x14ac:dyDescent="0.25">
      <c r="A808" s="19" t="s">
        <v>1713</v>
      </c>
      <c r="B808" s="19" t="s">
        <v>1685</v>
      </c>
      <c r="C808" s="19" t="s">
        <v>1686</v>
      </c>
      <c r="D808" s="19">
        <v>0</v>
      </c>
      <c r="E808" s="19" t="s">
        <v>96</v>
      </c>
      <c r="F808" s="19" t="s">
        <v>97</v>
      </c>
      <c r="G808" s="19" t="s">
        <v>32</v>
      </c>
      <c r="H808" s="19" t="s">
        <v>87</v>
      </c>
      <c r="I808" s="19" t="s">
        <v>88</v>
      </c>
      <c r="J808" s="19">
        <v>36</v>
      </c>
      <c r="K808" s="19">
        <v>3.2500000000000001E-2</v>
      </c>
      <c r="L808" s="19" t="s">
        <v>35</v>
      </c>
      <c r="N808" s="19">
        <v>0</v>
      </c>
      <c r="O808" s="19">
        <v>0</v>
      </c>
      <c r="P808" s="19">
        <v>0</v>
      </c>
      <c r="Q808" s="19">
        <v>0</v>
      </c>
      <c r="R808" s="19" t="s">
        <v>870</v>
      </c>
      <c r="S808" s="19">
        <v>0.9</v>
      </c>
      <c r="T808" s="19">
        <v>1</v>
      </c>
      <c r="U808" s="19">
        <v>0</v>
      </c>
      <c r="V808" s="19" t="s">
        <v>36</v>
      </c>
      <c r="W808" s="19">
        <v>0</v>
      </c>
      <c r="Z808" s="19">
        <v>0</v>
      </c>
      <c r="AA808" s="19">
        <v>0</v>
      </c>
    </row>
    <row r="809" spans="1:27" x14ac:dyDescent="0.25">
      <c r="A809" s="19" t="s">
        <v>1714</v>
      </c>
      <c r="B809" s="19" t="s">
        <v>1685</v>
      </c>
      <c r="C809" s="19" t="s">
        <v>1686</v>
      </c>
      <c r="D809" s="19">
        <v>0</v>
      </c>
      <c r="E809" s="19" t="s">
        <v>99</v>
      </c>
      <c r="F809" s="19" t="s">
        <v>100</v>
      </c>
      <c r="G809" s="19" t="s">
        <v>32</v>
      </c>
      <c r="H809" s="19" t="s">
        <v>101</v>
      </c>
      <c r="I809" s="19" t="s">
        <v>102</v>
      </c>
      <c r="J809" s="19">
        <v>39</v>
      </c>
      <c r="K809" s="19">
        <v>4.3299999999999998E-2</v>
      </c>
      <c r="L809" s="19" t="s">
        <v>35</v>
      </c>
      <c r="M809" s="19" t="s">
        <v>103</v>
      </c>
      <c r="N809" s="19">
        <v>0</v>
      </c>
      <c r="O809" s="19">
        <v>0</v>
      </c>
      <c r="P809" s="19">
        <v>0</v>
      </c>
      <c r="Q809" s="19">
        <v>0</v>
      </c>
      <c r="R809" s="19" t="s">
        <v>870</v>
      </c>
      <c r="S809" s="19">
        <v>0.9</v>
      </c>
      <c r="T809" s="19">
        <v>1</v>
      </c>
      <c r="U809" s="19">
        <v>0</v>
      </c>
      <c r="V809" s="19" t="s">
        <v>36</v>
      </c>
      <c r="W809" s="19">
        <v>0</v>
      </c>
      <c r="Y809" s="19" t="s">
        <v>103</v>
      </c>
      <c r="Z809" s="19">
        <v>50</v>
      </c>
      <c r="AA809" s="19">
        <v>0</v>
      </c>
    </row>
    <row r="810" spans="1:27" x14ac:dyDescent="0.25">
      <c r="A810" s="19" t="s">
        <v>1715</v>
      </c>
      <c r="B810" s="19" t="s">
        <v>1685</v>
      </c>
      <c r="C810" s="19" t="s">
        <v>1686</v>
      </c>
      <c r="D810" s="19">
        <v>2.165</v>
      </c>
      <c r="E810" s="19" t="s">
        <v>105</v>
      </c>
      <c r="F810" s="19" t="s">
        <v>106</v>
      </c>
      <c r="G810" s="19" t="s">
        <v>32</v>
      </c>
      <c r="H810" s="19" t="s">
        <v>101</v>
      </c>
      <c r="I810" s="19" t="s">
        <v>102</v>
      </c>
      <c r="J810" s="19">
        <v>38</v>
      </c>
      <c r="K810" s="19">
        <v>4.3299999999999998E-2</v>
      </c>
      <c r="L810" s="19" t="s">
        <v>35</v>
      </c>
      <c r="M810" s="19" t="s">
        <v>103</v>
      </c>
      <c r="N810" s="19">
        <v>50</v>
      </c>
      <c r="O810" s="19">
        <v>50</v>
      </c>
      <c r="P810" s="19">
        <v>0</v>
      </c>
      <c r="Q810" s="19">
        <v>0</v>
      </c>
      <c r="R810" s="19" t="s">
        <v>870</v>
      </c>
      <c r="S810" s="19">
        <v>0.9</v>
      </c>
      <c r="T810" s="19">
        <v>1</v>
      </c>
      <c r="U810" s="19">
        <v>0</v>
      </c>
      <c r="V810" s="19" t="s">
        <v>41</v>
      </c>
      <c r="W810" s="19">
        <v>1</v>
      </c>
      <c r="Y810" s="19" t="s">
        <v>103</v>
      </c>
      <c r="Z810" s="19">
        <v>50</v>
      </c>
      <c r="AA810" s="19">
        <v>50</v>
      </c>
    </row>
    <row r="811" spans="1:27" x14ac:dyDescent="0.25">
      <c r="A811" s="19" t="s">
        <v>1716</v>
      </c>
      <c r="B811" s="19" t="s">
        <v>1685</v>
      </c>
      <c r="C811" s="19" t="s">
        <v>1686</v>
      </c>
      <c r="D811" s="19">
        <v>0</v>
      </c>
      <c r="E811" s="19" t="s">
        <v>108</v>
      </c>
      <c r="F811" s="19" t="s">
        <v>109</v>
      </c>
      <c r="G811" s="19" t="s">
        <v>32</v>
      </c>
      <c r="H811" s="19" t="s">
        <v>101</v>
      </c>
      <c r="I811" s="19" t="s">
        <v>102</v>
      </c>
      <c r="J811" s="19">
        <v>37</v>
      </c>
      <c r="K811" s="19">
        <v>4.3299999999999998E-2</v>
      </c>
      <c r="L811" s="19" t="s">
        <v>35</v>
      </c>
      <c r="N811" s="19">
        <v>0</v>
      </c>
      <c r="O811" s="19">
        <v>0</v>
      </c>
      <c r="P811" s="19">
        <v>0</v>
      </c>
      <c r="Q811" s="19">
        <v>0</v>
      </c>
      <c r="R811" s="19" t="s">
        <v>870</v>
      </c>
      <c r="S811" s="19">
        <v>0.9</v>
      </c>
      <c r="T811" s="19">
        <v>1</v>
      </c>
      <c r="U811" s="19">
        <v>0</v>
      </c>
      <c r="V811" s="19" t="s">
        <v>36</v>
      </c>
      <c r="W811" s="19">
        <v>0</v>
      </c>
      <c r="Z811" s="19">
        <v>0</v>
      </c>
      <c r="AA811" s="19">
        <v>0</v>
      </c>
    </row>
    <row r="812" spans="1:27" x14ac:dyDescent="0.25">
      <c r="A812" s="19" t="s">
        <v>1717</v>
      </c>
      <c r="B812" s="19" t="s">
        <v>1685</v>
      </c>
      <c r="C812" s="19" t="s">
        <v>1686</v>
      </c>
      <c r="D812" s="19">
        <v>0</v>
      </c>
      <c r="E812" s="19" t="s">
        <v>112</v>
      </c>
      <c r="F812" s="19" t="s">
        <v>113</v>
      </c>
      <c r="G812" s="19" t="s">
        <v>32</v>
      </c>
      <c r="H812" s="19" t="s">
        <v>114</v>
      </c>
      <c r="I812" s="19" t="s">
        <v>115</v>
      </c>
      <c r="J812" s="19">
        <v>30</v>
      </c>
      <c r="K812" s="19">
        <v>2.1700000000000001E-2</v>
      </c>
      <c r="L812" s="19" t="s">
        <v>35</v>
      </c>
      <c r="M812" s="19" t="s">
        <v>103</v>
      </c>
      <c r="N812" s="19">
        <v>0</v>
      </c>
      <c r="O812" s="19">
        <v>0</v>
      </c>
      <c r="P812" s="19">
        <v>0</v>
      </c>
      <c r="Q812" s="19">
        <v>0</v>
      </c>
      <c r="R812" s="19" t="s">
        <v>870</v>
      </c>
      <c r="S812" s="19">
        <v>0.9</v>
      </c>
      <c r="T812" s="19">
        <v>1</v>
      </c>
      <c r="U812" s="19">
        <v>0</v>
      </c>
      <c r="V812" s="19" t="s">
        <v>36</v>
      </c>
      <c r="W812" s="19">
        <v>0</v>
      </c>
      <c r="Y812" s="19" t="s">
        <v>103</v>
      </c>
      <c r="Z812" s="19">
        <v>50</v>
      </c>
      <c r="AA812" s="19">
        <v>0</v>
      </c>
    </row>
    <row r="813" spans="1:27" x14ac:dyDescent="0.25">
      <c r="A813" s="19" t="s">
        <v>1718</v>
      </c>
      <c r="B813" s="19" t="s">
        <v>1685</v>
      </c>
      <c r="C813" s="19" t="s">
        <v>1686</v>
      </c>
      <c r="D813" s="19">
        <v>1.085</v>
      </c>
      <c r="E813" s="19" t="s">
        <v>117</v>
      </c>
      <c r="F813" s="19" t="s">
        <v>118</v>
      </c>
      <c r="G813" s="19" t="s">
        <v>32</v>
      </c>
      <c r="H813" s="19" t="s">
        <v>114</v>
      </c>
      <c r="I813" s="19" t="s">
        <v>115</v>
      </c>
      <c r="J813" s="19">
        <v>31</v>
      </c>
      <c r="K813" s="19">
        <v>2.1700000000000001E-2</v>
      </c>
      <c r="L813" s="19" t="s">
        <v>35</v>
      </c>
      <c r="M813" s="19" t="s">
        <v>103</v>
      </c>
      <c r="N813" s="19">
        <v>50</v>
      </c>
      <c r="O813" s="19">
        <v>50</v>
      </c>
      <c r="P813" s="19">
        <v>0</v>
      </c>
      <c r="Q813" s="19">
        <v>0</v>
      </c>
      <c r="R813" s="19" t="s">
        <v>870</v>
      </c>
      <c r="S813" s="19">
        <v>0.9</v>
      </c>
      <c r="T813" s="19">
        <v>1</v>
      </c>
      <c r="U813" s="19">
        <v>0</v>
      </c>
      <c r="V813" s="19" t="s">
        <v>41</v>
      </c>
      <c r="W813" s="19">
        <v>1</v>
      </c>
      <c r="Y813" s="19" t="s">
        <v>103</v>
      </c>
      <c r="Z813" s="19">
        <v>50</v>
      </c>
      <c r="AA813" s="19">
        <v>50</v>
      </c>
    </row>
    <row r="814" spans="1:27" x14ac:dyDescent="0.25">
      <c r="A814" s="19" t="s">
        <v>1719</v>
      </c>
      <c r="B814" s="19" t="s">
        <v>1685</v>
      </c>
      <c r="C814" s="19" t="s">
        <v>1686</v>
      </c>
      <c r="D814" s="19">
        <v>1.085</v>
      </c>
      <c r="E814" s="19" t="s">
        <v>120</v>
      </c>
      <c r="F814" s="19" t="s">
        <v>121</v>
      </c>
      <c r="G814" s="19" t="s">
        <v>32</v>
      </c>
      <c r="H814" s="19" t="s">
        <v>114</v>
      </c>
      <c r="I814" s="19" t="s">
        <v>115</v>
      </c>
      <c r="J814" s="19">
        <v>28</v>
      </c>
      <c r="K814" s="19">
        <v>2.1700000000000001E-2</v>
      </c>
      <c r="L814" s="19" t="s">
        <v>35</v>
      </c>
      <c r="M814" s="19" t="s">
        <v>103</v>
      </c>
      <c r="N814" s="19">
        <v>50</v>
      </c>
      <c r="O814" s="19">
        <v>50</v>
      </c>
      <c r="P814" s="19">
        <v>0</v>
      </c>
      <c r="Q814" s="19">
        <v>0</v>
      </c>
      <c r="R814" s="19" t="s">
        <v>870</v>
      </c>
      <c r="S814" s="19">
        <v>0.9</v>
      </c>
      <c r="T814" s="19">
        <v>1</v>
      </c>
      <c r="U814" s="19">
        <v>0</v>
      </c>
      <c r="V814" s="19" t="s">
        <v>41</v>
      </c>
      <c r="W814" s="19">
        <v>1</v>
      </c>
      <c r="Y814" s="19" t="s">
        <v>103</v>
      </c>
      <c r="Z814" s="19">
        <v>50</v>
      </c>
      <c r="AA814" s="19">
        <v>50</v>
      </c>
    </row>
    <row r="815" spans="1:27" x14ac:dyDescent="0.25">
      <c r="A815" s="19" t="s">
        <v>1720</v>
      </c>
      <c r="B815" s="19" t="s">
        <v>1685</v>
      </c>
      <c r="C815" s="19" t="s">
        <v>1686</v>
      </c>
      <c r="D815" s="19">
        <v>0</v>
      </c>
      <c r="E815" s="19" t="s">
        <v>123</v>
      </c>
      <c r="F815" s="19" t="s">
        <v>124</v>
      </c>
      <c r="G815" s="19" t="s">
        <v>32</v>
      </c>
      <c r="H815" s="19" t="s">
        <v>114</v>
      </c>
      <c r="I815" s="19" t="s">
        <v>115</v>
      </c>
      <c r="J815" s="19">
        <v>27</v>
      </c>
      <c r="K815" s="19">
        <v>2.1700000000000001E-2</v>
      </c>
      <c r="L815" s="19" t="s">
        <v>35</v>
      </c>
      <c r="M815" s="19" t="s">
        <v>103</v>
      </c>
      <c r="N815" s="19">
        <v>0</v>
      </c>
      <c r="O815" s="19">
        <v>0</v>
      </c>
      <c r="P815" s="19">
        <v>0</v>
      </c>
      <c r="Q815" s="19">
        <v>0</v>
      </c>
      <c r="R815" s="19" t="s">
        <v>870</v>
      </c>
      <c r="S815" s="19">
        <v>0.9</v>
      </c>
      <c r="T815" s="19">
        <v>1</v>
      </c>
      <c r="U815" s="19">
        <v>0</v>
      </c>
      <c r="V815" s="19" t="s">
        <v>36</v>
      </c>
      <c r="W815" s="19">
        <v>0</v>
      </c>
      <c r="Y815" s="19" t="s">
        <v>103</v>
      </c>
      <c r="Z815" s="19">
        <v>50</v>
      </c>
      <c r="AA815" s="19">
        <v>0</v>
      </c>
    </row>
    <row r="816" spans="1:27" x14ac:dyDescent="0.25">
      <c r="A816" s="19" t="s">
        <v>1700</v>
      </c>
      <c r="B816" s="19" t="s">
        <v>1685</v>
      </c>
      <c r="C816" s="19" t="s">
        <v>1686</v>
      </c>
      <c r="D816" s="19">
        <v>0</v>
      </c>
      <c r="E816" s="19" t="s">
        <v>126</v>
      </c>
      <c r="F816" s="19" t="s">
        <v>127</v>
      </c>
      <c r="G816" s="19" t="s">
        <v>32</v>
      </c>
      <c r="H816" s="19" t="s">
        <v>114</v>
      </c>
      <c r="I816" s="19" t="s">
        <v>115</v>
      </c>
      <c r="J816" s="19">
        <v>29</v>
      </c>
      <c r="K816" s="19">
        <v>2.1700000000000001E-2</v>
      </c>
      <c r="L816" s="19" t="s">
        <v>35</v>
      </c>
      <c r="M816" s="19" t="s">
        <v>103</v>
      </c>
      <c r="N816" s="19">
        <v>0</v>
      </c>
      <c r="O816" s="19">
        <v>0</v>
      </c>
      <c r="P816" s="19">
        <v>0</v>
      </c>
      <c r="Q816" s="19">
        <v>0</v>
      </c>
      <c r="R816" s="19" t="s">
        <v>870</v>
      </c>
      <c r="S816" s="19">
        <v>0.9</v>
      </c>
      <c r="T816" s="19">
        <v>1</v>
      </c>
      <c r="U816" s="19">
        <v>0</v>
      </c>
      <c r="V816" s="19" t="s">
        <v>80</v>
      </c>
      <c r="W816" s="19">
        <v>0</v>
      </c>
      <c r="Y816" s="19" t="s">
        <v>103</v>
      </c>
      <c r="Z816" s="19">
        <v>50</v>
      </c>
      <c r="AA816" s="19">
        <v>0</v>
      </c>
    </row>
    <row r="817" spans="1:27" x14ac:dyDescent="0.25">
      <c r="A817" s="19" t="s">
        <v>1721</v>
      </c>
      <c r="B817" s="19" t="s">
        <v>1685</v>
      </c>
      <c r="C817" s="19" t="s">
        <v>1686</v>
      </c>
      <c r="D817" s="19">
        <v>1.085</v>
      </c>
      <c r="E817" s="19" t="s">
        <v>129</v>
      </c>
      <c r="F817" s="19" t="s">
        <v>130</v>
      </c>
      <c r="G817" s="19" t="s">
        <v>32</v>
      </c>
      <c r="H817" s="19" t="s">
        <v>114</v>
      </c>
      <c r="I817" s="19" t="s">
        <v>115</v>
      </c>
      <c r="J817" s="19">
        <v>32</v>
      </c>
      <c r="K817" s="19">
        <v>2.1700000000000001E-2</v>
      </c>
      <c r="L817" s="19" t="s">
        <v>35</v>
      </c>
      <c r="M817" s="19" t="s">
        <v>103</v>
      </c>
      <c r="N817" s="19">
        <v>50</v>
      </c>
      <c r="O817" s="19">
        <v>50</v>
      </c>
      <c r="P817" s="19">
        <v>0</v>
      </c>
      <c r="Q817" s="19">
        <v>0</v>
      </c>
      <c r="R817" s="19" t="s">
        <v>870</v>
      </c>
      <c r="S817" s="19">
        <v>0.9</v>
      </c>
      <c r="T817" s="19">
        <v>1</v>
      </c>
      <c r="U817" s="19">
        <v>0</v>
      </c>
      <c r="V817" s="19" t="s">
        <v>41</v>
      </c>
      <c r="W817" s="19">
        <v>1</v>
      </c>
      <c r="Y817" s="19" t="s">
        <v>103</v>
      </c>
      <c r="Z817" s="19">
        <v>50</v>
      </c>
      <c r="AA817" s="19">
        <v>50</v>
      </c>
    </row>
    <row r="818" spans="1:27" x14ac:dyDescent="0.25">
      <c r="A818" s="19" t="s">
        <v>1722</v>
      </c>
      <c r="B818" s="19" t="s">
        <v>1685</v>
      </c>
      <c r="C818" s="19" t="s">
        <v>1686</v>
      </c>
      <c r="D818" s="19">
        <v>3.33</v>
      </c>
      <c r="E818" s="19" t="s">
        <v>161</v>
      </c>
      <c r="F818" s="19" t="s">
        <v>162</v>
      </c>
      <c r="G818" s="19" t="s">
        <v>163</v>
      </c>
      <c r="I818" s="19" t="s">
        <v>164</v>
      </c>
      <c r="J818" s="19">
        <v>1</v>
      </c>
      <c r="K818" s="19">
        <v>3.3300000000000003E-2</v>
      </c>
      <c r="L818" s="19" t="s">
        <v>35</v>
      </c>
      <c r="M818" s="19" t="s">
        <v>165</v>
      </c>
      <c r="N818" s="19">
        <v>100</v>
      </c>
      <c r="O818" s="19">
        <v>100</v>
      </c>
      <c r="P818" s="19">
        <v>0</v>
      </c>
      <c r="Q818" s="19">
        <v>0</v>
      </c>
      <c r="R818" s="19" t="s">
        <v>870</v>
      </c>
      <c r="S818" s="19">
        <v>0.9</v>
      </c>
      <c r="T818" s="19">
        <v>1</v>
      </c>
      <c r="U818" s="19">
        <v>0</v>
      </c>
      <c r="W818" s="19">
        <v>0</v>
      </c>
      <c r="X818" s="19">
        <v>100</v>
      </c>
      <c r="Z818" s="19">
        <v>0</v>
      </c>
      <c r="AA818" s="19">
        <v>100</v>
      </c>
    </row>
    <row r="819" spans="1:27" x14ac:dyDescent="0.25">
      <c r="A819" s="19" t="s">
        <v>1723</v>
      </c>
      <c r="B819" s="19" t="s">
        <v>1685</v>
      </c>
      <c r="C819" s="19" t="s">
        <v>1686</v>
      </c>
      <c r="D819" s="19">
        <v>3.33</v>
      </c>
      <c r="E819" s="19" t="s">
        <v>167</v>
      </c>
      <c r="F819" s="19" t="s">
        <v>168</v>
      </c>
      <c r="G819" s="19" t="s">
        <v>163</v>
      </c>
      <c r="I819" s="19" t="s">
        <v>164</v>
      </c>
      <c r="J819" s="19">
        <v>3</v>
      </c>
      <c r="K819" s="19">
        <v>3.3300000000000003E-2</v>
      </c>
      <c r="L819" s="19" t="s">
        <v>35</v>
      </c>
      <c r="M819" s="19" t="s">
        <v>165</v>
      </c>
      <c r="N819" s="19">
        <v>100</v>
      </c>
      <c r="O819" s="19">
        <v>100</v>
      </c>
      <c r="P819" s="19">
        <v>0</v>
      </c>
      <c r="Q819" s="19">
        <v>0</v>
      </c>
      <c r="R819" s="19" t="s">
        <v>870</v>
      </c>
      <c r="S819" s="19">
        <v>0.9</v>
      </c>
      <c r="T819" s="19">
        <v>1</v>
      </c>
      <c r="U819" s="19">
        <v>0</v>
      </c>
      <c r="W819" s="19">
        <v>0</v>
      </c>
      <c r="X819" s="19">
        <v>100</v>
      </c>
      <c r="Z819" s="19">
        <v>0</v>
      </c>
      <c r="AA819" s="19">
        <v>100</v>
      </c>
    </row>
    <row r="820" spans="1:27" x14ac:dyDescent="0.25">
      <c r="A820" s="19" t="s">
        <v>1724</v>
      </c>
      <c r="B820" s="19" t="s">
        <v>1685</v>
      </c>
      <c r="C820" s="19" t="s">
        <v>1686</v>
      </c>
      <c r="D820" s="19">
        <v>1.9646999999999999</v>
      </c>
      <c r="E820" s="19" t="s">
        <v>170</v>
      </c>
      <c r="F820" s="19" t="s">
        <v>171</v>
      </c>
      <c r="G820" s="19" t="s">
        <v>163</v>
      </c>
      <c r="I820" s="19" t="s">
        <v>164</v>
      </c>
      <c r="J820" s="19">
        <v>2</v>
      </c>
      <c r="K820" s="19">
        <v>3.3300000000000003E-2</v>
      </c>
      <c r="L820" s="19" t="s">
        <v>35</v>
      </c>
      <c r="M820" s="19" t="s">
        <v>165</v>
      </c>
      <c r="N820" s="19">
        <v>59</v>
      </c>
      <c r="O820" s="19">
        <v>59</v>
      </c>
      <c r="P820" s="19">
        <v>0</v>
      </c>
      <c r="Q820" s="19">
        <v>0</v>
      </c>
      <c r="R820" s="19" t="s">
        <v>870</v>
      </c>
      <c r="S820" s="19">
        <v>0.9</v>
      </c>
      <c r="T820" s="19">
        <v>1</v>
      </c>
      <c r="U820" s="19">
        <v>0</v>
      </c>
      <c r="W820" s="19">
        <v>0</v>
      </c>
      <c r="X820" s="19">
        <v>59</v>
      </c>
      <c r="Z820" s="19">
        <v>0</v>
      </c>
      <c r="AA820" s="19">
        <v>59</v>
      </c>
    </row>
    <row r="821" spans="1:27" x14ac:dyDescent="0.25">
      <c r="A821" s="19" t="s">
        <v>1114</v>
      </c>
      <c r="B821" s="19" t="s">
        <v>1115</v>
      </c>
      <c r="C821" s="19" t="s">
        <v>1116</v>
      </c>
      <c r="D821" s="19">
        <v>1.62903388272516</v>
      </c>
      <c r="E821" s="19" t="s">
        <v>30</v>
      </c>
      <c r="F821" s="19" t="s">
        <v>31</v>
      </c>
      <c r="G821" s="19" t="s">
        <v>32</v>
      </c>
      <c r="H821" s="19" t="s">
        <v>33</v>
      </c>
      <c r="I821" s="19" t="s">
        <v>34</v>
      </c>
      <c r="J821" s="19">
        <v>17</v>
      </c>
      <c r="K821" s="19">
        <v>1.6299999999999999E-2</v>
      </c>
      <c r="L821" s="19" t="s">
        <v>541</v>
      </c>
      <c r="M821" s="19" t="s">
        <v>541</v>
      </c>
      <c r="N821" s="19">
        <v>50</v>
      </c>
      <c r="O821" s="19">
        <v>99.940729001500003</v>
      </c>
      <c r="P821" s="19">
        <v>99.881458003099993</v>
      </c>
      <c r="Q821" s="19">
        <v>49.940729001500003</v>
      </c>
      <c r="R821" s="19" t="s">
        <v>1075</v>
      </c>
      <c r="S821" s="19">
        <v>1</v>
      </c>
      <c r="T821" s="19">
        <v>1</v>
      </c>
      <c r="U821" s="19">
        <v>49.940729001500003</v>
      </c>
      <c r="AA821" s="19">
        <v>0</v>
      </c>
    </row>
    <row r="822" spans="1:27" x14ac:dyDescent="0.25">
      <c r="A822" s="19" t="s">
        <v>1117</v>
      </c>
      <c r="B822" s="19" t="s">
        <v>1115</v>
      </c>
      <c r="C822" s="19" t="s">
        <v>1116</v>
      </c>
      <c r="D822" s="19">
        <v>1.63</v>
      </c>
      <c r="E822" s="19" t="s">
        <v>38</v>
      </c>
      <c r="F822" s="19" t="s">
        <v>39</v>
      </c>
      <c r="G822" s="19" t="s">
        <v>32</v>
      </c>
      <c r="H822" s="19" t="s">
        <v>33</v>
      </c>
      <c r="I822" s="19" t="s">
        <v>34</v>
      </c>
      <c r="J822" s="19">
        <v>19</v>
      </c>
      <c r="K822" s="19">
        <v>1.6299999999999999E-2</v>
      </c>
      <c r="L822" s="19" t="s">
        <v>541</v>
      </c>
      <c r="M822" s="19" t="s">
        <v>541</v>
      </c>
      <c r="N822" s="19">
        <v>50</v>
      </c>
      <c r="O822" s="19">
        <v>100</v>
      </c>
      <c r="P822" s="19">
        <v>100</v>
      </c>
      <c r="Q822" s="19">
        <v>50</v>
      </c>
      <c r="R822" s="19" t="s">
        <v>1075</v>
      </c>
      <c r="S822" s="19">
        <v>1</v>
      </c>
      <c r="T822" s="19">
        <v>1</v>
      </c>
      <c r="U822" s="19">
        <v>50</v>
      </c>
      <c r="AA822" s="19">
        <v>0</v>
      </c>
    </row>
    <row r="823" spans="1:27" x14ac:dyDescent="0.25">
      <c r="A823" s="19" t="s">
        <v>1118</v>
      </c>
      <c r="B823" s="19" t="s">
        <v>1115</v>
      </c>
      <c r="C823" s="19" t="s">
        <v>1116</v>
      </c>
      <c r="D823" s="19">
        <v>1.63</v>
      </c>
      <c r="E823" s="19" t="s">
        <v>43</v>
      </c>
      <c r="F823" s="19" t="s">
        <v>44</v>
      </c>
      <c r="G823" s="19" t="s">
        <v>32</v>
      </c>
      <c r="H823" s="19" t="s">
        <v>33</v>
      </c>
      <c r="I823" s="19" t="s">
        <v>34</v>
      </c>
      <c r="J823" s="19">
        <v>18</v>
      </c>
      <c r="K823" s="19">
        <v>1.6299999999999999E-2</v>
      </c>
      <c r="L823" s="19" t="s">
        <v>541</v>
      </c>
      <c r="M823" s="19" t="s">
        <v>541</v>
      </c>
      <c r="N823" s="19">
        <v>50</v>
      </c>
      <c r="O823" s="19">
        <v>100</v>
      </c>
      <c r="P823" s="19">
        <v>100</v>
      </c>
      <c r="Q823" s="19">
        <v>50</v>
      </c>
      <c r="R823" s="19" t="s">
        <v>1075</v>
      </c>
      <c r="S823" s="19">
        <v>1</v>
      </c>
      <c r="T823" s="19">
        <v>1</v>
      </c>
      <c r="U823" s="19">
        <v>50</v>
      </c>
      <c r="AA823" s="19">
        <v>0</v>
      </c>
    </row>
    <row r="824" spans="1:27" x14ac:dyDescent="0.25">
      <c r="A824" s="19" t="s">
        <v>1119</v>
      </c>
      <c r="B824" s="19" t="s">
        <v>1115</v>
      </c>
      <c r="C824" s="19" t="s">
        <v>1116</v>
      </c>
      <c r="D824" s="19">
        <v>1.5150589350478001</v>
      </c>
      <c r="E824" s="19" t="s">
        <v>46</v>
      </c>
      <c r="F824" s="19" t="s">
        <v>47</v>
      </c>
      <c r="G824" s="19" t="s">
        <v>32</v>
      </c>
      <c r="H824" s="19" t="s">
        <v>33</v>
      </c>
      <c r="I824" s="19" t="s">
        <v>34</v>
      </c>
      <c r="J824" s="19">
        <v>15</v>
      </c>
      <c r="K824" s="19">
        <v>1.6299999999999999E-2</v>
      </c>
      <c r="L824" s="19" t="s">
        <v>541</v>
      </c>
      <c r="M824" s="19" t="s">
        <v>541</v>
      </c>
      <c r="N824" s="19">
        <v>50</v>
      </c>
      <c r="O824" s="19">
        <v>92.948400923199998</v>
      </c>
      <c r="P824" s="19">
        <v>85.896801846399995</v>
      </c>
      <c r="Q824" s="19">
        <v>42.948400923199998</v>
      </c>
      <c r="R824" s="19" t="s">
        <v>1075</v>
      </c>
      <c r="S824" s="19">
        <v>1</v>
      </c>
      <c r="T824" s="19">
        <v>1</v>
      </c>
      <c r="U824" s="19">
        <v>42.948400923199998</v>
      </c>
      <c r="AA824" s="19">
        <v>0</v>
      </c>
    </row>
    <row r="825" spans="1:27" x14ac:dyDescent="0.25">
      <c r="A825" s="19" t="s">
        <v>1120</v>
      </c>
      <c r="B825" s="19" t="s">
        <v>1115</v>
      </c>
      <c r="C825" s="19" t="s">
        <v>1116</v>
      </c>
      <c r="D825" s="19">
        <v>1.5318501857201801</v>
      </c>
      <c r="E825" s="19" t="s">
        <v>49</v>
      </c>
      <c r="F825" s="19" t="s">
        <v>50</v>
      </c>
      <c r="G825" s="19" t="s">
        <v>32</v>
      </c>
      <c r="H825" s="19" t="s">
        <v>33</v>
      </c>
      <c r="I825" s="19" t="s">
        <v>34</v>
      </c>
      <c r="J825" s="19">
        <v>12</v>
      </c>
      <c r="K825" s="19">
        <v>1.6299999999999999E-2</v>
      </c>
      <c r="L825" s="19" t="s">
        <v>541</v>
      </c>
      <c r="M825" s="19" t="s">
        <v>541</v>
      </c>
      <c r="N825" s="19">
        <v>50</v>
      </c>
      <c r="O825" s="19">
        <v>93.978539001200005</v>
      </c>
      <c r="P825" s="19">
        <v>87.957078002499998</v>
      </c>
      <c r="Q825" s="19">
        <v>43.978539001199998</v>
      </c>
      <c r="R825" s="19" t="s">
        <v>1075</v>
      </c>
      <c r="S825" s="19">
        <v>1</v>
      </c>
      <c r="T825" s="19">
        <v>1</v>
      </c>
      <c r="U825" s="19">
        <v>43.978539001199998</v>
      </c>
      <c r="AA825" s="19">
        <v>0</v>
      </c>
    </row>
    <row r="826" spans="1:27" x14ac:dyDescent="0.25">
      <c r="A826" s="19" t="s">
        <v>1121</v>
      </c>
      <c r="B826" s="19" t="s">
        <v>1115</v>
      </c>
      <c r="C826" s="19" t="s">
        <v>1116</v>
      </c>
      <c r="D826" s="19">
        <v>0.815403066271018</v>
      </c>
      <c r="E826" s="19" t="s">
        <v>52</v>
      </c>
      <c r="F826" s="19" t="s">
        <v>53</v>
      </c>
      <c r="G826" s="19" t="s">
        <v>32</v>
      </c>
      <c r="H826" s="19" t="s">
        <v>33</v>
      </c>
      <c r="I826" s="19" t="s">
        <v>34</v>
      </c>
      <c r="J826" s="19">
        <v>16</v>
      </c>
      <c r="K826" s="19">
        <v>1.6299999999999999E-2</v>
      </c>
      <c r="L826" s="19" t="s">
        <v>541</v>
      </c>
      <c r="M826" s="19" t="s">
        <v>541</v>
      </c>
      <c r="N826" s="19">
        <v>50</v>
      </c>
      <c r="O826" s="19">
        <v>50.024727992099997</v>
      </c>
      <c r="P826" s="19">
        <v>4.94559841741E-2</v>
      </c>
      <c r="Q826" s="19">
        <v>2.4727992087000002E-2</v>
      </c>
      <c r="R826" s="19" t="s">
        <v>1075</v>
      </c>
      <c r="S826" s="19">
        <v>1</v>
      </c>
      <c r="T826" s="19">
        <v>1</v>
      </c>
      <c r="U826" s="19">
        <v>2.4727992087000002E-2</v>
      </c>
      <c r="AA826" s="19">
        <v>0</v>
      </c>
    </row>
    <row r="827" spans="1:27" x14ac:dyDescent="0.25">
      <c r="A827" s="19" t="s">
        <v>1122</v>
      </c>
      <c r="B827" s="19" t="s">
        <v>1115</v>
      </c>
      <c r="C827" s="19" t="s">
        <v>1116</v>
      </c>
      <c r="D827" s="19">
        <v>1.6298320557204</v>
      </c>
      <c r="E827" s="19" t="s">
        <v>55</v>
      </c>
      <c r="F827" s="19" t="s">
        <v>56</v>
      </c>
      <c r="G827" s="19" t="s">
        <v>32</v>
      </c>
      <c r="H827" s="19" t="s">
        <v>33</v>
      </c>
      <c r="I827" s="19" t="s">
        <v>34</v>
      </c>
      <c r="J827" s="19">
        <v>14</v>
      </c>
      <c r="K827" s="19">
        <v>1.6299999999999999E-2</v>
      </c>
      <c r="L827" s="19" t="s">
        <v>541</v>
      </c>
      <c r="M827" s="19" t="s">
        <v>541</v>
      </c>
      <c r="N827" s="19">
        <v>50</v>
      </c>
      <c r="O827" s="19">
        <v>99.989696670000001</v>
      </c>
      <c r="P827" s="19">
        <v>99.9793933399</v>
      </c>
      <c r="Q827" s="19">
        <v>49.989696670000001</v>
      </c>
      <c r="R827" s="19" t="s">
        <v>1075</v>
      </c>
      <c r="S827" s="19">
        <v>1</v>
      </c>
      <c r="T827" s="19">
        <v>1</v>
      </c>
      <c r="U827" s="19">
        <v>49.989696670000001</v>
      </c>
      <c r="AA827" s="19">
        <v>0</v>
      </c>
    </row>
    <row r="828" spans="1:27" x14ac:dyDescent="0.25">
      <c r="A828" s="19" t="s">
        <v>1123</v>
      </c>
      <c r="B828" s="19" t="s">
        <v>1115</v>
      </c>
      <c r="C828" s="19" t="s">
        <v>1116</v>
      </c>
      <c r="D828" s="19">
        <v>1.6299664111440799</v>
      </c>
      <c r="E828" s="19" t="s">
        <v>58</v>
      </c>
      <c r="F828" s="19" t="s">
        <v>59</v>
      </c>
      <c r="G828" s="19" t="s">
        <v>32</v>
      </c>
      <c r="H828" s="19" t="s">
        <v>33</v>
      </c>
      <c r="I828" s="19" t="s">
        <v>34</v>
      </c>
      <c r="J828" s="19">
        <v>13</v>
      </c>
      <c r="K828" s="19">
        <v>1.6299999999999999E-2</v>
      </c>
      <c r="L828" s="19" t="s">
        <v>541</v>
      </c>
      <c r="M828" s="19" t="s">
        <v>541</v>
      </c>
      <c r="N828" s="19">
        <v>50</v>
      </c>
      <c r="O828" s="19">
        <v>99.997939333999994</v>
      </c>
      <c r="P828" s="19">
        <v>99.995878668000003</v>
      </c>
      <c r="Q828" s="19">
        <v>49.997939334000002</v>
      </c>
      <c r="R828" s="19" t="s">
        <v>1075</v>
      </c>
      <c r="S828" s="19">
        <v>1</v>
      </c>
      <c r="T828" s="19">
        <v>1</v>
      </c>
      <c r="U828" s="19">
        <v>49.997939334000002</v>
      </c>
      <c r="AA828" s="19">
        <v>0</v>
      </c>
    </row>
    <row r="829" spans="1:27" x14ac:dyDescent="0.25">
      <c r="A829" s="19" t="s">
        <v>1124</v>
      </c>
      <c r="B829" s="19" t="s">
        <v>1115</v>
      </c>
      <c r="C829" s="19" t="s">
        <v>1116</v>
      </c>
      <c r="D829" s="19">
        <v>1.8598464713165399</v>
      </c>
      <c r="E829" s="19" t="s">
        <v>61</v>
      </c>
      <c r="F829" s="19" t="s">
        <v>62</v>
      </c>
      <c r="G829" s="19" t="s">
        <v>32</v>
      </c>
      <c r="H829" s="19" t="s">
        <v>63</v>
      </c>
      <c r="I829" s="19" t="s">
        <v>64</v>
      </c>
      <c r="J829" s="19">
        <v>22</v>
      </c>
      <c r="K829" s="19">
        <v>1.8599999999999998E-2</v>
      </c>
      <c r="L829" s="19" t="s">
        <v>541</v>
      </c>
      <c r="M829" s="19" t="s">
        <v>541</v>
      </c>
      <c r="N829" s="19">
        <v>50</v>
      </c>
      <c r="O829" s="19">
        <v>99.991745769700003</v>
      </c>
      <c r="P829" s="19">
        <v>99.983491539400006</v>
      </c>
      <c r="Q829" s="19">
        <v>49.991745769700003</v>
      </c>
      <c r="R829" s="19" t="s">
        <v>1075</v>
      </c>
      <c r="S829" s="19">
        <v>1</v>
      </c>
      <c r="T829" s="19">
        <v>1</v>
      </c>
      <c r="U829" s="19">
        <v>49.991745769700003</v>
      </c>
      <c r="AA829" s="19">
        <v>0</v>
      </c>
    </row>
    <row r="830" spans="1:27" x14ac:dyDescent="0.25">
      <c r="A830" s="19" t="s">
        <v>1125</v>
      </c>
      <c r="B830" s="19" t="s">
        <v>1115</v>
      </c>
      <c r="C830" s="19" t="s">
        <v>1116</v>
      </c>
      <c r="D830" s="19">
        <v>1.8599999999999901</v>
      </c>
      <c r="E830" s="19" t="s">
        <v>66</v>
      </c>
      <c r="F830" s="19" t="s">
        <v>67</v>
      </c>
      <c r="G830" s="19" t="s">
        <v>32</v>
      </c>
      <c r="H830" s="19" t="s">
        <v>63</v>
      </c>
      <c r="I830" s="19" t="s">
        <v>64</v>
      </c>
      <c r="J830" s="19">
        <v>20</v>
      </c>
      <c r="K830" s="19">
        <v>1.8599999999999998E-2</v>
      </c>
      <c r="L830" s="19" t="s">
        <v>541</v>
      </c>
      <c r="M830" s="19" t="s">
        <v>541</v>
      </c>
      <c r="N830" s="19">
        <v>50</v>
      </c>
      <c r="O830" s="19">
        <v>100</v>
      </c>
      <c r="P830" s="19">
        <v>100</v>
      </c>
      <c r="Q830" s="19">
        <v>50</v>
      </c>
      <c r="R830" s="19" t="s">
        <v>1075</v>
      </c>
      <c r="S830" s="19">
        <v>1</v>
      </c>
      <c r="T830" s="19">
        <v>1</v>
      </c>
      <c r="U830" s="19">
        <v>50</v>
      </c>
      <c r="AA830" s="19">
        <v>0</v>
      </c>
    </row>
    <row r="831" spans="1:27" x14ac:dyDescent="0.25">
      <c r="A831" s="19" t="s">
        <v>1126</v>
      </c>
      <c r="B831" s="19" t="s">
        <v>1115</v>
      </c>
      <c r="C831" s="19" t="s">
        <v>1116</v>
      </c>
      <c r="D831" s="19">
        <v>1.8599999999999901</v>
      </c>
      <c r="E831" s="19" t="s">
        <v>69</v>
      </c>
      <c r="F831" s="19" t="s">
        <v>70</v>
      </c>
      <c r="G831" s="19" t="s">
        <v>32</v>
      </c>
      <c r="H831" s="19" t="s">
        <v>63</v>
      </c>
      <c r="I831" s="19" t="s">
        <v>64</v>
      </c>
      <c r="J831" s="19">
        <v>23</v>
      </c>
      <c r="K831" s="19">
        <v>1.8599999999999998E-2</v>
      </c>
      <c r="L831" s="19" t="s">
        <v>541</v>
      </c>
      <c r="M831" s="19" t="s">
        <v>541</v>
      </c>
      <c r="N831" s="19">
        <v>50</v>
      </c>
      <c r="O831" s="19">
        <v>100</v>
      </c>
      <c r="P831" s="19">
        <v>100</v>
      </c>
      <c r="Q831" s="19">
        <v>50</v>
      </c>
      <c r="R831" s="19" t="s">
        <v>1075</v>
      </c>
      <c r="S831" s="19">
        <v>1</v>
      </c>
      <c r="T831" s="19">
        <v>1</v>
      </c>
      <c r="U831" s="19">
        <v>50</v>
      </c>
      <c r="AA831" s="19">
        <v>0</v>
      </c>
    </row>
    <row r="832" spans="1:27" x14ac:dyDescent="0.25">
      <c r="A832" s="19" t="s">
        <v>1127</v>
      </c>
      <c r="B832" s="19" t="s">
        <v>1115</v>
      </c>
      <c r="C832" s="19" t="s">
        <v>1116</v>
      </c>
      <c r="D832" s="19">
        <v>1.8599999999999901</v>
      </c>
      <c r="E832" s="19" t="s">
        <v>72</v>
      </c>
      <c r="F832" s="19" t="s">
        <v>73</v>
      </c>
      <c r="G832" s="19" t="s">
        <v>32</v>
      </c>
      <c r="H832" s="19" t="s">
        <v>63</v>
      </c>
      <c r="I832" s="19" t="s">
        <v>64</v>
      </c>
      <c r="J832" s="19">
        <v>21</v>
      </c>
      <c r="K832" s="19">
        <v>1.8599999999999998E-2</v>
      </c>
      <c r="L832" s="19" t="s">
        <v>541</v>
      </c>
      <c r="M832" s="19" t="s">
        <v>541</v>
      </c>
      <c r="N832" s="19">
        <v>50</v>
      </c>
      <c r="O832" s="19">
        <v>100</v>
      </c>
      <c r="P832" s="19">
        <v>100</v>
      </c>
      <c r="Q832" s="19">
        <v>50</v>
      </c>
      <c r="R832" s="19" t="s">
        <v>1075</v>
      </c>
      <c r="S832" s="19">
        <v>1</v>
      </c>
      <c r="T832" s="19">
        <v>1</v>
      </c>
      <c r="U832" s="19">
        <v>50</v>
      </c>
      <c r="AA832" s="19">
        <v>0</v>
      </c>
    </row>
    <row r="833" spans="1:27" x14ac:dyDescent="0.25">
      <c r="A833" s="19" t="s">
        <v>1128</v>
      </c>
      <c r="B833" s="19" t="s">
        <v>1115</v>
      </c>
      <c r="C833" s="19" t="s">
        <v>1116</v>
      </c>
      <c r="D833" s="19">
        <v>1.85942507418397</v>
      </c>
      <c r="E833" s="19" t="s">
        <v>75</v>
      </c>
      <c r="F833" s="19" t="s">
        <v>76</v>
      </c>
      <c r="G833" s="19" t="s">
        <v>32</v>
      </c>
      <c r="H833" s="19" t="s">
        <v>63</v>
      </c>
      <c r="I833" s="19" t="s">
        <v>64</v>
      </c>
      <c r="J833" s="19">
        <v>24</v>
      </c>
      <c r="K833" s="19">
        <v>1.8599999999999998E-2</v>
      </c>
      <c r="L833" s="19" t="s">
        <v>541</v>
      </c>
      <c r="M833" s="19" t="s">
        <v>541</v>
      </c>
      <c r="N833" s="19">
        <v>50</v>
      </c>
      <c r="O833" s="19">
        <v>99.9690900099</v>
      </c>
      <c r="P833" s="19">
        <v>99.938180019800001</v>
      </c>
      <c r="Q833" s="19">
        <v>49.9690900099</v>
      </c>
      <c r="R833" s="19" t="s">
        <v>1075</v>
      </c>
      <c r="S833" s="19">
        <v>1</v>
      </c>
      <c r="T833" s="19">
        <v>1</v>
      </c>
      <c r="U833" s="19">
        <v>49.9690900099</v>
      </c>
      <c r="AA833" s="19">
        <v>0</v>
      </c>
    </row>
    <row r="834" spans="1:27" x14ac:dyDescent="0.25">
      <c r="A834" s="19" t="s">
        <v>1129</v>
      </c>
      <c r="B834" s="19" t="s">
        <v>1115</v>
      </c>
      <c r="C834" s="19" t="s">
        <v>1116</v>
      </c>
      <c r="D834" s="19">
        <v>0.93170599900842799</v>
      </c>
      <c r="E834" s="19" t="s">
        <v>78</v>
      </c>
      <c r="F834" s="19" t="s">
        <v>79</v>
      </c>
      <c r="G834" s="19" t="s">
        <v>32</v>
      </c>
      <c r="H834" s="19" t="s">
        <v>63</v>
      </c>
      <c r="I834" s="19" t="s">
        <v>64</v>
      </c>
      <c r="J834" s="19">
        <v>25</v>
      </c>
      <c r="K834" s="19">
        <v>1.8599999999999998E-2</v>
      </c>
      <c r="L834" s="19" t="s">
        <v>541</v>
      </c>
      <c r="M834" s="19" t="s">
        <v>541</v>
      </c>
      <c r="N834" s="19">
        <v>50</v>
      </c>
      <c r="O834" s="19">
        <v>50.091720376799998</v>
      </c>
      <c r="P834" s="19">
        <v>0.183440753594</v>
      </c>
      <c r="Q834" s="19">
        <v>9.1720376797200007E-2</v>
      </c>
      <c r="R834" s="19" t="s">
        <v>1075</v>
      </c>
      <c r="S834" s="19">
        <v>1</v>
      </c>
      <c r="T834" s="19">
        <v>1</v>
      </c>
      <c r="U834" s="19">
        <v>9.1720376797200007E-2</v>
      </c>
      <c r="AA834" s="19">
        <v>0</v>
      </c>
    </row>
    <row r="835" spans="1:27" x14ac:dyDescent="0.25">
      <c r="A835" s="19" t="s">
        <v>1130</v>
      </c>
      <c r="B835" s="19" t="s">
        <v>1115</v>
      </c>
      <c r="C835" s="19" t="s">
        <v>1116</v>
      </c>
      <c r="D835" s="19">
        <v>1.8229995872884801</v>
      </c>
      <c r="E835" s="19" t="s">
        <v>82</v>
      </c>
      <c r="F835" s="19" t="s">
        <v>83</v>
      </c>
      <c r="G835" s="19" t="s">
        <v>32</v>
      </c>
      <c r="H835" s="19" t="s">
        <v>63</v>
      </c>
      <c r="I835" s="19" t="s">
        <v>64</v>
      </c>
      <c r="J835" s="19">
        <v>26</v>
      </c>
      <c r="K835" s="19">
        <v>1.8599999999999998E-2</v>
      </c>
      <c r="L835" s="19" t="s">
        <v>541</v>
      </c>
      <c r="M835" s="19" t="s">
        <v>541</v>
      </c>
      <c r="N835" s="19">
        <v>50</v>
      </c>
      <c r="O835" s="19">
        <v>98.010730499399997</v>
      </c>
      <c r="P835" s="19">
        <v>96.021460998799995</v>
      </c>
      <c r="Q835" s="19">
        <v>48.010730499399997</v>
      </c>
      <c r="R835" s="19" t="s">
        <v>1075</v>
      </c>
      <c r="S835" s="19">
        <v>1</v>
      </c>
      <c r="T835" s="19">
        <v>1</v>
      </c>
      <c r="U835" s="19">
        <v>48.010730499399997</v>
      </c>
      <c r="AA835" s="19">
        <v>0</v>
      </c>
    </row>
    <row r="836" spans="1:27" x14ac:dyDescent="0.25">
      <c r="A836" s="19" t="s">
        <v>1131</v>
      </c>
      <c r="B836" s="19" t="s">
        <v>1115</v>
      </c>
      <c r="C836" s="19" t="s">
        <v>1116</v>
      </c>
      <c r="D836" s="19">
        <v>3.1091621956252502</v>
      </c>
      <c r="E836" s="19" t="s">
        <v>85</v>
      </c>
      <c r="F836" s="19" t="s">
        <v>86</v>
      </c>
      <c r="G836" s="19" t="s">
        <v>32</v>
      </c>
      <c r="H836" s="19" t="s">
        <v>87</v>
      </c>
      <c r="I836" s="19" t="s">
        <v>88</v>
      </c>
      <c r="J836" s="19">
        <v>35</v>
      </c>
      <c r="K836" s="19">
        <v>3.2500000000000001E-2</v>
      </c>
      <c r="L836" s="19" t="s">
        <v>541</v>
      </c>
      <c r="M836" s="19" t="s">
        <v>541</v>
      </c>
      <c r="N836" s="19">
        <v>50</v>
      </c>
      <c r="O836" s="19">
        <v>95.666529096199994</v>
      </c>
      <c r="P836" s="19">
        <v>91.333058192300001</v>
      </c>
      <c r="Q836" s="19">
        <v>45.666529096200001</v>
      </c>
      <c r="R836" s="19" t="s">
        <v>1075</v>
      </c>
      <c r="S836" s="19">
        <v>1</v>
      </c>
      <c r="T836" s="19">
        <v>1</v>
      </c>
      <c r="U836" s="19">
        <v>45.666529096200001</v>
      </c>
      <c r="AA836" s="19">
        <v>0</v>
      </c>
    </row>
    <row r="837" spans="1:27" x14ac:dyDescent="0.25">
      <c r="A837" s="19" t="s">
        <v>1132</v>
      </c>
      <c r="B837" s="19" t="s">
        <v>1115</v>
      </c>
      <c r="C837" s="19" t="s">
        <v>1116</v>
      </c>
      <c r="D837" s="19">
        <v>2.0706317867719601</v>
      </c>
      <c r="E837" s="19" t="s">
        <v>90</v>
      </c>
      <c r="F837" s="19" t="s">
        <v>91</v>
      </c>
      <c r="G837" s="19" t="s">
        <v>32</v>
      </c>
      <c r="H837" s="19" t="s">
        <v>87</v>
      </c>
      <c r="I837" s="19" t="s">
        <v>88</v>
      </c>
      <c r="J837" s="19">
        <v>33</v>
      </c>
      <c r="K837" s="19">
        <v>3.2500000000000001E-2</v>
      </c>
      <c r="L837" s="19" t="s">
        <v>541</v>
      </c>
      <c r="M837" s="19" t="s">
        <v>541</v>
      </c>
      <c r="N837" s="19">
        <v>50</v>
      </c>
      <c r="O837" s="19">
        <v>63.7117472853</v>
      </c>
      <c r="P837" s="19">
        <v>27.423494570599999</v>
      </c>
      <c r="Q837" s="19">
        <v>13.7117472853</v>
      </c>
      <c r="R837" s="19" t="s">
        <v>1075</v>
      </c>
      <c r="S837" s="19">
        <v>1</v>
      </c>
      <c r="T837" s="19">
        <v>1</v>
      </c>
      <c r="U837" s="19">
        <v>13.7117472853</v>
      </c>
      <c r="AA837" s="19">
        <v>0</v>
      </c>
    </row>
    <row r="838" spans="1:27" x14ac:dyDescent="0.25">
      <c r="A838" s="19" t="s">
        <v>1133</v>
      </c>
      <c r="B838" s="19" t="s">
        <v>1115</v>
      </c>
      <c r="C838" s="19" t="s">
        <v>1116</v>
      </c>
      <c r="D838" s="19">
        <v>2.63621543541064</v>
      </c>
      <c r="E838" s="19" t="s">
        <v>93</v>
      </c>
      <c r="F838" s="19" t="s">
        <v>94</v>
      </c>
      <c r="G838" s="19" t="s">
        <v>32</v>
      </c>
      <c r="H838" s="19" t="s">
        <v>87</v>
      </c>
      <c r="I838" s="19" t="s">
        <v>88</v>
      </c>
      <c r="J838" s="19">
        <v>34</v>
      </c>
      <c r="K838" s="19">
        <v>3.2500000000000001E-2</v>
      </c>
      <c r="L838" s="19" t="s">
        <v>541</v>
      </c>
      <c r="M838" s="19" t="s">
        <v>541</v>
      </c>
      <c r="N838" s="19">
        <v>50</v>
      </c>
      <c r="O838" s="19">
        <v>81.114321089599997</v>
      </c>
      <c r="P838" s="19">
        <v>62.2286421791</v>
      </c>
      <c r="Q838" s="19">
        <v>31.114321089600001</v>
      </c>
      <c r="R838" s="19" t="s">
        <v>1075</v>
      </c>
      <c r="S838" s="19">
        <v>1</v>
      </c>
      <c r="T838" s="19">
        <v>1</v>
      </c>
      <c r="U838" s="19">
        <v>31.114321089600001</v>
      </c>
      <c r="AA838" s="19">
        <v>0</v>
      </c>
    </row>
    <row r="839" spans="1:27" x14ac:dyDescent="0.25">
      <c r="A839" s="19" t="s">
        <v>1134</v>
      </c>
      <c r="B839" s="19" t="s">
        <v>1115</v>
      </c>
      <c r="C839" s="19" t="s">
        <v>1116</v>
      </c>
      <c r="D839" s="19">
        <v>2.1424119325229398</v>
      </c>
      <c r="E839" s="19" t="s">
        <v>96</v>
      </c>
      <c r="F839" s="19" t="s">
        <v>97</v>
      </c>
      <c r="G839" s="19" t="s">
        <v>32</v>
      </c>
      <c r="H839" s="19" t="s">
        <v>87</v>
      </c>
      <c r="I839" s="19" t="s">
        <v>88</v>
      </c>
      <c r="J839" s="19">
        <v>36</v>
      </c>
      <c r="K839" s="19">
        <v>3.2500000000000001E-2</v>
      </c>
      <c r="L839" s="19" t="s">
        <v>541</v>
      </c>
      <c r="M839" s="19" t="s">
        <v>541</v>
      </c>
      <c r="N839" s="19">
        <v>50</v>
      </c>
      <c r="O839" s="19">
        <v>65.920367154600001</v>
      </c>
      <c r="P839" s="19">
        <v>31.8407343091</v>
      </c>
      <c r="Q839" s="19">
        <v>15.920367154599999</v>
      </c>
      <c r="R839" s="19" t="s">
        <v>1075</v>
      </c>
      <c r="S839" s="19">
        <v>1</v>
      </c>
      <c r="T839" s="19">
        <v>1</v>
      </c>
      <c r="U839" s="19">
        <v>15.920367154599999</v>
      </c>
      <c r="AA839" s="19">
        <v>0</v>
      </c>
    </row>
    <row r="840" spans="1:27" x14ac:dyDescent="0.25">
      <c r="A840" s="19" t="s">
        <v>1135</v>
      </c>
      <c r="B840" s="19" t="s">
        <v>1115</v>
      </c>
      <c r="C840" s="19" t="s">
        <v>1116</v>
      </c>
      <c r="D840" s="19">
        <v>3.3516844820470402</v>
      </c>
      <c r="E840" s="19" t="s">
        <v>99</v>
      </c>
      <c r="F840" s="19" t="s">
        <v>100</v>
      </c>
      <c r="G840" s="19" t="s">
        <v>32</v>
      </c>
      <c r="H840" s="19" t="s">
        <v>101</v>
      </c>
      <c r="I840" s="19" t="s">
        <v>102</v>
      </c>
      <c r="J840" s="19">
        <v>39</v>
      </c>
      <c r="K840" s="19">
        <v>4.3299999999999998E-2</v>
      </c>
      <c r="L840" s="19" t="s">
        <v>541</v>
      </c>
      <c r="M840" s="19" t="s">
        <v>541</v>
      </c>
      <c r="N840" s="19">
        <v>50</v>
      </c>
      <c r="O840" s="19">
        <v>77.4061081304</v>
      </c>
      <c r="P840" s="19">
        <v>54.8122162608</v>
      </c>
      <c r="Q840" s="19">
        <v>27.4061081304</v>
      </c>
      <c r="R840" s="19" t="s">
        <v>1075</v>
      </c>
      <c r="S840" s="19">
        <v>1</v>
      </c>
      <c r="T840" s="19">
        <v>1</v>
      </c>
      <c r="U840" s="19">
        <v>27.4061081304</v>
      </c>
      <c r="AA840" s="19">
        <v>0</v>
      </c>
    </row>
    <row r="841" spans="1:27" x14ac:dyDescent="0.25">
      <c r="A841" s="19" t="s">
        <v>1136</v>
      </c>
      <c r="B841" s="19" t="s">
        <v>1115</v>
      </c>
      <c r="C841" s="19" t="s">
        <v>1116</v>
      </c>
      <c r="D841" s="19">
        <v>2.2109269500619</v>
      </c>
      <c r="E841" s="19" t="s">
        <v>105</v>
      </c>
      <c r="F841" s="19" t="s">
        <v>106</v>
      </c>
      <c r="G841" s="19" t="s">
        <v>32</v>
      </c>
      <c r="H841" s="19" t="s">
        <v>101</v>
      </c>
      <c r="I841" s="19" t="s">
        <v>102</v>
      </c>
      <c r="J841" s="19">
        <v>38</v>
      </c>
      <c r="K841" s="19">
        <v>4.3299999999999998E-2</v>
      </c>
      <c r="L841" s="19" t="s">
        <v>541</v>
      </c>
      <c r="M841" s="19" t="s">
        <v>541</v>
      </c>
      <c r="N841" s="19">
        <v>50</v>
      </c>
      <c r="O841" s="19">
        <v>51.060668592699997</v>
      </c>
      <c r="P841" s="19">
        <v>2.1213371853099998</v>
      </c>
      <c r="Q841" s="19">
        <v>1.0606685926499999</v>
      </c>
      <c r="R841" s="19" t="s">
        <v>1075</v>
      </c>
      <c r="S841" s="19">
        <v>1</v>
      </c>
      <c r="T841" s="19">
        <v>1</v>
      </c>
      <c r="U841" s="19">
        <v>1.0606685926499999</v>
      </c>
      <c r="AA841" s="19">
        <v>0</v>
      </c>
    </row>
    <row r="842" spans="1:27" x14ac:dyDescent="0.25">
      <c r="A842" s="19" t="s">
        <v>1137</v>
      </c>
      <c r="B842" s="19" t="s">
        <v>1115</v>
      </c>
      <c r="C842" s="19" t="s">
        <v>1116</v>
      </c>
      <c r="D842" s="19">
        <v>2.22415105241436</v>
      </c>
      <c r="E842" s="19" t="s">
        <v>108</v>
      </c>
      <c r="F842" s="19" t="s">
        <v>109</v>
      </c>
      <c r="G842" s="19" t="s">
        <v>32</v>
      </c>
      <c r="H842" s="19" t="s">
        <v>101</v>
      </c>
      <c r="I842" s="19" t="s">
        <v>102</v>
      </c>
      <c r="J842" s="19">
        <v>37</v>
      </c>
      <c r="K842" s="19">
        <v>4.3299999999999998E-2</v>
      </c>
      <c r="L842" s="19" t="s">
        <v>541</v>
      </c>
      <c r="M842" s="19" t="s">
        <v>541</v>
      </c>
      <c r="N842" s="19">
        <v>50</v>
      </c>
      <c r="O842" s="19">
        <v>51.366075113500003</v>
      </c>
      <c r="P842" s="19">
        <v>2.73215022699</v>
      </c>
      <c r="Q842" s="19">
        <v>1.3660751135</v>
      </c>
      <c r="R842" s="19" t="s">
        <v>1075</v>
      </c>
      <c r="S842" s="19">
        <v>1</v>
      </c>
      <c r="T842" s="19">
        <v>1</v>
      </c>
      <c r="U842" s="19">
        <v>1.3660751135</v>
      </c>
      <c r="AA842" s="19">
        <v>0</v>
      </c>
    </row>
    <row r="843" spans="1:27" x14ac:dyDescent="0.25">
      <c r="A843" s="19" t="s">
        <v>1138</v>
      </c>
      <c r="B843" s="19" t="s">
        <v>1115</v>
      </c>
      <c r="C843" s="19" t="s">
        <v>1116</v>
      </c>
      <c r="D843" s="19">
        <v>1.1436147364942999</v>
      </c>
      <c r="E843" s="19" t="s">
        <v>112</v>
      </c>
      <c r="F843" s="19" t="s">
        <v>113</v>
      </c>
      <c r="G843" s="19" t="s">
        <v>32</v>
      </c>
      <c r="H843" s="19" t="s">
        <v>114</v>
      </c>
      <c r="I843" s="19" t="s">
        <v>115</v>
      </c>
      <c r="J843" s="19">
        <v>30</v>
      </c>
      <c r="K843" s="19">
        <v>2.1700000000000001E-2</v>
      </c>
      <c r="L843" s="19" t="s">
        <v>541</v>
      </c>
      <c r="M843" s="19" t="s">
        <v>541</v>
      </c>
      <c r="N843" s="19">
        <v>50</v>
      </c>
      <c r="O843" s="19">
        <v>52.7011399306</v>
      </c>
      <c r="P843" s="19">
        <v>5.4022798612300003</v>
      </c>
      <c r="Q843" s="19">
        <v>2.7011399306100001</v>
      </c>
      <c r="R843" s="19" t="s">
        <v>1075</v>
      </c>
      <c r="S843" s="19">
        <v>1</v>
      </c>
      <c r="T843" s="19">
        <v>1</v>
      </c>
      <c r="U843" s="19">
        <v>2.7011399306100001</v>
      </c>
      <c r="AA843" s="19">
        <v>0</v>
      </c>
    </row>
    <row r="844" spans="1:27" x14ac:dyDescent="0.25">
      <c r="A844" s="19" t="s">
        <v>1139</v>
      </c>
      <c r="B844" s="19" t="s">
        <v>1115</v>
      </c>
      <c r="C844" s="19" t="s">
        <v>1116</v>
      </c>
      <c r="D844" s="19">
        <v>1.1323219890963101</v>
      </c>
      <c r="E844" s="19" t="s">
        <v>117</v>
      </c>
      <c r="F844" s="19" t="s">
        <v>118</v>
      </c>
      <c r="G844" s="19" t="s">
        <v>32</v>
      </c>
      <c r="H844" s="19" t="s">
        <v>114</v>
      </c>
      <c r="I844" s="19" t="s">
        <v>115</v>
      </c>
      <c r="J844" s="19">
        <v>31</v>
      </c>
      <c r="K844" s="19">
        <v>2.1700000000000001E-2</v>
      </c>
      <c r="L844" s="19" t="s">
        <v>541</v>
      </c>
      <c r="M844" s="19" t="s">
        <v>541</v>
      </c>
      <c r="N844" s="19">
        <v>50</v>
      </c>
      <c r="O844" s="19">
        <v>52.180736824699999</v>
      </c>
      <c r="P844" s="19">
        <v>4.3614736494299997</v>
      </c>
      <c r="Q844" s="19">
        <v>2.1807368247199999</v>
      </c>
      <c r="R844" s="19" t="s">
        <v>1075</v>
      </c>
      <c r="S844" s="19">
        <v>1</v>
      </c>
      <c r="T844" s="19">
        <v>1</v>
      </c>
      <c r="U844" s="19">
        <v>2.1807368247199999</v>
      </c>
      <c r="AA844" s="19">
        <v>0</v>
      </c>
    </row>
    <row r="845" spans="1:27" x14ac:dyDescent="0.25">
      <c r="A845" s="19" t="s">
        <v>1140</v>
      </c>
      <c r="B845" s="19" t="s">
        <v>1115</v>
      </c>
      <c r="C845" s="19" t="s">
        <v>1116</v>
      </c>
      <c r="D845" s="19">
        <v>1.1457111597374099</v>
      </c>
      <c r="E845" s="19" t="s">
        <v>120</v>
      </c>
      <c r="F845" s="19" t="s">
        <v>121</v>
      </c>
      <c r="G845" s="19" t="s">
        <v>32</v>
      </c>
      <c r="H845" s="19" t="s">
        <v>114</v>
      </c>
      <c r="I845" s="19" t="s">
        <v>115</v>
      </c>
      <c r="J845" s="19">
        <v>28</v>
      </c>
      <c r="K845" s="19">
        <v>2.1700000000000001E-2</v>
      </c>
      <c r="L845" s="19" t="s">
        <v>541</v>
      </c>
      <c r="M845" s="19" t="s">
        <v>541</v>
      </c>
      <c r="N845" s="19">
        <v>50</v>
      </c>
      <c r="O845" s="19">
        <v>52.797749296699998</v>
      </c>
      <c r="P845" s="19">
        <v>5.5954985933100003</v>
      </c>
      <c r="Q845" s="19">
        <v>2.7977492966600002</v>
      </c>
      <c r="R845" s="19" t="s">
        <v>1075</v>
      </c>
      <c r="S845" s="19">
        <v>1</v>
      </c>
      <c r="T845" s="19">
        <v>1</v>
      </c>
      <c r="U845" s="19">
        <v>2.7977492966600002</v>
      </c>
      <c r="AA845" s="19">
        <v>0</v>
      </c>
    </row>
    <row r="846" spans="1:27" x14ac:dyDescent="0.25">
      <c r="A846" s="19" t="s">
        <v>1141</v>
      </c>
      <c r="B846" s="19" t="s">
        <v>1115</v>
      </c>
      <c r="C846" s="19" t="s">
        <v>1116</v>
      </c>
      <c r="D846" s="19">
        <v>1.18942509286009</v>
      </c>
      <c r="E846" s="19" t="s">
        <v>123</v>
      </c>
      <c r="F846" s="19" t="s">
        <v>124</v>
      </c>
      <c r="G846" s="19" t="s">
        <v>32</v>
      </c>
      <c r="H846" s="19" t="s">
        <v>114</v>
      </c>
      <c r="I846" s="19" t="s">
        <v>115</v>
      </c>
      <c r="J846" s="19">
        <v>27</v>
      </c>
      <c r="K846" s="19">
        <v>2.1700000000000001E-2</v>
      </c>
      <c r="L846" s="19" t="s">
        <v>541</v>
      </c>
      <c r="M846" s="19" t="s">
        <v>541</v>
      </c>
      <c r="N846" s="19">
        <v>50</v>
      </c>
      <c r="O846" s="19">
        <v>54.8122162608</v>
      </c>
      <c r="P846" s="19">
        <v>9.6244325216700002</v>
      </c>
      <c r="Q846" s="19">
        <v>4.8122162608299996</v>
      </c>
      <c r="R846" s="19" t="s">
        <v>1075</v>
      </c>
      <c r="S846" s="19">
        <v>1</v>
      </c>
      <c r="T846" s="19">
        <v>1</v>
      </c>
      <c r="U846" s="19">
        <v>4.8122162608299996</v>
      </c>
      <c r="AA846" s="19">
        <v>0</v>
      </c>
    </row>
    <row r="847" spans="1:27" x14ac:dyDescent="0.25">
      <c r="A847" s="19" t="s">
        <v>1142</v>
      </c>
      <c r="B847" s="19" t="s">
        <v>1115</v>
      </c>
      <c r="C847" s="19" t="s">
        <v>1116</v>
      </c>
      <c r="D847" s="19">
        <v>1.10801650846058</v>
      </c>
      <c r="E847" s="19" t="s">
        <v>126</v>
      </c>
      <c r="F847" s="19" t="s">
        <v>127</v>
      </c>
      <c r="G847" s="19" t="s">
        <v>32</v>
      </c>
      <c r="H847" s="19" t="s">
        <v>114</v>
      </c>
      <c r="I847" s="19" t="s">
        <v>115</v>
      </c>
      <c r="J847" s="19">
        <v>29</v>
      </c>
      <c r="K847" s="19">
        <v>2.1700000000000001E-2</v>
      </c>
      <c r="L847" s="19" t="s">
        <v>541</v>
      </c>
      <c r="M847" s="19" t="s">
        <v>541</v>
      </c>
      <c r="N847" s="19">
        <v>50</v>
      </c>
      <c r="O847" s="19">
        <v>51.060668592699997</v>
      </c>
      <c r="P847" s="19">
        <v>2.1213371853099998</v>
      </c>
      <c r="Q847" s="19">
        <v>1.0606685926499999</v>
      </c>
      <c r="R847" s="19" t="s">
        <v>1075</v>
      </c>
      <c r="S847" s="19">
        <v>1</v>
      </c>
      <c r="T847" s="19">
        <v>1</v>
      </c>
      <c r="U847" s="19">
        <v>1.0606685926499999</v>
      </c>
      <c r="AA847" s="19">
        <v>0</v>
      </c>
    </row>
    <row r="848" spans="1:27" x14ac:dyDescent="0.25">
      <c r="A848" s="19" t="s">
        <v>1143</v>
      </c>
      <c r="B848" s="19" t="s">
        <v>1115</v>
      </c>
      <c r="C848" s="19" t="s">
        <v>1116</v>
      </c>
      <c r="D848" s="19">
        <v>1.10122212126218</v>
      </c>
      <c r="E848" s="19" t="s">
        <v>129</v>
      </c>
      <c r="F848" s="19" t="s">
        <v>130</v>
      </c>
      <c r="G848" s="19" t="s">
        <v>32</v>
      </c>
      <c r="H848" s="19" t="s">
        <v>114</v>
      </c>
      <c r="I848" s="19" t="s">
        <v>115</v>
      </c>
      <c r="J848" s="19">
        <v>32</v>
      </c>
      <c r="K848" s="19">
        <v>2.1700000000000001E-2</v>
      </c>
      <c r="L848" s="19" t="s">
        <v>541</v>
      </c>
      <c r="M848" s="19" t="s">
        <v>541</v>
      </c>
      <c r="N848" s="19">
        <v>50</v>
      </c>
      <c r="O848" s="19">
        <v>50.747563191799998</v>
      </c>
      <c r="P848" s="19">
        <v>1.4951263836099999</v>
      </c>
      <c r="Q848" s="19">
        <v>0.74756319180599995</v>
      </c>
      <c r="R848" s="19" t="s">
        <v>1075</v>
      </c>
      <c r="S848" s="19">
        <v>1</v>
      </c>
      <c r="T848" s="19">
        <v>1</v>
      </c>
      <c r="U848" s="19">
        <v>0.74756319180599995</v>
      </c>
      <c r="AA848" s="19">
        <v>0</v>
      </c>
    </row>
    <row r="849" spans="1:27" x14ac:dyDescent="0.25">
      <c r="A849" s="19" t="s">
        <v>1144</v>
      </c>
      <c r="B849" s="19" t="s">
        <v>1115</v>
      </c>
      <c r="C849" s="19" t="s">
        <v>1116</v>
      </c>
      <c r="D849" s="19">
        <v>4.17</v>
      </c>
      <c r="E849" s="19" t="s">
        <v>132</v>
      </c>
      <c r="F849" s="19" t="s">
        <v>133</v>
      </c>
      <c r="G849" s="19" t="s">
        <v>134</v>
      </c>
      <c r="H849" s="19" t="s">
        <v>87</v>
      </c>
      <c r="I849" s="19" t="s">
        <v>135</v>
      </c>
      <c r="J849" s="19">
        <v>11</v>
      </c>
      <c r="K849" s="19">
        <v>4.1700000000000001E-2</v>
      </c>
      <c r="L849" s="19" t="s">
        <v>541</v>
      </c>
      <c r="M849" s="19" t="s">
        <v>541</v>
      </c>
      <c r="N849" s="19">
        <v>50</v>
      </c>
      <c r="O849" s="19">
        <v>100</v>
      </c>
      <c r="P849" s="19">
        <v>100</v>
      </c>
      <c r="Q849" s="19">
        <v>50</v>
      </c>
      <c r="R849" s="19" t="s">
        <v>1075</v>
      </c>
      <c r="S849" s="19">
        <v>1</v>
      </c>
      <c r="T849" s="19">
        <v>1</v>
      </c>
      <c r="U849" s="19">
        <v>50</v>
      </c>
      <c r="AA849" s="19">
        <v>0</v>
      </c>
    </row>
    <row r="850" spans="1:27" x14ac:dyDescent="0.25">
      <c r="A850" s="19" t="s">
        <v>1145</v>
      </c>
      <c r="B850" s="19" t="s">
        <v>1115</v>
      </c>
      <c r="C850" s="19" t="s">
        <v>1116</v>
      </c>
      <c r="D850" s="19">
        <v>4.17</v>
      </c>
      <c r="E850" s="19" t="s">
        <v>137</v>
      </c>
      <c r="F850" s="19" t="s">
        <v>138</v>
      </c>
      <c r="G850" s="19" t="s">
        <v>134</v>
      </c>
      <c r="H850" s="19" t="s">
        <v>87</v>
      </c>
      <c r="I850" s="19" t="s">
        <v>135</v>
      </c>
      <c r="J850" s="19">
        <v>9</v>
      </c>
      <c r="K850" s="19">
        <v>4.1700000000000001E-2</v>
      </c>
      <c r="L850" s="19" t="s">
        <v>541</v>
      </c>
      <c r="M850" s="19" t="s">
        <v>541</v>
      </c>
      <c r="N850" s="19">
        <v>50</v>
      </c>
      <c r="O850" s="19">
        <v>100</v>
      </c>
      <c r="P850" s="19">
        <v>100</v>
      </c>
      <c r="Q850" s="19">
        <v>50</v>
      </c>
      <c r="R850" s="19" t="s">
        <v>1075</v>
      </c>
      <c r="S850" s="19">
        <v>1</v>
      </c>
      <c r="T850" s="19">
        <v>1</v>
      </c>
      <c r="U850" s="19">
        <v>50</v>
      </c>
      <c r="AA850" s="19">
        <v>0</v>
      </c>
    </row>
    <row r="851" spans="1:27" x14ac:dyDescent="0.25">
      <c r="A851" s="19" t="s">
        <v>1146</v>
      </c>
      <c r="B851" s="19" t="s">
        <v>1115</v>
      </c>
      <c r="C851" s="19" t="s">
        <v>1116</v>
      </c>
      <c r="D851" s="19">
        <v>4.0493370923465202</v>
      </c>
      <c r="E851" s="19" t="s">
        <v>140</v>
      </c>
      <c r="F851" s="19" t="s">
        <v>141</v>
      </c>
      <c r="G851" s="19" t="s">
        <v>134</v>
      </c>
      <c r="H851" s="19" t="s">
        <v>87</v>
      </c>
      <c r="I851" s="19" t="s">
        <v>135</v>
      </c>
      <c r="J851" s="19">
        <v>10</v>
      </c>
      <c r="K851" s="19">
        <v>4.1700000000000001E-2</v>
      </c>
      <c r="L851" s="19" t="s">
        <v>541</v>
      </c>
      <c r="M851" s="19" t="s">
        <v>541</v>
      </c>
      <c r="N851" s="19">
        <v>50</v>
      </c>
      <c r="O851" s="19">
        <v>97.106405092200006</v>
      </c>
      <c r="P851" s="19">
        <v>94.2128101845</v>
      </c>
      <c r="Q851" s="19">
        <v>47.106405092199999</v>
      </c>
      <c r="R851" s="19" t="s">
        <v>1075</v>
      </c>
      <c r="S851" s="19">
        <v>1</v>
      </c>
      <c r="T851" s="19">
        <v>1</v>
      </c>
      <c r="U851" s="19">
        <v>47.106405092199999</v>
      </c>
      <c r="AA851" s="19">
        <v>0</v>
      </c>
    </row>
    <row r="852" spans="1:27" x14ac:dyDescent="0.25">
      <c r="A852" s="19" t="s">
        <v>1147</v>
      </c>
      <c r="B852" s="19" t="s">
        <v>1115</v>
      </c>
      <c r="C852" s="19" t="s">
        <v>1116</v>
      </c>
      <c r="D852" s="19">
        <v>2.5</v>
      </c>
      <c r="E852" s="19" t="s">
        <v>144</v>
      </c>
      <c r="F852" s="19" t="s">
        <v>145</v>
      </c>
      <c r="G852" s="19" t="s">
        <v>134</v>
      </c>
      <c r="H852" s="19" t="s">
        <v>146</v>
      </c>
      <c r="I852" s="19" t="s">
        <v>147</v>
      </c>
      <c r="J852" s="19">
        <v>4</v>
      </c>
      <c r="K852" s="19">
        <v>2.5000000000000001E-2</v>
      </c>
      <c r="L852" s="19" t="s">
        <v>541</v>
      </c>
      <c r="M852" s="19" t="s">
        <v>541</v>
      </c>
      <c r="N852" s="19">
        <v>50</v>
      </c>
      <c r="O852" s="19">
        <v>100</v>
      </c>
      <c r="P852" s="19">
        <v>100</v>
      </c>
      <c r="Q852" s="19">
        <v>50</v>
      </c>
      <c r="R852" s="19" t="s">
        <v>1075</v>
      </c>
      <c r="S852" s="19">
        <v>1</v>
      </c>
      <c r="T852" s="19">
        <v>1</v>
      </c>
      <c r="U852" s="19">
        <v>50</v>
      </c>
      <c r="AA852" s="19">
        <v>0</v>
      </c>
    </row>
    <row r="853" spans="1:27" x14ac:dyDescent="0.25">
      <c r="A853" s="19" t="s">
        <v>1148</v>
      </c>
      <c r="B853" s="19" t="s">
        <v>1115</v>
      </c>
      <c r="C853" s="19" t="s">
        <v>1116</v>
      </c>
      <c r="D853" s="19">
        <v>2.5</v>
      </c>
      <c r="E853" s="19" t="s">
        <v>149</v>
      </c>
      <c r="F853" s="19" t="s">
        <v>150</v>
      </c>
      <c r="G853" s="19" t="s">
        <v>134</v>
      </c>
      <c r="H853" s="19" t="s">
        <v>146</v>
      </c>
      <c r="I853" s="19" t="s">
        <v>147</v>
      </c>
      <c r="J853" s="19">
        <v>5</v>
      </c>
      <c r="K853" s="19">
        <v>2.5000000000000001E-2</v>
      </c>
      <c r="L853" s="19" t="s">
        <v>541</v>
      </c>
      <c r="M853" s="19" t="s">
        <v>541</v>
      </c>
      <c r="N853" s="19">
        <v>50</v>
      </c>
      <c r="O853" s="19">
        <v>100</v>
      </c>
      <c r="P853" s="19">
        <v>100</v>
      </c>
      <c r="Q853" s="19">
        <v>50</v>
      </c>
      <c r="R853" s="19" t="s">
        <v>1075</v>
      </c>
      <c r="S853" s="19">
        <v>1</v>
      </c>
      <c r="T853" s="19">
        <v>1</v>
      </c>
      <c r="U853" s="19">
        <v>50</v>
      </c>
      <c r="AA853" s="19">
        <v>0</v>
      </c>
    </row>
    <row r="854" spans="1:27" x14ac:dyDescent="0.25">
      <c r="A854" s="19" t="s">
        <v>1149</v>
      </c>
      <c r="B854" s="19" t="s">
        <v>1115</v>
      </c>
      <c r="C854" s="19" t="s">
        <v>1116</v>
      </c>
      <c r="D854" s="19">
        <v>2.5</v>
      </c>
      <c r="E854" s="19" t="s">
        <v>152</v>
      </c>
      <c r="F854" s="19" t="s">
        <v>153</v>
      </c>
      <c r="G854" s="19" t="s">
        <v>134</v>
      </c>
      <c r="H854" s="19" t="s">
        <v>146</v>
      </c>
      <c r="I854" s="19" t="s">
        <v>147</v>
      </c>
      <c r="J854" s="19">
        <v>6</v>
      </c>
      <c r="K854" s="19">
        <v>2.5000000000000001E-2</v>
      </c>
      <c r="L854" s="19" t="s">
        <v>541</v>
      </c>
      <c r="M854" s="19" t="s">
        <v>541</v>
      </c>
      <c r="N854" s="19">
        <v>50</v>
      </c>
      <c r="O854" s="19">
        <v>100</v>
      </c>
      <c r="P854" s="19">
        <v>100</v>
      </c>
      <c r="Q854" s="19">
        <v>50</v>
      </c>
      <c r="R854" s="19" t="s">
        <v>1075</v>
      </c>
      <c r="S854" s="19">
        <v>1</v>
      </c>
      <c r="T854" s="19">
        <v>1</v>
      </c>
      <c r="U854" s="19">
        <v>50</v>
      </c>
      <c r="AA854" s="19">
        <v>0</v>
      </c>
    </row>
    <row r="855" spans="1:27" x14ac:dyDescent="0.25">
      <c r="A855" s="19" t="s">
        <v>1150</v>
      </c>
      <c r="B855" s="19" t="s">
        <v>1115</v>
      </c>
      <c r="C855" s="19" t="s">
        <v>1116</v>
      </c>
      <c r="D855" s="19">
        <v>2.5</v>
      </c>
      <c r="E855" s="19" t="s">
        <v>155</v>
      </c>
      <c r="F855" s="19" t="s">
        <v>156</v>
      </c>
      <c r="G855" s="19" t="s">
        <v>134</v>
      </c>
      <c r="H855" s="19" t="s">
        <v>146</v>
      </c>
      <c r="I855" s="19" t="s">
        <v>147</v>
      </c>
      <c r="J855" s="19">
        <v>7</v>
      </c>
      <c r="K855" s="19">
        <v>2.5000000000000001E-2</v>
      </c>
      <c r="L855" s="19" t="s">
        <v>541</v>
      </c>
      <c r="M855" s="19" t="s">
        <v>541</v>
      </c>
      <c r="N855" s="19">
        <v>50</v>
      </c>
      <c r="O855" s="19">
        <v>100</v>
      </c>
      <c r="P855" s="19">
        <v>100</v>
      </c>
      <c r="Q855" s="19">
        <v>50</v>
      </c>
      <c r="R855" s="19" t="s">
        <v>1075</v>
      </c>
      <c r="S855" s="19">
        <v>1</v>
      </c>
      <c r="T855" s="19">
        <v>1</v>
      </c>
      <c r="U855" s="19">
        <v>50</v>
      </c>
      <c r="AA855" s="19">
        <v>0</v>
      </c>
    </row>
    <row r="856" spans="1:27" x14ac:dyDescent="0.25">
      <c r="A856" s="19" t="s">
        <v>1151</v>
      </c>
      <c r="B856" s="19" t="s">
        <v>1115</v>
      </c>
      <c r="C856" s="19" t="s">
        <v>1116</v>
      </c>
      <c r="D856" s="19">
        <v>2.43055555555555</v>
      </c>
      <c r="E856" s="19" t="s">
        <v>158</v>
      </c>
      <c r="F856" s="19" t="s">
        <v>159</v>
      </c>
      <c r="G856" s="19" t="s">
        <v>134</v>
      </c>
      <c r="H856" s="19" t="s">
        <v>146</v>
      </c>
      <c r="I856" s="19" t="s">
        <v>147</v>
      </c>
      <c r="J856" s="19">
        <v>8</v>
      </c>
      <c r="K856" s="19">
        <v>2.5000000000000001E-2</v>
      </c>
      <c r="L856" s="19" t="s">
        <v>541</v>
      </c>
      <c r="M856" s="19" t="s">
        <v>541</v>
      </c>
      <c r="N856" s="19">
        <v>50</v>
      </c>
      <c r="O856" s="19">
        <v>97.222222222200003</v>
      </c>
      <c r="P856" s="19">
        <v>94.444444444400006</v>
      </c>
      <c r="Q856" s="19">
        <v>47.222222222200003</v>
      </c>
      <c r="R856" s="19" t="s">
        <v>1075</v>
      </c>
      <c r="S856" s="19">
        <v>1</v>
      </c>
      <c r="T856" s="19">
        <v>1</v>
      </c>
      <c r="U856" s="19">
        <v>47.222222222200003</v>
      </c>
      <c r="AA856" s="19">
        <v>0</v>
      </c>
    </row>
    <row r="857" spans="1:27" x14ac:dyDescent="0.25">
      <c r="A857" s="19" t="s">
        <v>1152</v>
      </c>
      <c r="B857" s="19" t="s">
        <v>1115</v>
      </c>
      <c r="C857" s="19" t="s">
        <v>1116</v>
      </c>
      <c r="D857" s="19">
        <v>3.33</v>
      </c>
      <c r="E857" s="19" t="s">
        <v>161</v>
      </c>
      <c r="F857" s="19" t="s">
        <v>162</v>
      </c>
      <c r="G857" s="19" t="s">
        <v>163</v>
      </c>
      <c r="I857" s="19" t="s">
        <v>164</v>
      </c>
      <c r="J857" s="19">
        <v>1</v>
      </c>
      <c r="K857" s="19">
        <v>3.3300000000000003E-2</v>
      </c>
      <c r="L857" s="19" t="s">
        <v>35</v>
      </c>
      <c r="M857" s="19" t="s">
        <v>165</v>
      </c>
      <c r="N857" s="19">
        <v>100</v>
      </c>
      <c r="O857" s="19">
        <v>100</v>
      </c>
      <c r="P857" s="19">
        <v>0</v>
      </c>
      <c r="Q857" s="19">
        <v>0</v>
      </c>
      <c r="R857" s="19" t="s">
        <v>1075</v>
      </c>
      <c r="S857" s="19">
        <v>1</v>
      </c>
      <c r="T857" s="19">
        <v>1</v>
      </c>
      <c r="U857" s="19">
        <v>0</v>
      </c>
      <c r="W857" s="19">
        <v>0</v>
      </c>
      <c r="X857" s="19">
        <v>100</v>
      </c>
      <c r="Z857" s="19">
        <v>0</v>
      </c>
      <c r="AA857" s="19">
        <v>100</v>
      </c>
    </row>
    <row r="858" spans="1:27" x14ac:dyDescent="0.25">
      <c r="A858" s="19" t="s">
        <v>1153</v>
      </c>
      <c r="B858" s="19" t="s">
        <v>1115</v>
      </c>
      <c r="C858" s="19" t="s">
        <v>1116</v>
      </c>
      <c r="D858" s="19">
        <v>3.33</v>
      </c>
      <c r="E858" s="19" t="s">
        <v>167</v>
      </c>
      <c r="F858" s="19" t="s">
        <v>168</v>
      </c>
      <c r="G858" s="19" t="s">
        <v>163</v>
      </c>
      <c r="I858" s="19" t="s">
        <v>164</v>
      </c>
      <c r="J858" s="19">
        <v>3</v>
      </c>
      <c r="K858" s="19">
        <v>3.3300000000000003E-2</v>
      </c>
      <c r="L858" s="19" t="s">
        <v>35</v>
      </c>
      <c r="M858" s="19" t="s">
        <v>165</v>
      </c>
      <c r="N858" s="19">
        <v>100</v>
      </c>
      <c r="O858" s="19">
        <v>100</v>
      </c>
      <c r="P858" s="19">
        <v>0</v>
      </c>
      <c r="Q858" s="19">
        <v>0</v>
      </c>
      <c r="R858" s="19" t="s">
        <v>1075</v>
      </c>
      <c r="S858" s="19">
        <v>1</v>
      </c>
      <c r="T858" s="19">
        <v>1</v>
      </c>
      <c r="U858" s="19">
        <v>0</v>
      </c>
      <c r="W858" s="19">
        <v>0</v>
      </c>
      <c r="X858" s="19">
        <v>100</v>
      </c>
      <c r="Z858" s="19">
        <v>0</v>
      </c>
      <c r="AA858" s="19">
        <v>100</v>
      </c>
    </row>
    <row r="859" spans="1:27" x14ac:dyDescent="0.25">
      <c r="A859" s="19" t="s">
        <v>1154</v>
      </c>
      <c r="B859" s="19" t="s">
        <v>1115</v>
      </c>
      <c r="C859" s="19" t="s">
        <v>1116</v>
      </c>
      <c r="D859" s="19">
        <v>3.1635</v>
      </c>
      <c r="E859" s="19" t="s">
        <v>170</v>
      </c>
      <c r="F859" s="19" t="s">
        <v>171</v>
      </c>
      <c r="G859" s="19" t="s">
        <v>163</v>
      </c>
      <c r="I859" s="19" t="s">
        <v>164</v>
      </c>
      <c r="J859" s="19">
        <v>2</v>
      </c>
      <c r="K859" s="19">
        <v>3.3300000000000003E-2</v>
      </c>
      <c r="L859" s="19" t="s">
        <v>35</v>
      </c>
      <c r="M859" s="19" t="s">
        <v>165</v>
      </c>
      <c r="N859" s="19">
        <v>95</v>
      </c>
      <c r="O859" s="19">
        <v>95</v>
      </c>
      <c r="P859" s="19">
        <v>0</v>
      </c>
      <c r="Q859" s="19">
        <v>0</v>
      </c>
      <c r="R859" s="19" t="s">
        <v>1075</v>
      </c>
      <c r="S859" s="19">
        <v>1</v>
      </c>
      <c r="T859" s="19">
        <v>1</v>
      </c>
      <c r="U859" s="19">
        <v>0</v>
      </c>
      <c r="W859" s="19">
        <v>0</v>
      </c>
      <c r="X859" s="19">
        <v>95</v>
      </c>
      <c r="Z859" s="19">
        <v>0</v>
      </c>
      <c r="AA859" s="19">
        <v>95</v>
      </c>
    </row>
    <row r="860" spans="1:27" x14ac:dyDescent="0.25">
      <c r="A860" s="19" t="s">
        <v>1889</v>
      </c>
      <c r="B860" s="19" t="s">
        <v>1890</v>
      </c>
      <c r="C860" s="19" t="s">
        <v>1891</v>
      </c>
      <c r="D860" s="19">
        <v>1.63</v>
      </c>
      <c r="E860" s="19" t="s">
        <v>38</v>
      </c>
      <c r="F860" s="19" t="s">
        <v>39</v>
      </c>
      <c r="G860" s="19" t="s">
        <v>32</v>
      </c>
      <c r="H860" s="19" t="s">
        <v>33</v>
      </c>
      <c r="I860" s="19" t="s">
        <v>34</v>
      </c>
      <c r="J860" s="19">
        <v>19</v>
      </c>
      <c r="K860" s="19">
        <v>1.6299999999999999E-2</v>
      </c>
      <c r="L860" s="19" t="s">
        <v>541</v>
      </c>
      <c r="M860" s="19" t="s">
        <v>541</v>
      </c>
      <c r="N860" s="19">
        <v>50</v>
      </c>
      <c r="O860" s="19">
        <v>100</v>
      </c>
      <c r="P860" s="19">
        <v>100</v>
      </c>
      <c r="Q860" s="19">
        <v>50</v>
      </c>
      <c r="R860" s="19" t="s">
        <v>1075</v>
      </c>
      <c r="S860" s="19">
        <v>1</v>
      </c>
      <c r="T860" s="19">
        <v>1</v>
      </c>
      <c r="U860" s="19">
        <v>50</v>
      </c>
      <c r="AA860" s="19">
        <v>0</v>
      </c>
    </row>
    <row r="861" spans="1:27" x14ac:dyDescent="0.25">
      <c r="A861" s="19" t="s">
        <v>1892</v>
      </c>
      <c r="B861" s="19" t="s">
        <v>1890</v>
      </c>
      <c r="C861" s="19" t="s">
        <v>1891</v>
      </c>
      <c r="D861" s="19">
        <v>1.6048937944839801</v>
      </c>
      <c r="E861" s="19" t="s">
        <v>46</v>
      </c>
      <c r="F861" s="19" t="s">
        <v>47</v>
      </c>
      <c r="G861" s="19" t="s">
        <v>32</v>
      </c>
      <c r="H861" s="19" t="s">
        <v>33</v>
      </c>
      <c r="I861" s="19" t="s">
        <v>34</v>
      </c>
      <c r="J861" s="19">
        <v>15</v>
      </c>
      <c r="K861" s="19">
        <v>1.6299999999999999E-2</v>
      </c>
      <c r="L861" s="19" t="s">
        <v>541</v>
      </c>
      <c r="M861" s="19" t="s">
        <v>541</v>
      </c>
      <c r="N861" s="19">
        <v>50</v>
      </c>
      <c r="O861" s="19">
        <v>98.459741992900007</v>
      </c>
      <c r="P861" s="19">
        <v>96.919483985799999</v>
      </c>
      <c r="Q861" s="19">
        <v>48.4597419929</v>
      </c>
      <c r="R861" s="19" t="s">
        <v>1075</v>
      </c>
      <c r="S861" s="19">
        <v>1</v>
      </c>
      <c r="T861" s="19">
        <v>1</v>
      </c>
      <c r="U861" s="19">
        <v>48.4597419929</v>
      </c>
      <c r="AA861" s="19">
        <v>0</v>
      </c>
    </row>
    <row r="862" spans="1:27" x14ac:dyDescent="0.25">
      <c r="A862" s="19" t="s">
        <v>1893</v>
      </c>
      <c r="B862" s="19" t="s">
        <v>1890</v>
      </c>
      <c r="C862" s="19" t="s">
        <v>1891</v>
      </c>
      <c r="D862" s="19">
        <v>1.63</v>
      </c>
      <c r="E862" s="19" t="s">
        <v>49</v>
      </c>
      <c r="F862" s="19" t="s">
        <v>50</v>
      </c>
      <c r="G862" s="19" t="s">
        <v>32</v>
      </c>
      <c r="H862" s="19" t="s">
        <v>33</v>
      </c>
      <c r="I862" s="19" t="s">
        <v>34</v>
      </c>
      <c r="J862" s="19">
        <v>12</v>
      </c>
      <c r="K862" s="19">
        <v>1.6299999999999999E-2</v>
      </c>
      <c r="L862" s="19" t="s">
        <v>541</v>
      </c>
      <c r="M862" s="19" t="s">
        <v>541</v>
      </c>
      <c r="N862" s="19">
        <v>50</v>
      </c>
      <c r="O862" s="19">
        <v>100</v>
      </c>
      <c r="P862" s="19">
        <v>100</v>
      </c>
      <c r="Q862" s="19">
        <v>50</v>
      </c>
      <c r="R862" s="19" t="s">
        <v>1075</v>
      </c>
      <c r="S862" s="19">
        <v>1</v>
      </c>
      <c r="T862" s="19">
        <v>1</v>
      </c>
      <c r="U862" s="19">
        <v>50</v>
      </c>
      <c r="AA862" s="19">
        <v>0</v>
      </c>
    </row>
    <row r="863" spans="1:27" x14ac:dyDescent="0.25">
      <c r="A863" s="19" t="s">
        <v>1894</v>
      </c>
      <c r="B863" s="19" t="s">
        <v>1890</v>
      </c>
      <c r="C863" s="19" t="s">
        <v>1891</v>
      </c>
      <c r="D863" s="19">
        <v>1.63</v>
      </c>
      <c r="E863" s="19" t="s">
        <v>52</v>
      </c>
      <c r="F863" s="19" t="s">
        <v>53</v>
      </c>
      <c r="G863" s="19" t="s">
        <v>32</v>
      </c>
      <c r="H863" s="19" t="s">
        <v>33</v>
      </c>
      <c r="I863" s="19" t="s">
        <v>34</v>
      </c>
      <c r="J863" s="19">
        <v>16</v>
      </c>
      <c r="K863" s="19">
        <v>1.6299999999999999E-2</v>
      </c>
      <c r="L863" s="19" t="s">
        <v>541</v>
      </c>
      <c r="M863" s="19" t="s">
        <v>541</v>
      </c>
      <c r="N863" s="19">
        <v>50</v>
      </c>
      <c r="O863" s="19">
        <v>100</v>
      </c>
      <c r="P863" s="19">
        <v>100</v>
      </c>
      <c r="Q863" s="19">
        <v>50</v>
      </c>
      <c r="R863" s="19" t="s">
        <v>1075</v>
      </c>
      <c r="S863" s="19">
        <v>1</v>
      </c>
      <c r="T863" s="19">
        <v>1</v>
      </c>
      <c r="U863" s="19">
        <v>50</v>
      </c>
      <c r="AA863" s="19">
        <v>0</v>
      </c>
    </row>
    <row r="864" spans="1:27" x14ac:dyDescent="0.25">
      <c r="A864" s="19" t="s">
        <v>1895</v>
      </c>
      <c r="B864" s="19" t="s">
        <v>1890</v>
      </c>
      <c r="C864" s="19" t="s">
        <v>1891</v>
      </c>
      <c r="D864" s="19">
        <v>1.6290030026690301</v>
      </c>
      <c r="E864" s="19" t="s">
        <v>55</v>
      </c>
      <c r="F864" s="19" t="s">
        <v>56</v>
      </c>
      <c r="G864" s="19" t="s">
        <v>32</v>
      </c>
      <c r="H864" s="19" t="s">
        <v>33</v>
      </c>
      <c r="I864" s="19" t="s">
        <v>34</v>
      </c>
      <c r="J864" s="19">
        <v>14</v>
      </c>
      <c r="K864" s="19">
        <v>1.6299999999999999E-2</v>
      </c>
      <c r="L864" s="19" t="s">
        <v>541</v>
      </c>
      <c r="M864" s="19" t="s">
        <v>541</v>
      </c>
      <c r="N864" s="19">
        <v>50</v>
      </c>
      <c r="O864" s="19">
        <v>99.938834519599993</v>
      </c>
      <c r="P864" s="19">
        <v>99.877669039099999</v>
      </c>
      <c r="Q864" s="19">
        <v>49.9388345196</v>
      </c>
      <c r="R864" s="19" t="s">
        <v>1075</v>
      </c>
      <c r="S864" s="19">
        <v>1</v>
      </c>
      <c r="T864" s="19">
        <v>1</v>
      </c>
      <c r="U864" s="19">
        <v>49.9388345196</v>
      </c>
      <c r="AA864" s="19">
        <v>0</v>
      </c>
    </row>
    <row r="865" spans="1:27" x14ac:dyDescent="0.25">
      <c r="A865" s="19" t="s">
        <v>1896</v>
      </c>
      <c r="B865" s="19" t="s">
        <v>1890</v>
      </c>
      <c r="C865" s="19" t="s">
        <v>1891</v>
      </c>
      <c r="D865" s="19">
        <v>1.63</v>
      </c>
      <c r="E865" s="19" t="s">
        <v>58</v>
      </c>
      <c r="F865" s="19" t="s">
        <v>59</v>
      </c>
      <c r="G865" s="19" t="s">
        <v>32</v>
      </c>
      <c r="H865" s="19" t="s">
        <v>33</v>
      </c>
      <c r="I865" s="19" t="s">
        <v>34</v>
      </c>
      <c r="J865" s="19">
        <v>13</v>
      </c>
      <c r="K865" s="19">
        <v>1.6299999999999999E-2</v>
      </c>
      <c r="L865" s="19" t="s">
        <v>541</v>
      </c>
      <c r="M865" s="19" t="s">
        <v>541</v>
      </c>
      <c r="N865" s="19">
        <v>50</v>
      </c>
      <c r="O865" s="19">
        <v>100</v>
      </c>
      <c r="P865" s="19">
        <v>100</v>
      </c>
      <c r="Q865" s="19">
        <v>50</v>
      </c>
      <c r="R865" s="19" t="s">
        <v>1075</v>
      </c>
      <c r="S865" s="19">
        <v>1</v>
      </c>
      <c r="T865" s="19">
        <v>1</v>
      </c>
      <c r="U865" s="19">
        <v>50</v>
      </c>
      <c r="AA865" s="19">
        <v>0</v>
      </c>
    </row>
    <row r="866" spans="1:27" x14ac:dyDescent="0.25">
      <c r="A866" s="19" t="s">
        <v>1897</v>
      </c>
      <c r="B866" s="19" t="s">
        <v>1890</v>
      </c>
      <c r="C866" s="19" t="s">
        <v>1891</v>
      </c>
      <c r="D866" s="19">
        <v>1.7943249555160099</v>
      </c>
      <c r="E866" s="19" t="s">
        <v>61</v>
      </c>
      <c r="F866" s="19" t="s">
        <v>62</v>
      </c>
      <c r="G866" s="19" t="s">
        <v>32</v>
      </c>
      <c r="H866" s="19" t="s">
        <v>63</v>
      </c>
      <c r="I866" s="19" t="s">
        <v>64</v>
      </c>
      <c r="J866" s="19">
        <v>22</v>
      </c>
      <c r="K866" s="19">
        <v>1.8599999999999998E-2</v>
      </c>
      <c r="L866" s="19" t="s">
        <v>541</v>
      </c>
      <c r="M866" s="19" t="s">
        <v>541</v>
      </c>
      <c r="N866" s="19">
        <v>50</v>
      </c>
      <c r="O866" s="19">
        <v>96.469083629899998</v>
      </c>
      <c r="P866" s="19">
        <v>92.938167259799997</v>
      </c>
      <c r="Q866" s="19">
        <v>46.469083629899998</v>
      </c>
      <c r="R866" s="19" t="s">
        <v>1075</v>
      </c>
      <c r="S866" s="19">
        <v>1</v>
      </c>
      <c r="T866" s="19">
        <v>1</v>
      </c>
      <c r="U866" s="19">
        <v>46.469083629899998</v>
      </c>
      <c r="AA866" s="19">
        <v>0</v>
      </c>
    </row>
    <row r="867" spans="1:27" x14ac:dyDescent="0.25">
      <c r="A867" s="19" t="s">
        <v>1898</v>
      </c>
      <c r="B867" s="19" t="s">
        <v>1890</v>
      </c>
      <c r="C867" s="19" t="s">
        <v>1891</v>
      </c>
      <c r="D867" s="19">
        <v>1.8599999999999901</v>
      </c>
      <c r="E867" s="19" t="s">
        <v>66</v>
      </c>
      <c r="F867" s="19" t="s">
        <v>67</v>
      </c>
      <c r="G867" s="19" t="s">
        <v>32</v>
      </c>
      <c r="H867" s="19" t="s">
        <v>63</v>
      </c>
      <c r="I867" s="19" t="s">
        <v>64</v>
      </c>
      <c r="J867" s="19">
        <v>20</v>
      </c>
      <c r="K867" s="19">
        <v>1.8599999999999998E-2</v>
      </c>
      <c r="L867" s="19" t="s">
        <v>541</v>
      </c>
      <c r="M867" s="19" t="s">
        <v>541</v>
      </c>
      <c r="N867" s="19">
        <v>50</v>
      </c>
      <c r="O867" s="19">
        <v>100</v>
      </c>
      <c r="P867" s="19">
        <v>100</v>
      </c>
      <c r="Q867" s="19">
        <v>50</v>
      </c>
      <c r="R867" s="19" t="s">
        <v>1075</v>
      </c>
      <c r="S867" s="19">
        <v>1</v>
      </c>
      <c r="T867" s="19">
        <v>1</v>
      </c>
      <c r="U867" s="19">
        <v>50</v>
      </c>
      <c r="AA867" s="19">
        <v>0</v>
      </c>
    </row>
    <row r="868" spans="1:27" x14ac:dyDescent="0.25">
      <c r="A868" s="19" t="s">
        <v>1899</v>
      </c>
      <c r="B868" s="19" t="s">
        <v>1890</v>
      </c>
      <c r="C868" s="19" t="s">
        <v>1891</v>
      </c>
      <c r="D868" s="19">
        <v>1.8599999999999901</v>
      </c>
      <c r="E868" s="19" t="s">
        <v>72</v>
      </c>
      <c r="F868" s="19" t="s">
        <v>73</v>
      </c>
      <c r="G868" s="19" t="s">
        <v>32</v>
      </c>
      <c r="H868" s="19" t="s">
        <v>63</v>
      </c>
      <c r="I868" s="19" t="s">
        <v>64</v>
      </c>
      <c r="J868" s="19">
        <v>21</v>
      </c>
      <c r="K868" s="19">
        <v>1.8599999999999998E-2</v>
      </c>
      <c r="L868" s="19" t="s">
        <v>541</v>
      </c>
      <c r="M868" s="19" t="s">
        <v>541</v>
      </c>
      <c r="N868" s="19">
        <v>50</v>
      </c>
      <c r="O868" s="19">
        <v>100</v>
      </c>
      <c r="P868" s="19">
        <v>100</v>
      </c>
      <c r="Q868" s="19">
        <v>50</v>
      </c>
      <c r="R868" s="19" t="s">
        <v>1075</v>
      </c>
      <c r="S868" s="19">
        <v>1</v>
      </c>
      <c r="T868" s="19">
        <v>1</v>
      </c>
      <c r="U868" s="19">
        <v>50</v>
      </c>
      <c r="AA868" s="19">
        <v>0</v>
      </c>
    </row>
    <row r="869" spans="1:27" x14ac:dyDescent="0.25">
      <c r="A869" s="19" t="s">
        <v>1900</v>
      </c>
      <c r="B869" s="19" t="s">
        <v>1890</v>
      </c>
      <c r="C869" s="19" t="s">
        <v>1891</v>
      </c>
      <c r="D869" s="19">
        <v>1.8599999999999901</v>
      </c>
      <c r="E869" s="19" t="s">
        <v>75</v>
      </c>
      <c r="F869" s="19" t="s">
        <v>76</v>
      </c>
      <c r="G869" s="19" t="s">
        <v>32</v>
      </c>
      <c r="H869" s="19" t="s">
        <v>63</v>
      </c>
      <c r="I869" s="19" t="s">
        <v>64</v>
      </c>
      <c r="J869" s="19">
        <v>24</v>
      </c>
      <c r="K869" s="19">
        <v>1.8599999999999998E-2</v>
      </c>
      <c r="L869" s="19" t="s">
        <v>541</v>
      </c>
      <c r="M869" s="19" t="s">
        <v>541</v>
      </c>
      <c r="N869" s="19">
        <v>50</v>
      </c>
      <c r="O869" s="19">
        <v>100</v>
      </c>
      <c r="P869" s="19">
        <v>100</v>
      </c>
      <c r="Q869" s="19">
        <v>50</v>
      </c>
      <c r="R869" s="19" t="s">
        <v>1075</v>
      </c>
      <c r="S869" s="19">
        <v>1</v>
      </c>
      <c r="T869" s="19">
        <v>1</v>
      </c>
      <c r="U869" s="19">
        <v>50</v>
      </c>
      <c r="AA869" s="19">
        <v>0</v>
      </c>
    </row>
    <row r="870" spans="1:27" x14ac:dyDescent="0.25">
      <c r="A870" s="19" t="s">
        <v>1901</v>
      </c>
      <c r="B870" s="19" t="s">
        <v>1890</v>
      </c>
      <c r="C870" s="19" t="s">
        <v>1891</v>
      </c>
      <c r="D870" s="19">
        <v>0.98124339323467202</v>
      </c>
      <c r="E870" s="19" t="s">
        <v>78</v>
      </c>
      <c r="F870" s="19" t="s">
        <v>79</v>
      </c>
      <c r="G870" s="19" t="s">
        <v>32</v>
      </c>
      <c r="H870" s="19" t="s">
        <v>63</v>
      </c>
      <c r="I870" s="19" t="s">
        <v>64</v>
      </c>
      <c r="J870" s="19">
        <v>25</v>
      </c>
      <c r="K870" s="19">
        <v>1.8599999999999998E-2</v>
      </c>
      <c r="L870" s="19" t="s">
        <v>541</v>
      </c>
      <c r="M870" s="19" t="s">
        <v>541</v>
      </c>
      <c r="N870" s="19">
        <v>50</v>
      </c>
      <c r="O870" s="19">
        <v>52.755021141599997</v>
      </c>
      <c r="P870" s="19">
        <v>5.5100422832999998</v>
      </c>
      <c r="Q870" s="19">
        <v>2.7550211416499999</v>
      </c>
      <c r="R870" s="19" t="s">
        <v>1075</v>
      </c>
      <c r="S870" s="19">
        <v>1</v>
      </c>
      <c r="T870" s="19">
        <v>1</v>
      </c>
      <c r="U870" s="19">
        <v>2.7550211416499999</v>
      </c>
      <c r="AA870" s="19">
        <v>0</v>
      </c>
    </row>
    <row r="871" spans="1:27" x14ac:dyDescent="0.25">
      <c r="A871" s="19" t="s">
        <v>1902</v>
      </c>
      <c r="B871" s="19" t="s">
        <v>1890</v>
      </c>
      <c r="C871" s="19" t="s">
        <v>1891</v>
      </c>
      <c r="D871" s="19">
        <v>1.6926579181494601</v>
      </c>
      <c r="E871" s="19" t="s">
        <v>82</v>
      </c>
      <c r="F871" s="19" t="s">
        <v>83</v>
      </c>
      <c r="G871" s="19" t="s">
        <v>32</v>
      </c>
      <c r="H871" s="19" t="s">
        <v>63</v>
      </c>
      <c r="I871" s="19" t="s">
        <v>64</v>
      </c>
      <c r="J871" s="19">
        <v>26</v>
      </c>
      <c r="K871" s="19">
        <v>1.8599999999999998E-2</v>
      </c>
      <c r="L871" s="19" t="s">
        <v>541</v>
      </c>
      <c r="M871" s="19" t="s">
        <v>541</v>
      </c>
      <c r="N871" s="19">
        <v>50</v>
      </c>
      <c r="O871" s="19">
        <v>91.003113878999997</v>
      </c>
      <c r="P871" s="19">
        <v>82.006227757999994</v>
      </c>
      <c r="Q871" s="19">
        <v>41.003113878999997</v>
      </c>
      <c r="R871" s="19" t="s">
        <v>1075</v>
      </c>
      <c r="S871" s="19">
        <v>1</v>
      </c>
      <c r="T871" s="19">
        <v>1</v>
      </c>
      <c r="U871" s="19">
        <v>41.003113878999997</v>
      </c>
      <c r="AA871" s="19">
        <v>0</v>
      </c>
    </row>
    <row r="872" spans="1:27" x14ac:dyDescent="0.25">
      <c r="A872" s="19" t="s">
        <v>1903</v>
      </c>
      <c r="B872" s="19" t="s">
        <v>1890</v>
      </c>
      <c r="C872" s="19" t="s">
        <v>1891</v>
      </c>
      <c r="D872" s="19">
        <v>3.25</v>
      </c>
      <c r="E872" s="19" t="s">
        <v>85</v>
      </c>
      <c r="F872" s="19" t="s">
        <v>86</v>
      </c>
      <c r="G872" s="19" t="s">
        <v>32</v>
      </c>
      <c r="H872" s="19" t="s">
        <v>87</v>
      </c>
      <c r="I872" s="19" t="s">
        <v>88</v>
      </c>
      <c r="J872" s="19">
        <v>35</v>
      </c>
      <c r="K872" s="19">
        <v>3.2500000000000001E-2</v>
      </c>
      <c r="L872" s="19" t="s">
        <v>541</v>
      </c>
      <c r="M872" s="19" t="s">
        <v>541</v>
      </c>
      <c r="N872" s="19">
        <v>50</v>
      </c>
      <c r="O872" s="19">
        <v>100</v>
      </c>
      <c r="P872" s="19">
        <v>100</v>
      </c>
      <c r="Q872" s="19">
        <v>50</v>
      </c>
      <c r="R872" s="19" t="s">
        <v>1075</v>
      </c>
      <c r="S872" s="19">
        <v>1</v>
      </c>
      <c r="T872" s="19">
        <v>1</v>
      </c>
      <c r="U872" s="19">
        <v>50</v>
      </c>
      <c r="AA872" s="19">
        <v>0</v>
      </c>
    </row>
    <row r="873" spans="1:27" x14ac:dyDescent="0.25">
      <c r="A873" s="19" t="s">
        <v>1904</v>
      </c>
      <c r="B873" s="19" t="s">
        <v>1890</v>
      </c>
      <c r="C873" s="19" t="s">
        <v>1891</v>
      </c>
      <c r="D873" s="19">
        <v>1.87718900966183</v>
      </c>
      <c r="E873" s="19" t="s">
        <v>90</v>
      </c>
      <c r="F873" s="19" t="s">
        <v>91</v>
      </c>
      <c r="G873" s="19" t="s">
        <v>32</v>
      </c>
      <c r="H873" s="19" t="s">
        <v>87</v>
      </c>
      <c r="I873" s="19" t="s">
        <v>88</v>
      </c>
      <c r="J873" s="19">
        <v>33</v>
      </c>
      <c r="K873" s="19">
        <v>3.2500000000000001E-2</v>
      </c>
      <c r="L873" s="19" t="s">
        <v>541</v>
      </c>
      <c r="M873" s="19" t="s">
        <v>541</v>
      </c>
      <c r="N873" s="19">
        <v>50</v>
      </c>
      <c r="O873" s="19">
        <v>57.759661835700001</v>
      </c>
      <c r="P873" s="19">
        <v>15.5193236715</v>
      </c>
      <c r="Q873" s="19">
        <v>7.7596618357500002</v>
      </c>
      <c r="R873" s="19" t="s">
        <v>1075</v>
      </c>
      <c r="S873" s="19">
        <v>1</v>
      </c>
      <c r="T873" s="19">
        <v>1</v>
      </c>
      <c r="U873" s="19">
        <v>7.7596618357500002</v>
      </c>
      <c r="AA873" s="19">
        <v>0</v>
      </c>
    </row>
    <row r="874" spans="1:27" x14ac:dyDescent="0.25">
      <c r="A874" s="19" t="s">
        <v>1905</v>
      </c>
      <c r="B874" s="19" t="s">
        <v>1890</v>
      </c>
      <c r="C874" s="19" t="s">
        <v>1891</v>
      </c>
      <c r="D874" s="19">
        <v>3.25</v>
      </c>
      <c r="E874" s="19" t="s">
        <v>93</v>
      </c>
      <c r="F874" s="19" t="s">
        <v>94</v>
      </c>
      <c r="G874" s="19" t="s">
        <v>32</v>
      </c>
      <c r="H874" s="19" t="s">
        <v>87</v>
      </c>
      <c r="I874" s="19" t="s">
        <v>88</v>
      </c>
      <c r="J874" s="19">
        <v>34</v>
      </c>
      <c r="K874" s="19">
        <v>3.2500000000000001E-2</v>
      </c>
      <c r="L874" s="19" t="s">
        <v>541</v>
      </c>
      <c r="M874" s="19" t="s">
        <v>541</v>
      </c>
      <c r="N874" s="19">
        <v>50</v>
      </c>
      <c r="O874" s="19">
        <v>100</v>
      </c>
      <c r="P874" s="19">
        <v>100</v>
      </c>
      <c r="Q874" s="19">
        <v>50</v>
      </c>
      <c r="R874" s="19" t="s">
        <v>1075</v>
      </c>
      <c r="S874" s="19">
        <v>1</v>
      </c>
      <c r="T874" s="19">
        <v>1</v>
      </c>
      <c r="U874" s="19">
        <v>50</v>
      </c>
      <c r="AA874" s="19">
        <v>0</v>
      </c>
    </row>
    <row r="875" spans="1:27" x14ac:dyDescent="0.25">
      <c r="A875" s="19" t="s">
        <v>1906</v>
      </c>
      <c r="B875" s="19" t="s">
        <v>1890</v>
      </c>
      <c r="C875" s="19" t="s">
        <v>1891</v>
      </c>
      <c r="D875" s="19">
        <v>2.78</v>
      </c>
      <c r="E875" s="19" t="s">
        <v>137</v>
      </c>
      <c r="F875" s="19" t="s">
        <v>138</v>
      </c>
      <c r="G875" s="19" t="s">
        <v>134</v>
      </c>
      <c r="H875" s="19" t="s">
        <v>87</v>
      </c>
      <c r="I875" s="19" t="s">
        <v>135</v>
      </c>
      <c r="J875" s="19">
        <v>9</v>
      </c>
      <c r="K875" s="19">
        <v>4.1700000000000001E-2</v>
      </c>
      <c r="L875" s="19" t="s">
        <v>541</v>
      </c>
      <c r="M875" s="19" t="s">
        <v>541</v>
      </c>
      <c r="N875" s="19">
        <v>50</v>
      </c>
      <c r="O875" s="19">
        <v>66.666666666699996</v>
      </c>
      <c r="P875" s="19">
        <v>33.333333333299997</v>
      </c>
      <c r="Q875" s="19">
        <v>16.666666666699999</v>
      </c>
      <c r="R875" s="19" t="s">
        <v>1075</v>
      </c>
      <c r="S875" s="19">
        <v>1</v>
      </c>
      <c r="T875" s="19">
        <v>1</v>
      </c>
      <c r="U875" s="19">
        <v>16.666666666699999</v>
      </c>
      <c r="AA875" s="19">
        <v>0</v>
      </c>
    </row>
    <row r="876" spans="1:27" x14ac:dyDescent="0.25">
      <c r="A876" s="19" t="s">
        <v>1907</v>
      </c>
      <c r="B876" s="19" t="s">
        <v>1890</v>
      </c>
      <c r="C876" s="19" t="s">
        <v>1891</v>
      </c>
      <c r="D876" s="19">
        <v>2.78</v>
      </c>
      <c r="E876" s="19" t="s">
        <v>140</v>
      </c>
      <c r="F876" s="19" t="s">
        <v>141</v>
      </c>
      <c r="G876" s="19" t="s">
        <v>134</v>
      </c>
      <c r="H876" s="19" t="s">
        <v>87</v>
      </c>
      <c r="I876" s="19" t="s">
        <v>135</v>
      </c>
      <c r="J876" s="19">
        <v>10</v>
      </c>
      <c r="K876" s="19">
        <v>4.1700000000000001E-2</v>
      </c>
      <c r="L876" s="19" t="s">
        <v>541</v>
      </c>
      <c r="M876" s="19" t="s">
        <v>541</v>
      </c>
      <c r="N876" s="19">
        <v>50</v>
      </c>
      <c r="O876" s="19">
        <v>66.666666666699996</v>
      </c>
      <c r="P876" s="19">
        <v>33.333333333299997</v>
      </c>
      <c r="Q876" s="19">
        <v>16.666666666699999</v>
      </c>
      <c r="R876" s="19" t="s">
        <v>1075</v>
      </c>
      <c r="S876" s="19">
        <v>1</v>
      </c>
      <c r="T876" s="19">
        <v>1</v>
      </c>
      <c r="U876" s="19">
        <v>16.666666666699999</v>
      </c>
      <c r="AA876" s="19">
        <v>0</v>
      </c>
    </row>
    <row r="877" spans="1:27" x14ac:dyDescent="0.25">
      <c r="A877" s="19" t="s">
        <v>1908</v>
      </c>
      <c r="B877" s="19" t="s">
        <v>1890</v>
      </c>
      <c r="C877" s="19" t="s">
        <v>1891</v>
      </c>
      <c r="D877" s="19">
        <v>2.5</v>
      </c>
      <c r="E877" s="19" t="s">
        <v>144</v>
      </c>
      <c r="F877" s="19" t="s">
        <v>145</v>
      </c>
      <c r="G877" s="19" t="s">
        <v>134</v>
      </c>
      <c r="H877" s="19" t="s">
        <v>146</v>
      </c>
      <c r="I877" s="19" t="s">
        <v>147</v>
      </c>
      <c r="J877" s="19">
        <v>4</v>
      </c>
      <c r="K877" s="19">
        <v>2.5000000000000001E-2</v>
      </c>
      <c r="L877" s="19" t="s">
        <v>541</v>
      </c>
      <c r="M877" s="19" t="s">
        <v>541</v>
      </c>
      <c r="N877" s="19">
        <v>50</v>
      </c>
      <c r="O877" s="19">
        <v>100</v>
      </c>
      <c r="P877" s="19">
        <v>100</v>
      </c>
      <c r="Q877" s="19">
        <v>50</v>
      </c>
      <c r="R877" s="19" t="s">
        <v>1075</v>
      </c>
      <c r="S877" s="19">
        <v>1</v>
      </c>
      <c r="T877" s="19">
        <v>1</v>
      </c>
      <c r="U877" s="19">
        <v>50</v>
      </c>
      <c r="AA877" s="19">
        <v>0</v>
      </c>
    </row>
    <row r="878" spans="1:27" x14ac:dyDescent="0.25">
      <c r="A878" s="19" t="s">
        <v>1909</v>
      </c>
      <c r="B878" s="19" t="s">
        <v>1890</v>
      </c>
      <c r="C878" s="19" t="s">
        <v>1891</v>
      </c>
      <c r="D878" s="19">
        <v>2.5</v>
      </c>
      <c r="E878" s="19" t="s">
        <v>149</v>
      </c>
      <c r="F878" s="19" t="s">
        <v>150</v>
      </c>
      <c r="G878" s="19" t="s">
        <v>134</v>
      </c>
      <c r="H878" s="19" t="s">
        <v>146</v>
      </c>
      <c r="I878" s="19" t="s">
        <v>147</v>
      </c>
      <c r="J878" s="19">
        <v>5</v>
      </c>
      <c r="K878" s="19">
        <v>2.5000000000000001E-2</v>
      </c>
      <c r="L878" s="19" t="s">
        <v>541</v>
      </c>
      <c r="M878" s="19" t="s">
        <v>541</v>
      </c>
      <c r="N878" s="19">
        <v>50</v>
      </c>
      <c r="O878" s="19">
        <v>100</v>
      </c>
      <c r="P878" s="19">
        <v>100</v>
      </c>
      <c r="Q878" s="19">
        <v>50</v>
      </c>
      <c r="R878" s="19" t="s">
        <v>1075</v>
      </c>
      <c r="S878" s="19">
        <v>1</v>
      </c>
      <c r="T878" s="19">
        <v>1</v>
      </c>
      <c r="U878" s="19">
        <v>50</v>
      </c>
      <c r="AA878" s="19">
        <v>0</v>
      </c>
    </row>
    <row r="879" spans="1:27" x14ac:dyDescent="0.25">
      <c r="A879" s="19" t="s">
        <v>1910</v>
      </c>
      <c r="B879" s="19" t="s">
        <v>1890</v>
      </c>
      <c r="C879" s="19" t="s">
        <v>1891</v>
      </c>
      <c r="D879" s="19">
        <v>2.5</v>
      </c>
      <c r="E879" s="19" t="s">
        <v>152</v>
      </c>
      <c r="F879" s="19" t="s">
        <v>153</v>
      </c>
      <c r="G879" s="19" t="s">
        <v>134</v>
      </c>
      <c r="H879" s="19" t="s">
        <v>146</v>
      </c>
      <c r="I879" s="19" t="s">
        <v>147</v>
      </c>
      <c r="J879" s="19">
        <v>6</v>
      </c>
      <c r="K879" s="19">
        <v>2.5000000000000001E-2</v>
      </c>
      <c r="L879" s="19" t="s">
        <v>541</v>
      </c>
      <c r="M879" s="19" t="s">
        <v>541</v>
      </c>
      <c r="N879" s="19">
        <v>50</v>
      </c>
      <c r="O879" s="19">
        <v>100</v>
      </c>
      <c r="P879" s="19">
        <v>100</v>
      </c>
      <c r="Q879" s="19">
        <v>50</v>
      </c>
      <c r="R879" s="19" t="s">
        <v>1075</v>
      </c>
      <c r="S879" s="19">
        <v>1</v>
      </c>
      <c r="T879" s="19">
        <v>1</v>
      </c>
      <c r="U879" s="19">
        <v>50</v>
      </c>
      <c r="AA879" s="19">
        <v>0</v>
      </c>
    </row>
    <row r="880" spans="1:27" x14ac:dyDescent="0.25">
      <c r="A880" s="19" t="s">
        <v>1911</v>
      </c>
      <c r="B880" s="19" t="s">
        <v>1890</v>
      </c>
      <c r="C880" s="19" t="s">
        <v>1891</v>
      </c>
      <c r="D880" s="19">
        <v>2.5</v>
      </c>
      <c r="E880" s="19" t="s">
        <v>155</v>
      </c>
      <c r="F880" s="19" t="s">
        <v>156</v>
      </c>
      <c r="G880" s="19" t="s">
        <v>134</v>
      </c>
      <c r="H880" s="19" t="s">
        <v>146</v>
      </c>
      <c r="I880" s="19" t="s">
        <v>147</v>
      </c>
      <c r="J880" s="19">
        <v>7</v>
      </c>
      <c r="K880" s="19">
        <v>2.5000000000000001E-2</v>
      </c>
      <c r="L880" s="19" t="s">
        <v>541</v>
      </c>
      <c r="M880" s="19" t="s">
        <v>541</v>
      </c>
      <c r="N880" s="19">
        <v>50</v>
      </c>
      <c r="O880" s="19">
        <v>100</v>
      </c>
      <c r="P880" s="19">
        <v>100</v>
      </c>
      <c r="Q880" s="19">
        <v>50</v>
      </c>
      <c r="R880" s="19" t="s">
        <v>1075</v>
      </c>
      <c r="S880" s="19">
        <v>1</v>
      </c>
      <c r="T880" s="19">
        <v>1</v>
      </c>
      <c r="U880" s="19">
        <v>50</v>
      </c>
      <c r="AA880" s="19">
        <v>0</v>
      </c>
    </row>
    <row r="881" spans="1:27" x14ac:dyDescent="0.25">
      <c r="A881" s="19" t="s">
        <v>1912</v>
      </c>
      <c r="B881" s="19" t="s">
        <v>1890</v>
      </c>
      <c r="C881" s="19" t="s">
        <v>1891</v>
      </c>
      <c r="D881" s="19">
        <v>1.55612244897959</v>
      </c>
      <c r="E881" s="19" t="s">
        <v>158</v>
      </c>
      <c r="F881" s="19" t="s">
        <v>159</v>
      </c>
      <c r="G881" s="19" t="s">
        <v>134</v>
      </c>
      <c r="H881" s="19" t="s">
        <v>146</v>
      </c>
      <c r="I881" s="19" t="s">
        <v>147</v>
      </c>
      <c r="J881" s="19">
        <v>8</v>
      </c>
      <c r="K881" s="19">
        <v>2.5000000000000001E-2</v>
      </c>
      <c r="L881" s="19" t="s">
        <v>541</v>
      </c>
      <c r="M881" s="19" t="s">
        <v>541</v>
      </c>
      <c r="N881" s="19">
        <v>50</v>
      </c>
      <c r="O881" s="19">
        <v>62.244897959200003</v>
      </c>
      <c r="P881" s="19">
        <v>24.489795918399999</v>
      </c>
      <c r="Q881" s="19">
        <v>12.244897959199999</v>
      </c>
      <c r="R881" s="19" t="s">
        <v>1075</v>
      </c>
      <c r="S881" s="19">
        <v>1</v>
      </c>
      <c r="T881" s="19">
        <v>1</v>
      </c>
      <c r="U881" s="19">
        <v>12.244897959199999</v>
      </c>
      <c r="AA881" s="19">
        <v>0</v>
      </c>
    </row>
    <row r="882" spans="1:27" x14ac:dyDescent="0.25">
      <c r="A882" s="19" t="s">
        <v>1913</v>
      </c>
      <c r="B882" s="19" t="s">
        <v>1890</v>
      </c>
      <c r="C882" s="19" t="s">
        <v>1891</v>
      </c>
      <c r="D882" s="19">
        <v>0</v>
      </c>
      <c r="E882" s="19" t="s">
        <v>132</v>
      </c>
      <c r="F882" s="19" t="s">
        <v>133</v>
      </c>
      <c r="G882" s="19" t="s">
        <v>134</v>
      </c>
      <c r="H882" s="19" t="s">
        <v>87</v>
      </c>
      <c r="I882" s="19" t="s">
        <v>135</v>
      </c>
      <c r="J882" s="19">
        <v>11</v>
      </c>
      <c r="K882" s="19">
        <v>4.1700000000000001E-2</v>
      </c>
      <c r="L882" s="19" t="s">
        <v>35</v>
      </c>
      <c r="M882" s="19" t="s">
        <v>103</v>
      </c>
      <c r="N882" s="19">
        <v>0</v>
      </c>
      <c r="O882" s="19">
        <v>0</v>
      </c>
      <c r="P882" s="19">
        <v>0</v>
      </c>
      <c r="Q882" s="19">
        <v>0</v>
      </c>
      <c r="R882" s="19" t="s">
        <v>1075</v>
      </c>
      <c r="S882" s="19">
        <v>1</v>
      </c>
      <c r="T882" s="19">
        <v>1</v>
      </c>
      <c r="U882" s="19">
        <v>0</v>
      </c>
      <c r="V882" s="19" t="s">
        <v>36</v>
      </c>
      <c r="W882" s="19">
        <v>0</v>
      </c>
      <c r="Y882" s="19" t="s">
        <v>103</v>
      </c>
      <c r="Z882" s="19">
        <v>50</v>
      </c>
      <c r="AA882" s="19">
        <v>0</v>
      </c>
    </row>
    <row r="883" spans="1:27" x14ac:dyDescent="0.25">
      <c r="A883" s="19" t="s">
        <v>1914</v>
      </c>
      <c r="B883" s="19" t="s">
        <v>1890</v>
      </c>
      <c r="C883" s="19" t="s">
        <v>1891</v>
      </c>
      <c r="D883" s="19">
        <v>0</v>
      </c>
      <c r="E883" s="19" t="s">
        <v>30</v>
      </c>
      <c r="F883" s="19" t="s">
        <v>31</v>
      </c>
      <c r="G883" s="19" t="s">
        <v>32</v>
      </c>
      <c r="H883" s="19" t="s">
        <v>33</v>
      </c>
      <c r="I883" s="19" t="s">
        <v>34</v>
      </c>
      <c r="J883" s="19">
        <v>17</v>
      </c>
      <c r="K883" s="19">
        <v>1.6299999999999999E-2</v>
      </c>
      <c r="L883" s="19" t="s">
        <v>35</v>
      </c>
      <c r="N883" s="19">
        <v>0</v>
      </c>
      <c r="O883" s="19">
        <v>0</v>
      </c>
      <c r="P883" s="19">
        <v>0</v>
      </c>
      <c r="Q883" s="19">
        <v>0</v>
      </c>
      <c r="R883" s="19" t="s">
        <v>1075</v>
      </c>
      <c r="S883" s="19">
        <v>1</v>
      </c>
      <c r="T883" s="19">
        <v>1</v>
      </c>
      <c r="U883" s="19">
        <v>0</v>
      </c>
      <c r="V883" s="19" t="s">
        <v>36</v>
      </c>
      <c r="W883" s="19">
        <v>0</v>
      </c>
      <c r="Z883" s="19">
        <v>0</v>
      </c>
      <c r="AA883" s="19">
        <v>0</v>
      </c>
    </row>
    <row r="884" spans="1:27" x14ac:dyDescent="0.25">
      <c r="A884" s="19" t="s">
        <v>1915</v>
      </c>
      <c r="B884" s="19" t="s">
        <v>1890</v>
      </c>
      <c r="C884" s="19" t="s">
        <v>1891</v>
      </c>
      <c r="D884" s="19">
        <v>0</v>
      </c>
      <c r="E884" s="19" t="s">
        <v>43</v>
      </c>
      <c r="F884" s="19" t="s">
        <v>44</v>
      </c>
      <c r="G884" s="19" t="s">
        <v>32</v>
      </c>
      <c r="H884" s="19" t="s">
        <v>33</v>
      </c>
      <c r="I884" s="19" t="s">
        <v>34</v>
      </c>
      <c r="J884" s="19">
        <v>18</v>
      </c>
      <c r="K884" s="19">
        <v>1.6299999999999999E-2</v>
      </c>
      <c r="L884" s="19" t="s">
        <v>35</v>
      </c>
      <c r="N884" s="19">
        <v>0</v>
      </c>
      <c r="O884" s="19">
        <v>0</v>
      </c>
      <c r="P884" s="19">
        <v>0</v>
      </c>
      <c r="Q884" s="19">
        <v>0</v>
      </c>
      <c r="R884" s="19" t="s">
        <v>1075</v>
      </c>
      <c r="S884" s="19">
        <v>1</v>
      </c>
      <c r="T884" s="19">
        <v>1</v>
      </c>
      <c r="U884" s="19">
        <v>0</v>
      </c>
      <c r="V884" s="19" t="s">
        <v>36</v>
      </c>
      <c r="W884" s="19">
        <v>0</v>
      </c>
      <c r="Z884" s="19">
        <v>0</v>
      </c>
      <c r="AA884" s="19">
        <v>0</v>
      </c>
    </row>
    <row r="885" spans="1:27" x14ac:dyDescent="0.25">
      <c r="A885" s="19" t="s">
        <v>1916</v>
      </c>
      <c r="B885" s="19" t="s">
        <v>1890</v>
      </c>
      <c r="C885" s="19" t="s">
        <v>1891</v>
      </c>
      <c r="D885" s="19">
        <v>0</v>
      </c>
      <c r="E885" s="19" t="s">
        <v>69</v>
      </c>
      <c r="F885" s="19" t="s">
        <v>70</v>
      </c>
      <c r="G885" s="19" t="s">
        <v>32</v>
      </c>
      <c r="H885" s="19" t="s">
        <v>63</v>
      </c>
      <c r="I885" s="19" t="s">
        <v>64</v>
      </c>
      <c r="J885" s="19">
        <v>23</v>
      </c>
      <c r="K885" s="19">
        <v>1.8599999999999998E-2</v>
      </c>
      <c r="L885" s="19" t="s">
        <v>35</v>
      </c>
      <c r="N885" s="19">
        <v>0</v>
      </c>
      <c r="O885" s="19">
        <v>0</v>
      </c>
      <c r="P885" s="19">
        <v>0</v>
      </c>
      <c r="Q885" s="19">
        <v>0</v>
      </c>
      <c r="R885" s="19" t="s">
        <v>1075</v>
      </c>
      <c r="S885" s="19">
        <v>1</v>
      </c>
      <c r="T885" s="19">
        <v>1</v>
      </c>
      <c r="U885" s="19">
        <v>0</v>
      </c>
      <c r="V885" s="19" t="s">
        <v>36</v>
      </c>
      <c r="W885" s="19">
        <v>0</v>
      </c>
      <c r="Z885" s="19">
        <v>0</v>
      </c>
      <c r="AA885" s="19">
        <v>0</v>
      </c>
    </row>
    <row r="886" spans="1:27" x14ac:dyDescent="0.25">
      <c r="A886" s="19" t="s">
        <v>1917</v>
      </c>
      <c r="B886" s="19" t="s">
        <v>1890</v>
      </c>
      <c r="C886" s="19" t="s">
        <v>1891</v>
      </c>
      <c r="D886" s="19">
        <v>0</v>
      </c>
      <c r="E886" s="19" t="s">
        <v>96</v>
      </c>
      <c r="F886" s="19" t="s">
        <v>97</v>
      </c>
      <c r="G886" s="19" t="s">
        <v>32</v>
      </c>
      <c r="H886" s="19" t="s">
        <v>87</v>
      </c>
      <c r="I886" s="19" t="s">
        <v>88</v>
      </c>
      <c r="J886" s="19">
        <v>36</v>
      </c>
      <c r="K886" s="19">
        <v>3.2500000000000001E-2</v>
      </c>
      <c r="L886" s="19" t="s">
        <v>35</v>
      </c>
      <c r="N886" s="19">
        <v>0</v>
      </c>
      <c r="O886" s="19">
        <v>0</v>
      </c>
      <c r="P886" s="19">
        <v>0</v>
      </c>
      <c r="Q886" s="19">
        <v>0</v>
      </c>
      <c r="R886" s="19" t="s">
        <v>1075</v>
      </c>
      <c r="S886" s="19">
        <v>1</v>
      </c>
      <c r="T886" s="19">
        <v>1</v>
      </c>
      <c r="U886" s="19">
        <v>0</v>
      </c>
      <c r="V886" s="19" t="s">
        <v>36</v>
      </c>
      <c r="W886" s="19">
        <v>0</v>
      </c>
      <c r="Z886" s="19">
        <v>0</v>
      </c>
      <c r="AA886" s="19">
        <v>0</v>
      </c>
    </row>
    <row r="887" spans="1:27" x14ac:dyDescent="0.25">
      <c r="A887" s="19" t="s">
        <v>1918</v>
      </c>
      <c r="B887" s="19" t="s">
        <v>1890</v>
      </c>
      <c r="C887" s="19" t="s">
        <v>1891</v>
      </c>
      <c r="D887" s="19">
        <v>0</v>
      </c>
      <c r="E887" s="19" t="s">
        <v>99</v>
      </c>
      <c r="F887" s="19" t="s">
        <v>100</v>
      </c>
      <c r="G887" s="19" t="s">
        <v>32</v>
      </c>
      <c r="H887" s="19" t="s">
        <v>101</v>
      </c>
      <c r="I887" s="19" t="s">
        <v>102</v>
      </c>
      <c r="J887" s="19">
        <v>39</v>
      </c>
      <c r="K887" s="19">
        <v>4.3299999999999998E-2</v>
      </c>
      <c r="L887" s="19" t="s">
        <v>35</v>
      </c>
      <c r="M887" s="19" t="s">
        <v>103</v>
      </c>
      <c r="N887" s="19">
        <v>0</v>
      </c>
      <c r="O887" s="19">
        <v>0</v>
      </c>
      <c r="P887" s="19">
        <v>0</v>
      </c>
      <c r="Q887" s="19">
        <v>0</v>
      </c>
      <c r="R887" s="19" t="s">
        <v>1075</v>
      </c>
      <c r="S887" s="19">
        <v>1</v>
      </c>
      <c r="T887" s="19">
        <v>1</v>
      </c>
      <c r="U887" s="19">
        <v>0</v>
      </c>
      <c r="V887" s="19" t="s">
        <v>36</v>
      </c>
      <c r="W887" s="19">
        <v>0</v>
      </c>
      <c r="Y887" s="19" t="s">
        <v>103</v>
      </c>
      <c r="Z887" s="19">
        <v>50</v>
      </c>
      <c r="AA887" s="19">
        <v>0</v>
      </c>
    </row>
    <row r="888" spans="1:27" x14ac:dyDescent="0.25">
      <c r="A888" s="19" t="s">
        <v>1919</v>
      </c>
      <c r="B888" s="19" t="s">
        <v>1890</v>
      </c>
      <c r="C888" s="19" t="s">
        <v>1891</v>
      </c>
      <c r="D888" s="19">
        <v>0</v>
      </c>
      <c r="E888" s="19" t="s">
        <v>105</v>
      </c>
      <c r="F888" s="19" t="s">
        <v>106</v>
      </c>
      <c r="G888" s="19" t="s">
        <v>32</v>
      </c>
      <c r="H888" s="19" t="s">
        <v>101</v>
      </c>
      <c r="I888" s="19" t="s">
        <v>102</v>
      </c>
      <c r="J888" s="19">
        <v>38</v>
      </c>
      <c r="K888" s="19">
        <v>4.3299999999999998E-2</v>
      </c>
      <c r="L888" s="19" t="s">
        <v>35</v>
      </c>
      <c r="M888" s="19" t="s">
        <v>103</v>
      </c>
      <c r="N888" s="19">
        <v>0</v>
      </c>
      <c r="O888" s="19">
        <v>0</v>
      </c>
      <c r="P888" s="19">
        <v>0</v>
      </c>
      <c r="Q888" s="19">
        <v>0</v>
      </c>
      <c r="R888" s="19" t="s">
        <v>1075</v>
      </c>
      <c r="S888" s="19">
        <v>1</v>
      </c>
      <c r="T888" s="19">
        <v>1</v>
      </c>
      <c r="U888" s="19">
        <v>0</v>
      </c>
      <c r="V888" s="19" t="s">
        <v>36</v>
      </c>
      <c r="W888" s="19">
        <v>0</v>
      </c>
      <c r="Y888" s="19" t="s">
        <v>103</v>
      </c>
      <c r="Z888" s="19">
        <v>50</v>
      </c>
      <c r="AA888" s="19">
        <v>0</v>
      </c>
    </row>
    <row r="889" spans="1:27" x14ac:dyDescent="0.25">
      <c r="A889" s="19" t="s">
        <v>1920</v>
      </c>
      <c r="B889" s="19" t="s">
        <v>1890</v>
      </c>
      <c r="C889" s="19" t="s">
        <v>1891</v>
      </c>
      <c r="D889" s="19">
        <v>0</v>
      </c>
      <c r="E889" s="19" t="s">
        <v>108</v>
      </c>
      <c r="F889" s="19" t="s">
        <v>109</v>
      </c>
      <c r="G889" s="19" t="s">
        <v>32</v>
      </c>
      <c r="H889" s="19" t="s">
        <v>101</v>
      </c>
      <c r="I889" s="19" t="s">
        <v>102</v>
      </c>
      <c r="J889" s="19">
        <v>37</v>
      </c>
      <c r="K889" s="19">
        <v>4.3299999999999998E-2</v>
      </c>
      <c r="L889" s="19" t="s">
        <v>35</v>
      </c>
      <c r="M889" s="19" t="s">
        <v>110</v>
      </c>
      <c r="N889" s="19">
        <v>0</v>
      </c>
      <c r="O889" s="19">
        <v>0</v>
      </c>
      <c r="P889" s="19">
        <v>0</v>
      </c>
      <c r="Q889" s="19">
        <v>0</v>
      </c>
      <c r="R889" s="19" t="s">
        <v>1075</v>
      </c>
      <c r="S889" s="19">
        <v>1</v>
      </c>
      <c r="T889" s="19">
        <v>1</v>
      </c>
      <c r="U889" s="19">
        <v>0</v>
      </c>
      <c r="V889" s="19" t="s">
        <v>36</v>
      </c>
      <c r="W889" s="19">
        <v>0</v>
      </c>
      <c r="Y889" s="19" t="s">
        <v>110</v>
      </c>
      <c r="Z889" s="19">
        <v>16.664999999999999</v>
      </c>
      <c r="AA889" s="19">
        <v>0</v>
      </c>
    </row>
    <row r="890" spans="1:27" x14ac:dyDescent="0.25">
      <c r="A890" s="19" t="s">
        <v>1921</v>
      </c>
      <c r="B890" s="19" t="s">
        <v>1890</v>
      </c>
      <c r="C890" s="19" t="s">
        <v>1891</v>
      </c>
      <c r="D890" s="19">
        <v>0</v>
      </c>
      <c r="E890" s="19" t="s">
        <v>112</v>
      </c>
      <c r="F890" s="19" t="s">
        <v>113</v>
      </c>
      <c r="G890" s="19" t="s">
        <v>32</v>
      </c>
      <c r="H890" s="19" t="s">
        <v>114</v>
      </c>
      <c r="I890" s="19" t="s">
        <v>115</v>
      </c>
      <c r="J890" s="19">
        <v>30</v>
      </c>
      <c r="K890" s="19">
        <v>2.1700000000000001E-2</v>
      </c>
      <c r="L890" s="19" t="s">
        <v>35</v>
      </c>
      <c r="M890" s="19" t="s">
        <v>103</v>
      </c>
      <c r="N890" s="19">
        <v>0</v>
      </c>
      <c r="O890" s="19">
        <v>0</v>
      </c>
      <c r="P890" s="19">
        <v>0</v>
      </c>
      <c r="Q890" s="19">
        <v>0</v>
      </c>
      <c r="R890" s="19" t="s">
        <v>1075</v>
      </c>
      <c r="S890" s="19">
        <v>1</v>
      </c>
      <c r="T890" s="19">
        <v>1</v>
      </c>
      <c r="U890" s="19">
        <v>0</v>
      </c>
      <c r="V890" s="19" t="s">
        <v>36</v>
      </c>
      <c r="W890" s="19">
        <v>0</v>
      </c>
      <c r="Y890" s="19" t="s">
        <v>103</v>
      </c>
      <c r="Z890" s="19">
        <v>50</v>
      </c>
      <c r="AA890" s="19">
        <v>0</v>
      </c>
    </row>
    <row r="891" spans="1:27" x14ac:dyDescent="0.25">
      <c r="A891" s="19" t="s">
        <v>1922</v>
      </c>
      <c r="B891" s="19" t="s">
        <v>1890</v>
      </c>
      <c r="C891" s="19" t="s">
        <v>1891</v>
      </c>
      <c r="D891" s="19">
        <v>0</v>
      </c>
      <c r="E891" s="19" t="s">
        <v>117</v>
      </c>
      <c r="F891" s="19" t="s">
        <v>118</v>
      </c>
      <c r="G891" s="19" t="s">
        <v>32</v>
      </c>
      <c r="H891" s="19" t="s">
        <v>114</v>
      </c>
      <c r="I891" s="19" t="s">
        <v>115</v>
      </c>
      <c r="J891" s="19">
        <v>31</v>
      </c>
      <c r="K891" s="19">
        <v>2.1700000000000001E-2</v>
      </c>
      <c r="L891" s="19" t="s">
        <v>35</v>
      </c>
      <c r="M891" s="19" t="s">
        <v>103</v>
      </c>
      <c r="N891" s="19">
        <v>0</v>
      </c>
      <c r="O891" s="19">
        <v>0</v>
      </c>
      <c r="P891" s="19">
        <v>0</v>
      </c>
      <c r="Q891" s="19">
        <v>0</v>
      </c>
      <c r="R891" s="19" t="s">
        <v>1075</v>
      </c>
      <c r="S891" s="19">
        <v>1</v>
      </c>
      <c r="T891" s="19">
        <v>1</v>
      </c>
      <c r="U891" s="19">
        <v>0</v>
      </c>
      <c r="V891" s="19" t="s">
        <v>36</v>
      </c>
      <c r="W891" s="19">
        <v>0</v>
      </c>
      <c r="Y891" s="19" t="s">
        <v>103</v>
      </c>
      <c r="Z891" s="19">
        <v>50</v>
      </c>
      <c r="AA891" s="19">
        <v>0</v>
      </c>
    </row>
    <row r="892" spans="1:27" x14ac:dyDescent="0.25">
      <c r="A892" s="19" t="s">
        <v>1923</v>
      </c>
      <c r="B892" s="19" t="s">
        <v>1890</v>
      </c>
      <c r="C892" s="19" t="s">
        <v>1891</v>
      </c>
      <c r="D892" s="19">
        <v>0</v>
      </c>
      <c r="E892" s="19" t="s">
        <v>120</v>
      </c>
      <c r="F892" s="19" t="s">
        <v>121</v>
      </c>
      <c r="G892" s="19" t="s">
        <v>32</v>
      </c>
      <c r="H892" s="19" t="s">
        <v>114</v>
      </c>
      <c r="I892" s="19" t="s">
        <v>115</v>
      </c>
      <c r="J892" s="19">
        <v>28</v>
      </c>
      <c r="K892" s="19">
        <v>2.1700000000000001E-2</v>
      </c>
      <c r="L892" s="19" t="s">
        <v>35</v>
      </c>
      <c r="M892" s="19" t="s">
        <v>103</v>
      </c>
      <c r="N892" s="19">
        <v>0</v>
      </c>
      <c r="O892" s="19">
        <v>0</v>
      </c>
      <c r="P892" s="19">
        <v>0</v>
      </c>
      <c r="Q892" s="19">
        <v>0</v>
      </c>
      <c r="R892" s="19" t="s">
        <v>1075</v>
      </c>
      <c r="S892" s="19">
        <v>1</v>
      </c>
      <c r="T892" s="19">
        <v>1</v>
      </c>
      <c r="U892" s="19">
        <v>0</v>
      </c>
      <c r="V892" s="19" t="s">
        <v>80</v>
      </c>
      <c r="W892" s="19">
        <v>0</v>
      </c>
      <c r="Y892" s="19" t="s">
        <v>103</v>
      </c>
      <c r="Z892" s="19">
        <v>50</v>
      </c>
      <c r="AA892" s="19">
        <v>0</v>
      </c>
    </row>
    <row r="893" spans="1:27" x14ac:dyDescent="0.25">
      <c r="A893" s="19" t="s">
        <v>1924</v>
      </c>
      <c r="B893" s="19" t="s">
        <v>1890</v>
      </c>
      <c r="C893" s="19" t="s">
        <v>1891</v>
      </c>
      <c r="D893" s="19">
        <v>0</v>
      </c>
      <c r="E893" s="19" t="s">
        <v>123</v>
      </c>
      <c r="F893" s="19" t="s">
        <v>124</v>
      </c>
      <c r="G893" s="19" t="s">
        <v>32</v>
      </c>
      <c r="H893" s="19" t="s">
        <v>114</v>
      </c>
      <c r="I893" s="19" t="s">
        <v>115</v>
      </c>
      <c r="J893" s="19">
        <v>27</v>
      </c>
      <c r="K893" s="19">
        <v>2.1700000000000001E-2</v>
      </c>
      <c r="L893" s="19" t="s">
        <v>35</v>
      </c>
      <c r="M893" s="19" t="s">
        <v>103</v>
      </c>
      <c r="N893" s="19">
        <v>0</v>
      </c>
      <c r="O893" s="19">
        <v>0</v>
      </c>
      <c r="P893" s="19">
        <v>0</v>
      </c>
      <c r="Q893" s="19">
        <v>0</v>
      </c>
      <c r="R893" s="19" t="s">
        <v>1075</v>
      </c>
      <c r="S893" s="19">
        <v>1</v>
      </c>
      <c r="T893" s="19">
        <v>1</v>
      </c>
      <c r="U893" s="19">
        <v>0</v>
      </c>
      <c r="V893" s="19" t="s">
        <v>80</v>
      </c>
      <c r="W893" s="19">
        <v>0</v>
      </c>
      <c r="Y893" s="19" t="s">
        <v>103</v>
      </c>
      <c r="Z893" s="19">
        <v>50</v>
      </c>
      <c r="AA893" s="19">
        <v>0</v>
      </c>
    </row>
    <row r="894" spans="1:27" x14ac:dyDescent="0.25">
      <c r="A894" s="19" t="s">
        <v>1925</v>
      </c>
      <c r="B894" s="19" t="s">
        <v>1890</v>
      </c>
      <c r="C894" s="19" t="s">
        <v>1891</v>
      </c>
      <c r="D894" s="19">
        <v>0</v>
      </c>
      <c r="E894" s="19" t="s">
        <v>126</v>
      </c>
      <c r="F894" s="19" t="s">
        <v>127</v>
      </c>
      <c r="G894" s="19" t="s">
        <v>32</v>
      </c>
      <c r="H894" s="19" t="s">
        <v>114</v>
      </c>
      <c r="I894" s="19" t="s">
        <v>115</v>
      </c>
      <c r="J894" s="19">
        <v>29</v>
      </c>
      <c r="K894" s="19">
        <v>2.1700000000000001E-2</v>
      </c>
      <c r="L894" s="19" t="s">
        <v>35</v>
      </c>
      <c r="M894" s="19" t="s">
        <v>103</v>
      </c>
      <c r="N894" s="19">
        <v>0</v>
      </c>
      <c r="O894" s="19">
        <v>0</v>
      </c>
      <c r="P894" s="19">
        <v>0</v>
      </c>
      <c r="Q894" s="19">
        <v>0</v>
      </c>
      <c r="R894" s="19" t="s">
        <v>1075</v>
      </c>
      <c r="S894" s="19">
        <v>1</v>
      </c>
      <c r="T894" s="19">
        <v>1</v>
      </c>
      <c r="U894" s="19">
        <v>0</v>
      </c>
      <c r="V894" s="19" t="s">
        <v>36</v>
      </c>
      <c r="W894" s="19">
        <v>0</v>
      </c>
      <c r="Y894" s="19" t="s">
        <v>103</v>
      </c>
      <c r="Z894" s="19">
        <v>50</v>
      </c>
      <c r="AA894" s="19">
        <v>0</v>
      </c>
    </row>
    <row r="895" spans="1:27" x14ac:dyDescent="0.25">
      <c r="A895" s="19" t="s">
        <v>1926</v>
      </c>
      <c r="B895" s="19" t="s">
        <v>1890</v>
      </c>
      <c r="C895" s="19" t="s">
        <v>1891</v>
      </c>
      <c r="D895" s="19">
        <v>1.085</v>
      </c>
      <c r="E895" s="19" t="s">
        <v>129</v>
      </c>
      <c r="F895" s="19" t="s">
        <v>130</v>
      </c>
      <c r="G895" s="19" t="s">
        <v>32</v>
      </c>
      <c r="H895" s="19" t="s">
        <v>114</v>
      </c>
      <c r="I895" s="19" t="s">
        <v>115</v>
      </c>
      <c r="J895" s="19">
        <v>32</v>
      </c>
      <c r="K895" s="19">
        <v>2.1700000000000001E-2</v>
      </c>
      <c r="L895" s="19" t="s">
        <v>35</v>
      </c>
      <c r="M895" s="19" t="s">
        <v>103</v>
      </c>
      <c r="N895" s="19">
        <v>50</v>
      </c>
      <c r="O895" s="19">
        <v>50</v>
      </c>
      <c r="P895" s="19">
        <v>0</v>
      </c>
      <c r="Q895" s="19">
        <v>0</v>
      </c>
      <c r="R895" s="19" t="s">
        <v>1075</v>
      </c>
      <c r="S895" s="19">
        <v>1</v>
      </c>
      <c r="T895" s="19">
        <v>1</v>
      </c>
      <c r="U895" s="19">
        <v>0</v>
      </c>
      <c r="V895" s="19" t="s">
        <v>41</v>
      </c>
      <c r="W895" s="19">
        <v>1</v>
      </c>
      <c r="Y895" s="19" t="s">
        <v>103</v>
      </c>
      <c r="Z895" s="19">
        <v>50</v>
      </c>
      <c r="AA895" s="19">
        <v>50</v>
      </c>
    </row>
    <row r="896" spans="1:27" x14ac:dyDescent="0.25">
      <c r="A896" s="19" t="s">
        <v>1927</v>
      </c>
      <c r="B896" s="19" t="s">
        <v>1890</v>
      </c>
      <c r="C896" s="19" t="s">
        <v>1891</v>
      </c>
      <c r="D896" s="19">
        <v>2.2197779999999998</v>
      </c>
      <c r="E896" s="19" t="s">
        <v>161</v>
      </c>
      <c r="F896" s="19" t="s">
        <v>162</v>
      </c>
      <c r="G896" s="19" t="s">
        <v>163</v>
      </c>
      <c r="I896" s="19" t="s">
        <v>164</v>
      </c>
      <c r="J896" s="19">
        <v>1</v>
      </c>
      <c r="K896" s="19">
        <v>3.3300000000000003E-2</v>
      </c>
      <c r="L896" s="19" t="s">
        <v>35</v>
      </c>
      <c r="M896" s="19" t="s">
        <v>165</v>
      </c>
      <c r="N896" s="19">
        <v>66.66</v>
      </c>
      <c r="O896" s="19">
        <v>66.66</v>
      </c>
      <c r="P896" s="19">
        <v>0</v>
      </c>
      <c r="Q896" s="19">
        <v>0</v>
      </c>
      <c r="R896" s="19" t="s">
        <v>1075</v>
      </c>
      <c r="S896" s="19">
        <v>1</v>
      </c>
      <c r="T896" s="19">
        <v>1</v>
      </c>
      <c r="U896" s="19">
        <v>0</v>
      </c>
      <c r="W896" s="19">
        <v>0</v>
      </c>
      <c r="X896" s="19">
        <v>66.66</v>
      </c>
      <c r="Z896" s="19">
        <v>0</v>
      </c>
      <c r="AA896" s="19">
        <v>66.66</v>
      </c>
    </row>
    <row r="897" spans="1:27" x14ac:dyDescent="0.25">
      <c r="A897" s="19" t="s">
        <v>1928</v>
      </c>
      <c r="B897" s="19" t="s">
        <v>1890</v>
      </c>
      <c r="C897" s="19" t="s">
        <v>1891</v>
      </c>
      <c r="D897" s="19">
        <v>0</v>
      </c>
      <c r="E897" s="19" t="s">
        <v>167</v>
      </c>
      <c r="F897" s="19" t="s">
        <v>168</v>
      </c>
      <c r="G897" s="19" t="s">
        <v>163</v>
      </c>
      <c r="I897" s="19" t="s">
        <v>164</v>
      </c>
      <c r="J897" s="19">
        <v>3</v>
      </c>
      <c r="K897" s="19">
        <v>3.3300000000000003E-2</v>
      </c>
      <c r="L897" s="19" t="s">
        <v>35</v>
      </c>
      <c r="M897" s="19" t="s">
        <v>165</v>
      </c>
      <c r="N897" s="19">
        <v>0</v>
      </c>
      <c r="O897" s="19">
        <v>0</v>
      </c>
      <c r="P897" s="19">
        <v>0</v>
      </c>
      <c r="Q897" s="19">
        <v>0</v>
      </c>
      <c r="R897" s="19" t="s">
        <v>1075</v>
      </c>
      <c r="S897" s="19">
        <v>1</v>
      </c>
      <c r="T897" s="19">
        <v>1</v>
      </c>
      <c r="U897" s="19">
        <v>0</v>
      </c>
      <c r="W897" s="19">
        <v>0</v>
      </c>
      <c r="X897" s="19">
        <v>0</v>
      </c>
      <c r="Z897" s="19">
        <v>0</v>
      </c>
      <c r="AA897" s="19">
        <v>0</v>
      </c>
    </row>
    <row r="898" spans="1:27" x14ac:dyDescent="0.25">
      <c r="A898" s="19" t="s">
        <v>1929</v>
      </c>
      <c r="B898" s="19" t="s">
        <v>1890</v>
      </c>
      <c r="C898" s="19" t="s">
        <v>1891</v>
      </c>
      <c r="D898" s="19">
        <v>1.998</v>
      </c>
      <c r="E898" s="19" t="s">
        <v>170</v>
      </c>
      <c r="F898" s="19" t="s">
        <v>171</v>
      </c>
      <c r="G898" s="19" t="s">
        <v>163</v>
      </c>
      <c r="I898" s="19" t="s">
        <v>164</v>
      </c>
      <c r="J898" s="19">
        <v>2</v>
      </c>
      <c r="K898" s="19">
        <v>3.3300000000000003E-2</v>
      </c>
      <c r="L898" s="19" t="s">
        <v>35</v>
      </c>
      <c r="M898" s="19" t="s">
        <v>165</v>
      </c>
      <c r="N898" s="19">
        <v>60</v>
      </c>
      <c r="O898" s="19">
        <v>60</v>
      </c>
      <c r="P898" s="19">
        <v>0</v>
      </c>
      <c r="Q898" s="19">
        <v>0</v>
      </c>
      <c r="R898" s="19" t="s">
        <v>1075</v>
      </c>
      <c r="S898" s="19">
        <v>1</v>
      </c>
      <c r="T898" s="19">
        <v>1</v>
      </c>
      <c r="U898" s="19">
        <v>0</v>
      </c>
      <c r="W898" s="19">
        <v>0</v>
      </c>
      <c r="X898" s="19">
        <v>60</v>
      </c>
      <c r="Z898" s="19">
        <v>0</v>
      </c>
      <c r="AA898" s="19">
        <v>60</v>
      </c>
    </row>
    <row r="899" spans="1:27" x14ac:dyDescent="0.25">
      <c r="A899" s="19" t="s">
        <v>1155</v>
      </c>
      <c r="B899" s="19" t="s">
        <v>1156</v>
      </c>
      <c r="C899" s="19" t="s">
        <v>1157</v>
      </c>
      <c r="D899" s="19">
        <v>0</v>
      </c>
      <c r="E899" s="19" t="s">
        <v>30</v>
      </c>
      <c r="F899" s="19" t="s">
        <v>31</v>
      </c>
      <c r="G899" s="19" t="s">
        <v>32</v>
      </c>
      <c r="H899" s="19" t="s">
        <v>33</v>
      </c>
      <c r="I899" s="19" t="s">
        <v>34</v>
      </c>
      <c r="J899" s="19">
        <v>17</v>
      </c>
      <c r="K899" s="19">
        <v>1.6299999999999999E-2</v>
      </c>
      <c r="L899" s="19" t="s">
        <v>35</v>
      </c>
      <c r="M899" s="19" t="s">
        <v>40</v>
      </c>
      <c r="N899" s="19">
        <v>0</v>
      </c>
      <c r="O899" s="19">
        <v>0</v>
      </c>
      <c r="P899" s="19">
        <v>0</v>
      </c>
      <c r="Q899" s="19">
        <v>0</v>
      </c>
      <c r="S899" s="19">
        <v>1</v>
      </c>
      <c r="T899" s="19">
        <v>1</v>
      </c>
      <c r="U899" s="19">
        <v>0</v>
      </c>
      <c r="V899" s="19" t="s">
        <v>36</v>
      </c>
      <c r="W899" s="19">
        <v>0</v>
      </c>
      <c r="Y899" s="19" t="s">
        <v>40</v>
      </c>
      <c r="Z899" s="19">
        <v>33.33</v>
      </c>
      <c r="AA899" s="19">
        <v>0</v>
      </c>
    </row>
    <row r="900" spans="1:27" x14ac:dyDescent="0.25">
      <c r="A900" s="19" t="s">
        <v>1158</v>
      </c>
      <c r="B900" s="19" t="s">
        <v>1156</v>
      </c>
      <c r="C900" s="19" t="s">
        <v>1157</v>
      </c>
      <c r="D900" s="19">
        <v>0</v>
      </c>
      <c r="E900" s="19" t="s">
        <v>38</v>
      </c>
      <c r="F900" s="19" t="s">
        <v>39</v>
      </c>
      <c r="G900" s="19" t="s">
        <v>32</v>
      </c>
      <c r="H900" s="19" t="s">
        <v>33</v>
      </c>
      <c r="I900" s="19" t="s">
        <v>34</v>
      </c>
      <c r="J900" s="19">
        <v>19</v>
      </c>
      <c r="K900" s="19">
        <v>1.6299999999999999E-2</v>
      </c>
      <c r="L900" s="19" t="s">
        <v>35</v>
      </c>
      <c r="N900" s="19">
        <v>0</v>
      </c>
      <c r="O900" s="19">
        <v>0</v>
      </c>
      <c r="P900" s="19">
        <v>0</v>
      </c>
      <c r="Q900" s="19">
        <v>0</v>
      </c>
      <c r="S900" s="19">
        <v>1</v>
      </c>
      <c r="T900" s="19">
        <v>1</v>
      </c>
      <c r="U900" s="19">
        <v>0</v>
      </c>
      <c r="V900" s="19" t="s">
        <v>36</v>
      </c>
      <c r="W900" s="19">
        <v>0</v>
      </c>
      <c r="Z900" s="19">
        <v>0</v>
      </c>
      <c r="AA900" s="19">
        <v>0</v>
      </c>
    </row>
    <row r="901" spans="1:27" x14ac:dyDescent="0.25">
      <c r="A901" s="19" t="s">
        <v>1159</v>
      </c>
      <c r="B901" s="19" t="s">
        <v>1156</v>
      </c>
      <c r="C901" s="19" t="s">
        <v>1157</v>
      </c>
      <c r="D901" s="19">
        <v>0.54327899999999996</v>
      </c>
      <c r="E901" s="19" t="s">
        <v>43</v>
      </c>
      <c r="F901" s="19" t="s">
        <v>44</v>
      </c>
      <c r="G901" s="19" t="s">
        <v>32</v>
      </c>
      <c r="H901" s="19" t="s">
        <v>33</v>
      </c>
      <c r="I901" s="19" t="s">
        <v>34</v>
      </c>
      <c r="J901" s="19">
        <v>18</v>
      </c>
      <c r="K901" s="19">
        <v>1.6299999999999999E-2</v>
      </c>
      <c r="L901" s="19" t="s">
        <v>35</v>
      </c>
      <c r="M901" s="19" t="s">
        <v>40</v>
      </c>
      <c r="N901" s="19">
        <v>33.33</v>
      </c>
      <c r="O901" s="19">
        <v>33.33</v>
      </c>
      <c r="P901" s="19">
        <v>0</v>
      </c>
      <c r="Q901" s="19">
        <v>0</v>
      </c>
      <c r="S901" s="19">
        <v>1</v>
      </c>
      <c r="T901" s="19">
        <v>1</v>
      </c>
      <c r="U901" s="19">
        <v>0</v>
      </c>
      <c r="V901" s="19" t="s">
        <v>41</v>
      </c>
      <c r="W901" s="19">
        <v>1</v>
      </c>
      <c r="Y901" s="19" t="s">
        <v>40</v>
      </c>
      <c r="Z901" s="19">
        <v>33.33</v>
      </c>
      <c r="AA901" s="19">
        <v>33.33</v>
      </c>
    </row>
    <row r="902" spans="1:27" x14ac:dyDescent="0.25">
      <c r="A902" s="19" t="s">
        <v>1160</v>
      </c>
      <c r="B902" s="19" t="s">
        <v>1156</v>
      </c>
      <c r="C902" s="19" t="s">
        <v>1157</v>
      </c>
      <c r="D902" s="19">
        <v>0</v>
      </c>
      <c r="E902" s="19" t="s">
        <v>46</v>
      </c>
      <c r="F902" s="19" t="s">
        <v>47</v>
      </c>
      <c r="G902" s="19" t="s">
        <v>32</v>
      </c>
      <c r="H902" s="19" t="s">
        <v>33</v>
      </c>
      <c r="I902" s="19" t="s">
        <v>34</v>
      </c>
      <c r="J902" s="19">
        <v>15</v>
      </c>
      <c r="K902" s="19">
        <v>1.6299999999999999E-2</v>
      </c>
      <c r="L902" s="19" t="s">
        <v>35</v>
      </c>
      <c r="M902" s="19" t="s">
        <v>40</v>
      </c>
      <c r="N902" s="19">
        <v>0</v>
      </c>
      <c r="O902" s="19">
        <v>0</v>
      </c>
      <c r="P902" s="19">
        <v>0</v>
      </c>
      <c r="Q902" s="19">
        <v>0</v>
      </c>
      <c r="S902" s="19">
        <v>1</v>
      </c>
      <c r="T902" s="19">
        <v>1</v>
      </c>
      <c r="U902" s="19">
        <v>0</v>
      </c>
      <c r="V902" s="19" t="s">
        <v>80</v>
      </c>
      <c r="W902" s="19">
        <v>0</v>
      </c>
      <c r="Y902" s="19" t="s">
        <v>40</v>
      </c>
      <c r="Z902" s="19">
        <v>33.33</v>
      </c>
      <c r="AA902" s="19">
        <v>0</v>
      </c>
    </row>
    <row r="903" spans="1:27" x14ac:dyDescent="0.25">
      <c r="A903" s="19" t="s">
        <v>1161</v>
      </c>
      <c r="B903" s="19" t="s">
        <v>1156</v>
      </c>
      <c r="C903" s="19" t="s">
        <v>1157</v>
      </c>
      <c r="D903" s="19">
        <v>0.54327899999999996</v>
      </c>
      <c r="E903" s="19" t="s">
        <v>49</v>
      </c>
      <c r="F903" s="19" t="s">
        <v>50</v>
      </c>
      <c r="G903" s="19" t="s">
        <v>32</v>
      </c>
      <c r="H903" s="19" t="s">
        <v>33</v>
      </c>
      <c r="I903" s="19" t="s">
        <v>34</v>
      </c>
      <c r="J903" s="19">
        <v>12</v>
      </c>
      <c r="K903" s="19">
        <v>1.6299999999999999E-2</v>
      </c>
      <c r="L903" s="19" t="s">
        <v>35</v>
      </c>
      <c r="M903" s="19" t="s">
        <v>40</v>
      </c>
      <c r="N903" s="19">
        <v>33.33</v>
      </c>
      <c r="O903" s="19">
        <v>33.33</v>
      </c>
      <c r="P903" s="19">
        <v>0</v>
      </c>
      <c r="Q903" s="19">
        <v>0</v>
      </c>
      <c r="S903" s="19">
        <v>1</v>
      </c>
      <c r="T903" s="19">
        <v>1</v>
      </c>
      <c r="U903" s="19">
        <v>0</v>
      </c>
      <c r="V903" s="19" t="s">
        <v>41</v>
      </c>
      <c r="W903" s="19">
        <v>1</v>
      </c>
      <c r="Y903" s="19" t="s">
        <v>40</v>
      </c>
      <c r="Z903" s="19">
        <v>33.33</v>
      </c>
      <c r="AA903" s="19">
        <v>33.33</v>
      </c>
    </row>
    <row r="904" spans="1:27" x14ac:dyDescent="0.25">
      <c r="A904" s="19" t="s">
        <v>1162</v>
      </c>
      <c r="B904" s="19" t="s">
        <v>1156</v>
      </c>
      <c r="C904" s="19" t="s">
        <v>1157</v>
      </c>
      <c r="D904" s="19">
        <v>0.54327899999999996</v>
      </c>
      <c r="E904" s="19" t="s">
        <v>52</v>
      </c>
      <c r="F904" s="19" t="s">
        <v>53</v>
      </c>
      <c r="G904" s="19" t="s">
        <v>32</v>
      </c>
      <c r="H904" s="19" t="s">
        <v>33</v>
      </c>
      <c r="I904" s="19" t="s">
        <v>34</v>
      </c>
      <c r="J904" s="19">
        <v>16</v>
      </c>
      <c r="K904" s="19">
        <v>1.6299999999999999E-2</v>
      </c>
      <c r="L904" s="19" t="s">
        <v>35</v>
      </c>
      <c r="M904" s="19" t="s">
        <v>40</v>
      </c>
      <c r="N904" s="19">
        <v>33.33</v>
      </c>
      <c r="O904" s="19">
        <v>33.33</v>
      </c>
      <c r="P904" s="19">
        <v>0</v>
      </c>
      <c r="Q904" s="19">
        <v>0</v>
      </c>
      <c r="S904" s="19">
        <v>1</v>
      </c>
      <c r="T904" s="19">
        <v>1</v>
      </c>
      <c r="U904" s="19">
        <v>0</v>
      </c>
      <c r="V904" s="19" t="s">
        <v>41</v>
      </c>
      <c r="W904" s="19">
        <v>1</v>
      </c>
      <c r="Y904" s="19" t="s">
        <v>40</v>
      </c>
      <c r="Z904" s="19">
        <v>33.33</v>
      </c>
      <c r="AA904" s="19">
        <v>33.33</v>
      </c>
    </row>
    <row r="905" spans="1:27" x14ac:dyDescent="0.25">
      <c r="A905" s="19" t="s">
        <v>1163</v>
      </c>
      <c r="B905" s="19" t="s">
        <v>1156</v>
      </c>
      <c r="C905" s="19" t="s">
        <v>1157</v>
      </c>
      <c r="D905" s="19">
        <v>0.54327899999999996</v>
      </c>
      <c r="E905" s="19" t="s">
        <v>55</v>
      </c>
      <c r="F905" s="19" t="s">
        <v>56</v>
      </c>
      <c r="G905" s="19" t="s">
        <v>32</v>
      </c>
      <c r="H905" s="19" t="s">
        <v>33</v>
      </c>
      <c r="I905" s="19" t="s">
        <v>34</v>
      </c>
      <c r="J905" s="19">
        <v>14</v>
      </c>
      <c r="K905" s="19">
        <v>1.6299999999999999E-2</v>
      </c>
      <c r="L905" s="19" t="s">
        <v>35</v>
      </c>
      <c r="M905" s="19" t="s">
        <v>40</v>
      </c>
      <c r="N905" s="19">
        <v>33.33</v>
      </c>
      <c r="O905" s="19">
        <v>33.33</v>
      </c>
      <c r="P905" s="19">
        <v>0</v>
      </c>
      <c r="Q905" s="19">
        <v>0</v>
      </c>
      <c r="S905" s="19">
        <v>1</v>
      </c>
      <c r="T905" s="19">
        <v>1</v>
      </c>
      <c r="U905" s="19">
        <v>0</v>
      </c>
      <c r="V905" s="19" t="s">
        <v>41</v>
      </c>
      <c r="W905" s="19">
        <v>1</v>
      </c>
      <c r="Y905" s="19" t="s">
        <v>40</v>
      </c>
      <c r="Z905" s="19">
        <v>33.33</v>
      </c>
      <c r="AA905" s="19">
        <v>33.33</v>
      </c>
    </row>
    <row r="906" spans="1:27" x14ac:dyDescent="0.25">
      <c r="A906" s="19" t="s">
        <v>1164</v>
      </c>
      <c r="B906" s="19" t="s">
        <v>1156</v>
      </c>
      <c r="C906" s="19" t="s">
        <v>1157</v>
      </c>
      <c r="D906" s="19">
        <v>0.54327899999999996</v>
      </c>
      <c r="E906" s="19" t="s">
        <v>58</v>
      </c>
      <c r="F906" s="19" t="s">
        <v>59</v>
      </c>
      <c r="G906" s="19" t="s">
        <v>32</v>
      </c>
      <c r="H906" s="19" t="s">
        <v>33</v>
      </c>
      <c r="I906" s="19" t="s">
        <v>34</v>
      </c>
      <c r="J906" s="19">
        <v>13</v>
      </c>
      <c r="K906" s="19">
        <v>1.6299999999999999E-2</v>
      </c>
      <c r="L906" s="19" t="s">
        <v>35</v>
      </c>
      <c r="M906" s="19" t="s">
        <v>40</v>
      </c>
      <c r="N906" s="19">
        <v>33.33</v>
      </c>
      <c r="O906" s="19">
        <v>33.33</v>
      </c>
      <c r="P906" s="19">
        <v>0</v>
      </c>
      <c r="Q906" s="19">
        <v>0</v>
      </c>
      <c r="S906" s="19">
        <v>1</v>
      </c>
      <c r="T906" s="19">
        <v>1</v>
      </c>
      <c r="U906" s="19">
        <v>0</v>
      </c>
      <c r="V906" s="19" t="s">
        <v>41</v>
      </c>
      <c r="W906" s="19">
        <v>1</v>
      </c>
      <c r="Y906" s="19" t="s">
        <v>40</v>
      </c>
      <c r="Z906" s="19">
        <v>33.33</v>
      </c>
      <c r="AA906" s="19">
        <v>33.33</v>
      </c>
    </row>
    <row r="907" spans="1:27" x14ac:dyDescent="0.25">
      <c r="A907" s="19" t="s">
        <v>1165</v>
      </c>
      <c r="B907" s="19" t="s">
        <v>1156</v>
      </c>
      <c r="C907" s="19" t="s">
        <v>1157</v>
      </c>
      <c r="D907" s="19">
        <v>0</v>
      </c>
      <c r="E907" s="19" t="s">
        <v>61</v>
      </c>
      <c r="F907" s="19" t="s">
        <v>62</v>
      </c>
      <c r="G907" s="19" t="s">
        <v>32</v>
      </c>
      <c r="H907" s="19" t="s">
        <v>63</v>
      </c>
      <c r="I907" s="19" t="s">
        <v>64</v>
      </c>
      <c r="J907" s="19">
        <v>22</v>
      </c>
      <c r="K907" s="19">
        <v>1.8599999999999998E-2</v>
      </c>
      <c r="L907" s="19" t="s">
        <v>35</v>
      </c>
      <c r="N907" s="19">
        <v>0</v>
      </c>
      <c r="O907" s="19">
        <v>0</v>
      </c>
      <c r="P907" s="19">
        <v>0</v>
      </c>
      <c r="Q907" s="19">
        <v>0</v>
      </c>
      <c r="S907" s="19">
        <v>1</v>
      </c>
      <c r="T907" s="19">
        <v>1</v>
      </c>
      <c r="U907" s="19">
        <v>0</v>
      </c>
      <c r="V907" s="19" t="s">
        <v>36</v>
      </c>
      <c r="W907" s="19">
        <v>0</v>
      </c>
      <c r="Z907" s="19">
        <v>0</v>
      </c>
      <c r="AA907" s="19">
        <v>0</v>
      </c>
    </row>
    <row r="908" spans="1:27" x14ac:dyDescent="0.25">
      <c r="A908" s="19" t="s">
        <v>1166</v>
      </c>
      <c r="B908" s="19" t="s">
        <v>1156</v>
      </c>
      <c r="C908" s="19" t="s">
        <v>1157</v>
      </c>
      <c r="D908" s="19">
        <v>0.61993799999999899</v>
      </c>
      <c r="E908" s="19" t="s">
        <v>66</v>
      </c>
      <c r="F908" s="19" t="s">
        <v>67</v>
      </c>
      <c r="G908" s="19" t="s">
        <v>32</v>
      </c>
      <c r="H908" s="19" t="s">
        <v>63</v>
      </c>
      <c r="I908" s="19" t="s">
        <v>64</v>
      </c>
      <c r="J908" s="19">
        <v>20</v>
      </c>
      <c r="K908" s="19">
        <v>1.8599999999999998E-2</v>
      </c>
      <c r="L908" s="19" t="s">
        <v>35</v>
      </c>
      <c r="M908" s="19" t="s">
        <v>40</v>
      </c>
      <c r="N908" s="19">
        <v>33.33</v>
      </c>
      <c r="O908" s="19">
        <v>33.33</v>
      </c>
      <c r="P908" s="19">
        <v>0</v>
      </c>
      <c r="Q908" s="19">
        <v>0</v>
      </c>
      <c r="S908" s="19">
        <v>1</v>
      </c>
      <c r="T908" s="19">
        <v>1</v>
      </c>
      <c r="U908" s="19">
        <v>0</v>
      </c>
      <c r="V908" s="19" t="s">
        <v>41</v>
      </c>
      <c r="W908" s="19">
        <v>1</v>
      </c>
      <c r="Y908" s="19" t="s">
        <v>40</v>
      </c>
      <c r="Z908" s="19">
        <v>33.33</v>
      </c>
      <c r="AA908" s="19">
        <v>33.33</v>
      </c>
    </row>
    <row r="909" spans="1:27" x14ac:dyDescent="0.25">
      <c r="A909" s="19" t="s">
        <v>1167</v>
      </c>
      <c r="B909" s="19" t="s">
        <v>1156</v>
      </c>
      <c r="C909" s="19" t="s">
        <v>1157</v>
      </c>
      <c r="D909" s="19">
        <v>0</v>
      </c>
      <c r="E909" s="19" t="s">
        <v>69</v>
      </c>
      <c r="F909" s="19" t="s">
        <v>70</v>
      </c>
      <c r="G909" s="19" t="s">
        <v>32</v>
      </c>
      <c r="H909" s="19" t="s">
        <v>63</v>
      </c>
      <c r="I909" s="19" t="s">
        <v>64</v>
      </c>
      <c r="J909" s="19">
        <v>23</v>
      </c>
      <c r="K909" s="19">
        <v>1.8599999999999998E-2</v>
      </c>
      <c r="L909" s="19" t="s">
        <v>35</v>
      </c>
      <c r="N909" s="19">
        <v>0</v>
      </c>
      <c r="O909" s="19">
        <v>0</v>
      </c>
      <c r="P909" s="19">
        <v>0</v>
      </c>
      <c r="Q909" s="19">
        <v>0</v>
      </c>
      <c r="S909" s="19">
        <v>1</v>
      </c>
      <c r="T909" s="19">
        <v>1</v>
      </c>
      <c r="U909" s="19">
        <v>0</v>
      </c>
      <c r="V909" s="19" t="s">
        <v>36</v>
      </c>
      <c r="W909" s="19">
        <v>0</v>
      </c>
      <c r="Z909" s="19">
        <v>0</v>
      </c>
      <c r="AA909" s="19">
        <v>0</v>
      </c>
    </row>
    <row r="910" spans="1:27" x14ac:dyDescent="0.25">
      <c r="A910" s="19" t="s">
        <v>1168</v>
      </c>
      <c r="B910" s="19" t="s">
        <v>1156</v>
      </c>
      <c r="C910" s="19" t="s">
        <v>1157</v>
      </c>
      <c r="D910" s="19">
        <v>0</v>
      </c>
      <c r="E910" s="19" t="s">
        <v>72</v>
      </c>
      <c r="F910" s="19" t="s">
        <v>73</v>
      </c>
      <c r="G910" s="19" t="s">
        <v>32</v>
      </c>
      <c r="H910" s="19" t="s">
        <v>63</v>
      </c>
      <c r="I910" s="19" t="s">
        <v>64</v>
      </c>
      <c r="J910" s="19">
        <v>21</v>
      </c>
      <c r="K910" s="19">
        <v>1.8599999999999998E-2</v>
      </c>
      <c r="L910" s="19" t="s">
        <v>35</v>
      </c>
      <c r="N910" s="19">
        <v>0</v>
      </c>
      <c r="O910" s="19">
        <v>0</v>
      </c>
      <c r="P910" s="19">
        <v>0</v>
      </c>
      <c r="Q910" s="19">
        <v>0</v>
      </c>
      <c r="S910" s="19">
        <v>1</v>
      </c>
      <c r="T910" s="19">
        <v>1</v>
      </c>
      <c r="U910" s="19">
        <v>0</v>
      </c>
      <c r="V910" s="19" t="s">
        <v>36</v>
      </c>
      <c r="W910" s="19">
        <v>0</v>
      </c>
      <c r="Z910" s="19">
        <v>0</v>
      </c>
      <c r="AA910" s="19">
        <v>0</v>
      </c>
    </row>
    <row r="911" spans="1:27" x14ac:dyDescent="0.25">
      <c r="A911" s="19" t="s">
        <v>1169</v>
      </c>
      <c r="B911" s="19" t="s">
        <v>1156</v>
      </c>
      <c r="C911" s="19" t="s">
        <v>1157</v>
      </c>
      <c r="D911" s="19">
        <v>0.61993799999999899</v>
      </c>
      <c r="E911" s="19" t="s">
        <v>75</v>
      </c>
      <c r="F911" s="19" t="s">
        <v>76</v>
      </c>
      <c r="G911" s="19" t="s">
        <v>32</v>
      </c>
      <c r="H911" s="19" t="s">
        <v>63</v>
      </c>
      <c r="I911" s="19" t="s">
        <v>64</v>
      </c>
      <c r="J911" s="19">
        <v>24</v>
      </c>
      <c r="K911" s="19">
        <v>1.8599999999999998E-2</v>
      </c>
      <c r="L911" s="19" t="s">
        <v>35</v>
      </c>
      <c r="M911" s="19" t="s">
        <v>40</v>
      </c>
      <c r="N911" s="19">
        <v>33.33</v>
      </c>
      <c r="O911" s="19">
        <v>33.33</v>
      </c>
      <c r="P911" s="19">
        <v>0</v>
      </c>
      <c r="Q911" s="19">
        <v>0</v>
      </c>
      <c r="S911" s="19">
        <v>1</v>
      </c>
      <c r="T911" s="19">
        <v>1</v>
      </c>
      <c r="U911" s="19">
        <v>0</v>
      </c>
      <c r="V911" s="19" t="s">
        <v>41</v>
      </c>
      <c r="W911" s="19">
        <v>1</v>
      </c>
      <c r="Y911" s="19" t="s">
        <v>40</v>
      </c>
      <c r="Z911" s="19">
        <v>33.33</v>
      </c>
      <c r="AA911" s="19">
        <v>33.33</v>
      </c>
    </row>
    <row r="912" spans="1:27" x14ac:dyDescent="0.25">
      <c r="A912" s="19" t="s">
        <v>1170</v>
      </c>
      <c r="B912" s="19" t="s">
        <v>1156</v>
      </c>
      <c r="C912" s="19" t="s">
        <v>1157</v>
      </c>
      <c r="D912" s="19">
        <v>0</v>
      </c>
      <c r="E912" s="19" t="s">
        <v>78</v>
      </c>
      <c r="F912" s="19" t="s">
        <v>79</v>
      </c>
      <c r="G912" s="19" t="s">
        <v>32</v>
      </c>
      <c r="H912" s="19" t="s">
        <v>63</v>
      </c>
      <c r="I912" s="19" t="s">
        <v>64</v>
      </c>
      <c r="J912" s="19">
        <v>25</v>
      </c>
      <c r="K912" s="19">
        <v>1.8599999999999998E-2</v>
      </c>
      <c r="L912" s="19" t="s">
        <v>35</v>
      </c>
      <c r="M912" s="19" t="s">
        <v>40</v>
      </c>
      <c r="N912" s="19">
        <v>0</v>
      </c>
      <c r="O912" s="19">
        <v>0</v>
      </c>
      <c r="P912" s="19">
        <v>0</v>
      </c>
      <c r="Q912" s="19">
        <v>0</v>
      </c>
      <c r="S912" s="19">
        <v>1</v>
      </c>
      <c r="T912" s="19">
        <v>1</v>
      </c>
      <c r="U912" s="19">
        <v>0</v>
      </c>
      <c r="V912" s="19" t="s">
        <v>80</v>
      </c>
      <c r="W912" s="19">
        <v>0</v>
      </c>
      <c r="Y912" s="19" t="s">
        <v>40</v>
      </c>
      <c r="Z912" s="19">
        <v>33.33</v>
      </c>
      <c r="AA912" s="19">
        <v>0</v>
      </c>
    </row>
    <row r="913" spans="1:27" x14ac:dyDescent="0.25">
      <c r="A913" s="19" t="s">
        <v>1171</v>
      </c>
      <c r="B913" s="19" t="s">
        <v>1156</v>
      </c>
      <c r="C913" s="19" t="s">
        <v>1157</v>
      </c>
      <c r="D913" s="19">
        <v>0</v>
      </c>
      <c r="E913" s="19" t="s">
        <v>82</v>
      </c>
      <c r="F913" s="19" t="s">
        <v>83</v>
      </c>
      <c r="G913" s="19" t="s">
        <v>32</v>
      </c>
      <c r="H913" s="19" t="s">
        <v>63</v>
      </c>
      <c r="I913" s="19" t="s">
        <v>64</v>
      </c>
      <c r="J913" s="19">
        <v>26</v>
      </c>
      <c r="K913" s="19">
        <v>1.8599999999999998E-2</v>
      </c>
      <c r="L913" s="19" t="s">
        <v>35</v>
      </c>
      <c r="N913" s="19">
        <v>0</v>
      </c>
      <c r="O913" s="19">
        <v>0</v>
      </c>
      <c r="P913" s="19">
        <v>0</v>
      </c>
      <c r="Q913" s="19">
        <v>0</v>
      </c>
      <c r="S913" s="19">
        <v>1</v>
      </c>
      <c r="T913" s="19">
        <v>1</v>
      </c>
      <c r="U913" s="19">
        <v>0</v>
      </c>
      <c r="V913" s="19" t="s">
        <v>36</v>
      </c>
      <c r="W913" s="19">
        <v>0</v>
      </c>
      <c r="Z913" s="19">
        <v>0</v>
      </c>
      <c r="AA913" s="19">
        <v>0</v>
      </c>
    </row>
    <row r="914" spans="1:27" x14ac:dyDescent="0.25">
      <c r="A914" s="19" t="s">
        <v>1172</v>
      </c>
      <c r="B914" s="19" t="s">
        <v>1156</v>
      </c>
      <c r="C914" s="19" t="s">
        <v>1157</v>
      </c>
      <c r="D914" s="19">
        <v>0</v>
      </c>
      <c r="E914" s="19" t="s">
        <v>85</v>
      </c>
      <c r="F914" s="19" t="s">
        <v>86</v>
      </c>
      <c r="G914" s="19" t="s">
        <v>32</v>
      </c>
      <c r="H914" s="19" t="s">
        <v>87</v>
      </c>
      <c r="I914" s="19" t="s">
        <v>88</v>
      </c>
      <c r="J914" s="19">
        <v>35</v>
      </c>
      <c r="K914" s="19">
        <v>3.2500000000000001E-2</v>
      </c>
      <c r="L914" s="19" t="s">
        <v>35</v>
      </c>
      <c r="N914" s="19">
        <v>0</v>
      </c>
      <c r="O914" s="19">
        <v>0</v>
      </c>
      <c r="P914" s="19">
        <v>0</v>
      </c>
      <c r="Q914" s="19">
        <v>0</v>
      </c>
      <c r="S914" s="19">
        <v>1</v>
      </c>
      <c r="T914" s="19">
        <v>1</v>
      </c>
      <c r="U914" s="19">
        <v>0</v>
      </c>
      <c r="V914" s="19" t="s">
        <v>36</v>
      </c>
      <c r="W914" s="19">
        <v>0</v>
      </c>
      <c r="Z914" s="19">
        <v>0</v>
      </c>
      <c r="AA914" s="19">
        <v>0</v>
      </c>
    </row>
    <row r="915" spans="1:27" x14ac:dyDescent="0.25">
      <c r="A915" s="19" t="s">
        <v>1173</v>
      </c>
      <c r="B915" s="19" t="s">
        <v>1156</v>
      </c>
      <c r="C915" s="19" t="s">
        <v>1157</v>
      </c>
      <c r="D915" s="19">
        <v>0</v>
      </c>
      <c r="E915" s="19" t="s">
        <v>90</v>
      </c>
      <c r="F915" s="19" t="s">
        <v>91</v>
      </c>
      <c r="G915" s="19" t="s">
        <v>32</v>
      </c>
      <c r="H915" s="19" t="s">
        <v>87</v>
      </c>
      <c r="I915" s="19" t="s">
        <v>88</v>
      </c>
      <c r="J915" s="19">
        <v>33</v>
      </c>
      <c r="K915" s="19">
        <v>3.2500000000000001E-2</v>
      </c>
      <c r="L915" s="19" t="s">
        <v>35</v>
      </c>
      <c r="N915" s="19">
        <v>0</v>
      </c>
      <c r="O915" s="19">
        <v>0</v>
      </c>
      <c r="P915" s="19">
        <v>0</v>
      </c>
      <c r="Q915" s="19">
        <v>0</v>
      </c>
      <c r="S915" s="19">
        <v>1</v>
      </c>
      <c r="T915" s="19">
        <v>1</v>
      </c>
      <c r="U915" s="19">
        <v>0</v>
      </c>
      <c r="V915" s="19" t="s">
        <v>36</v>
      </c>
      <c r="W915" s="19">
        <v>0</v>
      </c>
      <c r="Z915" s="19">
        <v>0</v>
      </c>
      <c r="AA915" s="19">
        <v>0</v>
      </c>
    </row>
    <row r="916" spans="1:27" x14ac:dyDescent="0.25">
      <c r="A916" s="19" t="s">
        <v>1174</v>
      </c>
      <c r="B916" s="19" t="s">
        <v>1156</v>
      </c>
      <c r="C916" s="19" t="s">
        <v>1157</v>
      </c>
      <c r="D916" s="19">
        <v>0</v>
      </c>
      <c r="E916" s="19" t="s">
        <v>93</v>
      </c>
      <c r="F916" s="19" t="s">
        <v>94</v>
      </c>
      <c r="G916" s="19" t="s">
        <v>32</v>
      </c>
      <c r="H916" s="19" t="s">
        <v>87</v>
      </c>
      <c r="I916" s="19" t="s">
        <v>88</v>
      </c>
      <c r="J916" s="19">
        <v>34</v>
      </c>
      <c r="K916" s="19">
        <v>3.2500000000000001E-2</v>
      </c>
      <c r="L916" s="19" t="s">
        <v>35</v>
      </c>
      <c r="N916" s="19">
        <v>0</v>
      </c>
      <c r="O916" s="19">
        <v>0</v>
      </c>
      <c r="P916" s="19">
        <v>0</v>
      </c>
      <c r="Q916" s="19">
        <v>0</v>
      </c>
      <c r="S916" s="19">
        <v>1</v>
      </c>
      <c r="T916" s="19">
        <v>1</v>
      </c>
      <c r="U916" s="19">
        <v>0</v>
      </c>
      <c r="V916" s="19" t="s">
        <v>36</v>
      </c>
      <c r="W916" s="19">
        <v>0</v>
      </c>
      <c r="Z916" s="19">
        <v>0</v>
      </c>
      <c r="AA916" s="19">
        <v>0</v>
      </c>
    </row>
    <row r="917" spans="1:27" x14ac:dyDescent="0.25">
      <c r="A917" s="19" t="s">
        <v>1175</v>
      </c>
      <c r="B917" s="19" t="s">
        <v>1156</v>
      </c>
      <c r="C917" s="19" t="s">
        <v>1157</v>
      </c>
      <c r="D917" s="19">
        <v>0</v>
      </c>
      <c r="E917" s="19" t="s">
        <v>96</v>
      </c>
      <c r="F917" s="19" t="s">
        <v>97</v>
      </c>
      <c r="G917" s="19" t="s">
        <v>32</v>
      </c>
      <c r="H917" s="19" t="s">
        <v>87</v>
      </c>
      <c r="I917" s="19" t="s">
        <v>88</v>
      </c>
      <c r="J917" s="19">
        <v>36</v>
      </c>
      <c r="K917" s="19">
        <v>3.2500000000000001E-2</v>
      </c>
      <c r="L917" s="19" t="s">
        <v>35</v>
      </c>
      <c r="N917" s="19">
        <v>0</v>
      </c>
      <c r="O917" s="19">
        <v>0</v>
      </c>
      <c r="P917" s="19">
        <v>0</v>
      </c>
      <c r="Q917" s="19">
        <v>0</v>
      </c>
      <c r="S917" s="19">
        <v>1</v>
      </c>
      <c r="T917" s="19">
        <v>1</v>
      </c>
      <c r="U917" s="19">
        <v>0</v>
      </c>
      <c r="V917" s="19" t="s">
        <v>36</v>
      </c>
      <c r="W917" s="19">
        <v>0</v>
      </c>
      <c r="Z917" s="19">
        <v>0</v>
      </c>
      <c r="AA917" s="19">
        <v>0</v>
      </c>
    </row>
    <row r="918" spans="1:27" x14ac:dyDescent="0.25">
      <c r="A918" s="19" t="s">
        <v>1176</v>
      </c>
      <c r="B918" s="19" t="s">
        <v>1156</v>
      </c>
      <c r="C918" s="19" t="s">
        <v>1157</v>
      </c>
      <c r="D918" s="19">
        <v>0</v>
      </c>
      <c r="E918" s="19" t="s">
        <v>99</v>
      </c>
      <c r="F918" s="19" t="s">
        <v>100</v>
      </c>
      <c r="G918" s="19" t="s">
        <v>32</v>
      </c>
      <c r="H918" s="19" t="s">
        <v>101</v>
      </c>
      <c r="I918" s="19" t="s">
        <v>102</v>
      </c>
      <c r="J918" s="19">
        <v>39</v>
      </c>
      <c r="K918" s="19">
        <v>4.3299999999999998E-2</v>
      </c>
      <c r="L918" s="19" t="s">
        <v>35</v>
      </c>
      <c r="M918" s="19" t="s">
        <v>103</v>
      </c>
      <c r="N918" s="19">
        <v>0</v>
      </c>
      <c r="O918" s="19">
        <v>0</v>
      </c>
      <c r="P918" s="19">
        <v>0</v>
      </c>
      <c r="Q918" s="19">
        <v>0</v>
      </c>
      <c r="S918" s="19">
        <v>1</v>
      </c>
      <c r="T918" s="19">
        <v>1</v>
      </c>
      <c r="U918" s="19">
        <v>0</v>
      </c>
      <c r="V918" s="19" t="s">
        <v>36</v>
      </c>
      <c r="W918" s="19">
        <v>0</v>
      </c>
      <c r="Y918" s="19" t="s">
        <v>103</v>
      </c>
      <c r="Z918" s="19">
        <v>50</v>
      </c>
      <c r="AA918" s="19">
        <v>0</v>
      </c>
    </row>
    <row r="919" spans="1:27" x14ac:dyDescent="0.25">
      <c r="A919" s="19" t="s">
        <v>1177</v>
      </c>
      <c r="B919" s="19" t="s">
        <v>1156</v>
      </c>
      <c r="C919" s="19" t="s">
        <v>1157</v>
      </c>
      <c r="D919" s="19">
        <v>0</v>
      </c>
      <c r="E919" s="19" t="s">
        <v>105</v>
      </c>
      <c r="F919" s="19" t="s">
        <v>106</v>
      </c>
      <c r="G919" s="19" t="s">
        <v>32</v>
      </c>
      <c r="H919" s="19" t="s">
        <v>101</v>
      </c>
      <c r="I919" s="19" t="s">
        <v>102</v>
      </c>
      <c r="J919" s="19">
        <v>38</v>
      </c>
      <c r="K919" s="19">
        <v>4.3299999999999998E-2</v>
      </c>
      <c r="L919" s="19" t="s">
        <v>35</v>
      </c>
      <c r="M919" s="19" t="s">
        <v>103</v>
      </c>
      <c r="N919" s="19">
        <v>0</v>
      </c>
      <c r="O919" s="19">
        <v>0</v>
      </c>
      <c r="P919" s="19">
        <v>0</v>
      </c>
      <c r="Q919" s="19">
        <v>0</v>
      </c>
      <c r="S919" s="19">
        <v>1</v>
      </c>
      <c r="T919" s="19">
        <v>1</v>
      </c>
      <c r="U919" s="19">
        <v>0</v>
      </c>
      <c r="V919" s="19" t="s">
        <v>36</v>
      </c>
      <c r="W919" s="19">
        <v>0</v>
      </c>
      <c r="Y919" s="19" t="s">
        <v>103</v>
      </c>
      <c r="Z919" s="19">
        <v>50</v>
      </c>
      <c r="AA919" s="19">
        <v>0</v>
      </c>
    </row>
    <row r="920" spans="1:27" x14ac:dyDescent="0.25">
      <c r="A920" s="19" t="s">
        <v>1178</v>
      </c>
      <c r="B920" s="19" t="s">
        <v>1156</v>
      </c>
      <c r="C920" s="19" t="s">
        <v>1157</v>
      </c>
      <c r="D920" s="19">
        <v>0</v>
      </c>
      <c r="E920" s="19" t="s">
        <v>108</v>
      </c>
      <c r="F920" s="19" t="s">
        <v>109</v>
      </c>
      <c r="G920" s="19" t="s">
        <v>32</v>
      </c>
      <c r="H920" s="19" t="s">
        <v>101</v>
      </c>
      <c r="I920" s="19" t="s">
        <v>102</v>
      </c>
      <c r="J920" s="19">
        <v>37</v>
      </c>
      <c r="K920" s="19">
        <v>4.3299999999999998E-2</v>
      </c>
      <c r="L920" s="19" t="s">
        <v>35</v>
      </c>
      <c r="N920" s="19">
        <v>0</v>
      </c>
      <c r="O920" s="19">
        <v>0</v>
      </c>
      <c r="P920" s="19">
        <v>0</v>
      </c>
      <c r="Q920" s="19">
        <v>0</v>
      </c>
      <c r="S920" s="19">
        <v>1</v>
      </c>
      <c r="T920" s="19">
        <v>1</v>
      </c>
      <c r="U920" s="19">
        <v>0</v>
      </c>
      <c r="V920" s="19" t="s">
        <v>36</v>
      </c>
      <c r="W920" s="19">
        <v>0</v>
      </c>
      <c r="Z920" s="19">
        <v>0</v>
      </c>
      <c r="AA920" s="19">
        <v>0</v>
      </c>
    </row>
    <row r="921" spans="1:27" x14ac:dyDescent="0.25">
      <c r="A921" s="19" t="s">
        <v>1179</v>
      </c>
      <c r="B921" s="19" t="s">
        <v>1156</v>
      </c>
      <c r="C921" s="19" t="s">
        <v>1157</v>
      </c>
      <c r="D921" s="19">
        <v>0</v>
      </c>
      <c r="E921" s="19" t="s">
        <v>112</v>
      </c>
      <c r="F921" s="19" t="s">
        <v>113</v>
      </c>
      <c r="G921" s="19" t="s">
        <v>32</v>
      </c>
      <c r="H921" s="19" t="s">
        <v>114</v>
      </c>
      <c r="I921" s="19" t="s">
        <v>115</v>
      </c>
      <c r="J921" s="19">
        <v>30</v>
      </c>
      <c r="K921" s="19">
        <v>2.1700000000000001E-2</v>
      </c>
      <c r="L921" s="19" t="s">
        <v>35</v>
      </c>
      <c r="M921" s="19" t="s">
        <v>103</v>
      </c>
      <c r="N921" s="19">
        <v>0</v>
      </c>
      <c r="O921" s="19">
        <v>0</v>
      </c>
      <c r="P921" s="19">
        <v>0</v>
      </c>
      <c r="Q921" s="19">
        <v>0</v>
      </c>
      <c r="S921" s="19">
        <v>1</v>
      </c>
      <c r="T921" s="19">
        <v>1</v>
      </c>
      <c r="U921" s="19">
        <v>0</v>
      </c>
      <c r="V921" s="19" t="s">
        <v>36</v>
      </c>
      <c r="W921" s="19">
        <v>0</v>
      </c>
      <c r="Y921" s="19" t="s">
        <v>103</v>
      </c>
      <c r="Z921" s="19">
        <v>50</v>
      </c>
      <c r="AA921" s="19">
        <v>0</v>
      </c>
    </row>
    <row r="922" spans="1:27" x14ac:dyDescent="0.25">
      <c r="A922" s="19" t="s">
        <v>1180</v>
      </c>
      <c r="B922" s="19" t="s">
        <v>1156</v>
      </c>
      <c r="C922" s="19" t="s">
        <v>1157</v>
      </c>
      <c r="D922" s="19">
        <v>0</v>
      </c>
      <c r="E922" s="19" t="s">
        <v>117</v>
      </c>
      <c r="F922" s="19" t="s">
        <v>118</v>
      </c>
      <c r="G922" s="19" t="s">
        <v>32</v>
      </c>
      <c r="H922" s="19" t="s">
        <v>114</v>
      </c>
      <c r="I922" s="19" t="s">
        <v>115</v>
      </c>
      <c r="J922" s="19">
        <v>31</v>
      </c>
      <c r="K922" s="19">
        <v>2.1700000000000001E-2</v>
      </c>
      <c r="L922" s="19" t="s">
        <v>35</v>
      </c>
      <c r="M922" s="19" t="s">
        <v>103</v>
      </c>
      <c r="N922" s="19">
        <v>0</v>
      </c>
      <c r="O922" s="19">
        <v>0</v>
      </c>
      <c r="P922" s="19">
        <v>0</v>
      </c>
      <c r="Q922" s="19">
        <v>0</v>
      </c>
      <c r="S922" s="19">
        <v>1</v>
      </c>
      <c r="T922" s="19">
        <v>1</v>
      </c>
      <c r="U922" s="19">
        <v>0</v>
      </c>
      <c r="V922" s="19" t="s">
        <v>36</v>
      </c>
      <c r="W922" s="19">
        <v>0</v>
      </c>
      <c r="Y922" s="19" t="s">
        <v>103</v>
      </c>
      <c r="Z922" s="19">
        <v>50</v>
      </c>
      <c r="AA922" s="19">
        <v>0</v>
      </c>
    </row>
    <row r="923" spans="1:27" x14ac:dyDescent="0.25">
      <c r="A923" s="19" t="s">
        <v>1181</v>
      </c>
      <c r="B923" s="19" t="s">
        <v>1156</v>
      </c>
      <c r="C923" s="19" t="s">
        <v>1157</v>
      </c>
      <c r="D923" s="19">
        <v>0</v>
      </c>
      <c r="E923" s="19" t="s">
        <v>120</v>
      </c>
      <c r="F923" s="19" t="s">
        <v>121</v>
      </c>
      <c r="G923" s="19" t="s">
        <v>32</v>
      </c>
      <c r="H923" s="19" t="s">
        <v>114</v>
      </c>
      <c r="I923" s="19" t="s">
        <v>115</v>
      </c>
      <c r="J923" s="19">
        <v>28</v>
      </c>
      <c r="K923" s="19">
        <v>2.1700000000000001E-2</v>
      </c>
      <c r="L923" s="19" t="s">
        <v>35</v>
      </c>
      <c r="M923" s="19" t="s">
        <v>103</v>
      </c>
      <c r="N923" s="19">
        <v>0</v>
      </c>
      <c r="O923" s="19">
        <v>0</v>
      </c>
      <c r="P923" s="19">
        <v>0</v>
      </c>
      <c r="Q923" s="19">
        <v>0</v>
      </c>
      <c r="S923" s="19">
        <v>1</v>
      </c>
      <c r="T923" s="19">
        <v>1</v>
      </c>
      <c r="U923" s="19">
        <v>0</v>
      </c>
      <c r="V923" s="19" t="s">
        <v>36</v>
      </c>
      <c r="W923" s="19">
        <v>0</v>
      </c>
      <c r="Y923" s="19" t="s">
        <v>103</v>
      </c>
      <c r="Z923" s="19">
        <v>50</v>
      </c>
      <c r="AA923" s="19">
        <v>0</v>
      </c>
    </row>
    <row r="924" spans="1:27" x14ac:dyDescent="0.25">
      <c r="A924" s="19" t="s">
        <v>1182</v>
      </c>
      <c r="B924" s="19" t="s">
        <v>1156</v>
      </c>
      <c r="C924" s="19" t="s">
        <v>1157</v>
      </c>
      <c r="D924" s="19">
        <v>0</v>
      </c>
      <c r="E924" s="19" t="s">
        <v>123</v>
      </c>
      <c r="F924" s="19" t="s">
        <v>124</v>
      </c>
      <c r="G924" s="19" t="s">
        <v>32</v>
      </c>
      <c r="H924" s="19" t="s">
        <v>114</v>
      </c>
      <c r="I924" s="19" t="s">
        <v>115</v>
      </c>
      <c r="J924" s="19">
        <v>27</v>
      </c>
      <c r="K924" s="19">
        <v>2.1700000000000001E-2</v>
      </c>
      <c r="L924" s="19" t="s">
        <v>35</v>
      </c>
      <c r="M924" s="19" t="s">
        <v>103</v>
      </c>
      <c r="N924" s="19">
        <v>0</v>
      </c>
      <c r="O924" s="19">
        <v>0</v>
      </c>
      <c r="P924" s="19">
        <v>0</v>
      </c>
      <c r="Q924" s="19">
        <v>0</v>
      </c>
      <c r="S924" s="19">
        <v>1</v>
      </c>
      <c r="T924" s="19">
        <v>1</v>
      </c>
      <c r="U924" s="19">
        <v>0</v>
      </c>
      <c r="V924" s="19" t="s">
        <v>36</v>
      </c>
      <c r="W924" s="19">
        <v>0</v>
      </c>
      <c r="Y924" s="19" t="s">
        <v>103</v>
      </c>
      <c r="Z924" s="19">
        <v>50</v>
      </c>
      <c r="AA924" s="19">
        <v>0</v>
      </c>
    </row>
    <row r="925" spans="1:27" x14ac:dyDescent="0.25">
      <c r="A925" s="19" t="s">
        <v>1183</v>
      </c>
      <c r="B925" s="19" t="s">
        <v>1156</v>
      </c>
      <c r="C925" s="19" t="s">
        <v>1157</v>
      </c>
      <c r="D925" s="19">
        <v>0</v>
      </c>
      <c r="E925" s="19" t="s">
        <v>126</v>
      </c>
      <c r="F925" s="19" t="s">
        <v>127</v>
      </c>
      <c r="G925" s="19" t="s">
        <v>32</v>
      </c>
      <c r="H925" s="19" t="s">
        <v>114</v>
      </c>
      <c r="I925" s="19" t="s">
        <v>115</v>
      </c>
      <c r="J925" s="19">
        <v>29</v>
      </c>
      <c r="K925" s="19">
        <v>2.1700000000000001E-2</v>
      </c>
      <c r="L925" s="19" t="s">
        <v>35</v>
      </c>
      <c r="M925" s="19" t="s">
        <v>103</v>
      </c>
      <c r="N925" s="19">
        <v>0</v>
      </c>
      <c r="O925" s="19">
        <v>0</v>
      </c>
      <c r="P925" s="19">
        <v>0</v>
      </c>
      <c r="Q925" s="19">
        <v>0</v>
      </c>
      <c r="S925" s="19">
        <v>1</v>
      </c>
      <c r="T925" s="19">
        <v>1</v>
      </c>
      <c r="U925" s="19">
        <v>0</v>
      </c>
      <c r="V925" s="19" t="s">
        <v>36</v>
      </c>
      <c r="W925" s="19">
        <v>0</v>
      </c>
      <c r="Y925" s="19" t="s">
        <v>103</v>
      </c>
      <c r="Z925" s="19">
        <v>50</v>
      </c>
      <c r="AA925" s="19">
        <v>0</v>
      </c>
    </row>
    <row r="926" spans="1:27" x14ac:dyDescent="0.25">
      <c r="A926" s="19" t="s">
        <v>1184</v>
      </c>
      <c r="B926" s="19" t="s">
        <v>1156</v>
      </c>
      <c r="C926" s="19" t="s">
        <v>1157</v>
      </c>
      <c r="D926" s="19">
        <v>0</v>
      </c>
      <c r="E926" s="19" t="s">
        <v>129</v>
      </c>
      <c r="F926" s="19" t="s">
        <v>130</v>
      </c>
      <c r="G926" s="19" t="s">
        <v>32</v>
      </c>
      <c r="H926" s="19" t="s">
        <v>114</v>
      </c>
      <c r="I926" s="19" t="s">
        <v>115</v>
      </c>
      <c r="J926" s="19">
        <v>32</v>
      </c>
      <c r="K926" s="19">
        <v>2.1700000000000001E-2</v>
      </c>
      <c r="L926" s="19" t="s">
        <v>35</v>
      </c>
      <c r="M926" s="19" t="s">
        <v>103</v>
      </c>
      <c r="N926" s="19">
        <v>0</v>
      </c>
      <c r="O926" s="19">
        <v>0</v>
      </c>
      <c r="P926" s="19">
        <v>0</v>
      </c>
      <c r="Q926" s="19">
        <v>0</v>
      </c>
      <c r="S926" s="19">
        <v>1</v>
      </c>
      <c r="T926" s="19">
        <v>1</v>
      </c>
      <c r="U926" s="19">
        <v>0</v>
      </c>
      <c r="V926" s="19" t="s">
        <v>36</v>
      </c>
      <c r="W926" s="19">
        <v>0</v>
      </c>
      <c r="Y926" s="19" t="s">
        <v>103</v>
      </c>
      <c r="Z926" s="19">
        <v>50</v>
      </c>
      <c r="AA926" s="19">
        <v>0</v>
      </c>
    </row>
    <row r="927" spans="1:27" x14ac:dyDescent="0.25">
      <c r="A927" s="19" t="s">
        <v>1185</v>
      </c>
      <c r="B927" s="19" t="s">
        <v>1156</v>
      </c>
      <c r="C927" s="19" t="s">
        <v>1157</v>
      </c>
      <c r="D927" s="19">
        <v>0</v>
      </c>
      <c r="E927" s="19" t="s">
        <v>132</v>
      </c>
      <c r="F927" s="19" t="s">
        <v>133</v>
      </c>
      <c r="G927" s="19" t="s">
        <v>134</v>
      </c>
      <c r="H927" s="19" t="s">
        <v>87</v>
      </c>
      <c r="I927" s="19" t="s">
        <v>135</v>
      </c>
      <c r="J927" s="19">
        <v>11</v>
      </c>
      <c r="K927" s="19">
        <v>4.1700000000000001E-2</v>
      </c>
      <c r="L927" s="19" t="s">
        <v>35</v>
      </c>
      <c r="M927" s="19" t="s">
        <v>103</v>
      </c>
      <c r="N927" s="19">
        <v>0</v>
      </c>
      <c r="O927" s="19">
        <v>0</v>
      </c>
      <c r="P927" s="19">
        <v>0</v>
      </c>
      <c r="Q927" s="19">
        <v>0</v>
      </c>
      <c r="S927" s="19">
        <v>1</v>
      </c>
      <c r="T927" s="19">
        <v>1</v>
      </c>
      <c r="U927" s="19">
        <v>0</v>
      </c>
      <c r="V927" s="19" t="s">
        <v>36</v>
      </c>
      <c r="W927" s="19">
        <v>0</v>
      </c>
      <c r="Y927" s="19" t="s">
        <v>103</v>
      </c>
      <c r="Z927" s="19">
        <v>50</v>
      </c>
      <c r="AA927" s="19">
        <v>0</v>
      </c>
    </row>
    <row r="928" spans="1:27" x14ac:dyDescent="0.25">
      <c r="A928" s="19" t="s">
        <v>1186</v>
      </c>
      <c r="B928" s="19" t="s">
        <v>1156</v>
      </c>
      <c r="C928" s="19" t="s">
        <v>1157</v>
      </c>
      <c r="D928" s="19">
        <v>0</v>
      </c>
      <c r="E928" s="19" t="s">
        <v>137</v>
      </c>
      <c r="F928" s="19" t="s">
        <v>138</v>
      </c>
      <c r="G928" s="19" t="s">
        <v>134</v>
      </c>
      <c r="H928" s="19" t="s">
        <v>87</v>
      </c>
      <c r="I928" s="19" t="s">
        <v>135</v>
      </c>
      <c r="J928" s="19">
        <v>9</v>
      </c>
      <c r="K928" s="19">
        <v>4.1700000000000001E-2</v>
      </c>
      <c r="L928" s="19" t="s">
        <v>35</v>
      </c>
      <c r="N928" s="19">
        <v>0</v>
      </c>
      <c r="O928" s="19">
        <v>0</v>
      </c>
      <c r="P928" s="19">
        <v>0</v>
      </c>
      <c r="Q928" s="19">
        <v>0</v>
      </c>
      <c r="S928" s="19">
        <v>1</v>
      </c>
      <c r="T928" s="19">
        <v>1</v>
      </c>
      <c r="U928" s="19">
        <v>0</v>
      </c>
      <c r="W928" s="19">
        <v>0</v>
      </c>
      <c r="X928" s="19">
        <v>0</v>
      </c>
      <c r="Z928" s="19">
        <v>0</v>
      </c>
      <c r="AA928" s="19">
        <v>0</v>
      </c>
    </row>
    <row r="929" spans="1:27" x14ac:dyDescent="0.25">
      <c r="A929" s="19" t="s">
        <v>1187</v>
      </c>
      <c r="B929" s="19" t="s">
        <v>1156</v>
      </c>
      <c r="C929" s="19" t="s">
        <v>1157</v>
      </c>
      <c r="D929" s="19">
        <v>0</v>
      </c>
      <c r="E929" s="19" t="s">
        <v>140</v>
      </c>
      <c r="F929" s="19" t="s">
        <v>141</v>
      </c>
      <c r="G929" s="19" t="s">
        <v>134</v>
      </c>
      <c r="H929" s="19" t="s">
        <v>87</v>
      </c>
      <c r="I929" s="19" t="s">
        <v>135</v>
      </c>
      <c r="J929" s="19">
        <v>10</v>
      </c>
      <c r="K929" s="19">
        <v>4.1700000000000001E-2</v>
      </c>
      <c r="L929" s="19" t="s">
        <v>35</v>
      </c>
      <c r="N929" s="19">
        <v>0</v>
      </c>
      <c r="O929" s="19">
        <v>0</v>
      </c>
      <c r="P929" s="19">
        <v>0</v>
      </c>
      <c r="Q929" s="19">
        <v>0</v>
      </c>
      <c r="S929" s="19">
        <v>1</v>
      </c>
      <c r="T929" s="19">
        <v>1</v>
      </c>
      <c r="U929" s="19">
        <v>0</v>
      </c>
      <c r="W929" s="19">
        <v>0</v>
      </c>
      <c r="X929" s="19">
        <v>0</v>
      </c>
      <c r="Z929" s="19">
        <v>0</v>
      </c>
      <c r="AA929" s="19">
        <v>0</v>
      </c>
    </row>
    <row r="930" spans="1:27" x14ac:dyDescent="0.25">
      <c r="A930" s="19" t="s">
        <v>1188</v>
      </c>
      <c r="B930" s="19" t="s">
        <v>1156</v>
      </c>
      <c r="C930" s="19" t="s">
        <v>1157</v>
      </c>
      <c r="D930" s="19">
        <v>0</v>
      </c>
      <c r="E930" s="19" t="s">
        <v>144</v>
      </c>
      <c r="F930" s="19" t="s">
        <v>145</v>
      </c>
      <c r="G930" s="19" t="s">
        <v>134</v>
      </c>
      <c r="H930" s="19" t="s">
        <v>146</v>
      </c>
      <c r="I930" s="19" t="s">
        <v>147</v>
      </c>
      <c r="J930" s="19">
        <v>4</v>
      </c>
      <c r="K930" s="19">
        <v>2.5000000000000001E-2</v>
      </c>
      <c r="L930" s="19" t="s">
        <v>35</v>
      </c>
      <c r="M930" s="19" t="s">
        <v>103</v>
      </c>
      <c r="N930" s="19">
        <v>0</v>
      </c>
      <c r="O930" s="19">
        <v>0</v>
      </c>
      <c r="P930" s="19">
        <v>0</v>
      </c>
      <c r="Q930" s="19">
        <v>0</v>
      </c>
      <c r="S930" s="19">
        <v>1</v>
      </c>
      <c r="T930" s="19">
        <v>1</v>
      </c>
      <c r="U930" s="19">
        <v>0</v>
      </c>
      <c r="V930" s="19" t="s">
        <v>36</v>
      </c>
      <c r="W930" s="19">
        <v>0</v>
      </c>
      <c r="Y930" s="19" t="s">
        <v>103</v>
      </c>
      <c r="Z930" s="19">
        <v>50</v>
      </c>
      <c r="AA930" s="19">
        <v>0</v>
      </c>
    </row>
    <row r="931" spans="1:27" x14ac:dyDescent="0.25">
      <c r="A931" s="19" t="s">
        <v>1189</v>
      </c>
      <c r="B931" s="19" t="s">
        <v>1156</v>
      </c>
      <c r="C931" s="19" t="s">
        <v>1157</v>
      </c>
      <c r="D931" s="19">
        <v>0</v>
      </c>
      <c r="E931" s="19" t="s">
        <v>149</v>
      </c>
      <c r="F931" s="19" t="s">
        <v>150</v>
      </c>
      <c r="G931" s="19" t="s">
        <v>134</v>
      </c>
      <c r="H931" s="19" t="s">
        <v>146</v>
      </c>
      <c r="I931" s="19" t="s">
        <v>147</v>
      </c>
      <c r="J931" s="19">
        <v>5</v>
      </c>
      <c r="K931" s="19">
        <v>2.5000000000000001E-2</v>
      </c>
      <c r="L931" s="19" t="s">
        <v>35</v>
      </c>
      <c r="M931" s="19" t="s">
        <v>103</v>
      </c>
      <c r="N931" s="19">
        <v>0</v>
      </c>
      <c r="O931" s="19">
        <v>0</v>
      </c>
      <c r="P931" s="19">
        <v>0</v>
      </c>
      <c r="Q931" s="19">
        <v>0</v>
      </c>
      <c r="S931" s="19">
        <v>1</v>
      </c>
      <c r="T931" s="19">
        <v>1</v>
      </c>
      <c r="U931" s="19">
        <v>0</v>
      </c>
      <c r="V931" s="19" t="s">
        <v>80</v>
      </c>
      <c r="W931" s="19">
        <v>0</v>
      </c>
      <c r="Y931" s="19" t="s">
        <v>103</v>
      </c>
      <c r="Z931" s="19">
        <v>50</v>
      </c>
      <c r="AA931" s="19">
        <v>0</v>
      </c>
    </row>
    <row r="932" spans="1:27" x14ac:dyDescent="0.25">
      <c r="A932" s="19" t="s">
        <v>1190</v>
      </c>
      <c r="B932" s="19" t="s">
        <v>1156</v>
      </c>
      <c r="C932" s="19" t="s">
        <v>1157</v>
      </c>
      <c r="D932" s="19">
        <v>0</v>
      </c>
      <c r="E932" s="19" t="s">
        <v>152</v>
      </c>
      <c r="F932" s="19" t="s">
        <v>153</v>
      </c>
      <c r="G932" s="19" t="s">
        <v>134</v>
      </c>
      <c r="H932" s="19" t="s">
        <v>146</v>
      </c>
      <c r="I932" s="19" t="s">
        <v>147</v>
      </c>
      <c r="J932" s="19">
        <v>6</v>
      </c>
      <c r="K932" s="19">
        <v>2.5000000000000001E-2</v>
      </c>
      <c r="L932" s="19" t="s">
        <v>35</v>
      </c>
      <c r="M932" s="19" t="s">
        <v>103</v>
      </c>
      <c r="N932" s="19">
        <v>0</v>
      </c>
      <c r="O932" s="19">
        <v>0</v>
      </c>
      <c r="P932" s="19">
        <v>0</v>
      </c>
      <c r="Q932" s="19">
        <v>0</v>
      </c>
      <c r="S932" s="19">
        <v>1</v>
      </c>
      <c r="T932" s="19">
        <v>1</v>
      </c>
      <c r="U932" s="19">
        <v>0</v>
      </c>
      <c r="V932" s="19" t="s">
        <v>36</v>
      </c>
      <c r="W932" s="19">
        <v>0</v>
      </c>
      <c r="Y932" s="19" t="s">
        <v>103</v>
      </c>
      <c r="Z932" s="19">
        <v>50</v>
      </c>
      <c r="AA932" s="19">
        <v>0</v>
      </c>
    </row>
    <row r="933" spans="1:27" x14ac:dyDescent="0.25">
      <c r="A933" s="19" t="s">
        <v>1191</v>
      </c>
      <c r="B933" s="19" t="s">
        <v>1156</v>
      </c>
      <c r="C933" s="19" t="s">
        <v>1157</v>
      </c>
      <c r="D933" s="19">
        <v>1.25</v>
      </c>
      <c r="E933" s="19" t="s">
        <v>155</v>
      </c>
      <c r="F933" s="19" t="s">
        <v>156</v>
      </c>
      <c r="G933" s="19" t="s">
        <v>134</v>
      </c>
      <c r="H933" s="19" t="s">
        <v>146</v>
      </c>
      <c r="I933" s="19" t="s">
        <v>147</v>
      </c>
      <c r="J933" s="19">
        <v>7</v>
      </c>
      <c r="K933" s="19">
        <v>2.5000000000000001E-2</v>
      </c>
      <c r="L933" s="19" t="s">
        <v>35</v>
      </c>
      <c r="M933" s="19" t="s">
        <v>103</v>
      </c>
      <c r="N933" s="19">
        <v>50</v>
      </c>
      <c r="O933" s="19">
        <v>50</v>
      </c>
      <c r="P933" s="19">
        <v>0</v>
      </c>
      <c r="Q933" s="19">
        <v>0</v>
      </c>
      <c r="S933" s="19">
        <v>1</v>
      </c>
      <c r="T933" s="19">
        <v>1</v>
      </c>
      <c r="U933" s="19">
        <v>0</v>
      </c>
      <c r="V933" s="19" t="s">
        <v>41</v>
      </c>
      <c r="W933" s="19">
        <v>1</v>
      </c>
      <c r="Y933" s="19" t="s">
        <v>103</v>
      </c>
      <c r="Z933" s="19">
        <v>50</v>
      </c>
      <c r="AA933" s="19">
        <v>50</v>
      </c>
    </row>
    <row r="934" spans="1:27" x14ac:dyDescent="0.25">
      <c r="A934" s="19" t="s">
        <v>1192</v>
      </c>
      <c r="B934" s="19" t="s">
        <v>1156</v>
      </c>
      <c r="C934" s="19" t="s">
        <v>1157</v>
      </c>
      <c r="D934" s="19">
        <v>0</v>
      </c>
      <c r="E934" s="19" t="s">
        <v>158</v>
      </c>
      <c r="F934" s="19" t="s">
        <v>159</v>
      </c>
      <c r="G934" s="19" t="s">
        <v>134</v>
      </c>
      <c r="H934" s="19" t="s">
        <v>146</v>
      </c>
      <c r="I934" s="19" t="s">
        <v>147</v>
      </c>
      <c r="J934" s="19">
        <v>8</v>
      </c>
      <c r="K934" s="19">
        <v>2.5000000000000001E-2</v>
      </c>
      <c r="L934" s="19" t="s">
        <v>35</v>
      </c>
      <c r="M934" s="19" t="s">
        <v>103</v>
      </c>
      <c r="N934" s="19">
        <v>0</v>
      </c>
      <c r="O934" s="19">
        <v>0</v>
      </c>
      <c r="P934" s="19">
        <v>0</v>
      </c>
      <c r="Q934" s="19">
        <v>0</v>
      </c>
      <c r="S934" s="19">
        <v>1</v>
      </c>
      <c r="T934" s="19">
        <v>1</v>
      </c>
      <c r="U934" s="19">
        <v>0</v>
      </c>
      <c r="V934" s="19" t="s">
        <v>36</v>
      </c>
      <c r="W934" s="19">
        <v>0</v>
      </c>
      <c r="Y934" s="19" t="s">
        <v>103</v>
      </c>
      <c r="Z934" s="19">
        <v>50</v>
      </c>
      <c r="AA934" s="19">
        <v>0</v>
      </c>
    </row>
    <row r="935" spans="1:27" x14ac:dyDescent="0.25">
      <c r="A935" s="19" t="s">
        <v>1193</v>
      </c>
      <c r="B935" s="19" t="s">
        <v>1156</v>
      </c>
      <c r="C935" s="19" t="s">
        <v>1157</v>
      </c>
      <c r="D935" s="19">
        <v>3.33</v>
      </c>
      <c r="E935" s="19" t="s">
        <v>161</v>
      </c>
      <c r="F935" s="19" t="s">
        <v>162</v>
      </c>
      <c r="G935" s="19" t="s">
        <v>163</v>
      </c>
      <c r="I935" s="19" t="s">
        <v>164</v>
      </c>
      <c r="J935" s="19">
        <v>1</v>
      </c>
      <c r="K935" s="19">
        <v>3.3300000000000003E-2</v>
      </c>
      <c r="L935" s="19" t="s">
        <v>35</v>
      </c>
      <c r="M935" s="19" t="s">
        <v>165</v>
      </c>
      <c r="N935" s="19">
        <v>100</v>
      </c>
      <c r="O935" s="19">
        <v>100</v>
      </c>
      <c r="P935" s="19">
        <v>0</v>
      </c>
      <c r="Q935" s="19">
        <v>0</v>
      </c>
      <c r="S935" s="19">
        <v>1</v>
      </c>
      <c r="T935" s="19">
        <v>1</v>
      </c>
      <c r="U935" s="19">
        <v>0</v>
      </c>
      <c r="W935" s="19">
        <v>0</v>
      </c>
      <c r="X935" s="19">
        <v>100</v>
      </c>
      <c r="Z935" s="19">
        <v>0</v>
      </c>
      <c r="AA935" s="19">
        <v>100</v>
      </c>
    </row>
    <row r="936" spans="1:27" x14ac:dyDescent="0.25">
      <c r="A936" s="19" t="s">
        <v>1194</v>
      </c>
      <c r="B936" s="19" t="s">
        <v>1156</v>
      </c>
      <c r="C936" s="19" t="s">
        <v>1157</v>
      </c>
      <c r="D936" s="19">
        <v>1.1098889999999999</v>
      </c>
      <c r="E936" s="19" t="s">
        <v>167</v>
      </c>
      <c r="F936" s="19" t="s">
        <v>168</v>
      </c>
      <c r="G936" s="19" t="s">
        <v>163</v>
      </c>
      <c r="I936" s="19" t="s">
        <v>164</v>
      </c>
      <c r="J936" s="19">
        <v>3</v>
      </c>
      <c r="K936" s="19">
        <v>3.3300000000000003E-2</v>
      </c>
      <c r="L936" s="19" t="s">
        <v>35</v>
      </c>
      <c r="M936" s="19" t="s">
        <v>165</v>
      </c>
      <c r="N936" s="19">
        <v>33.33</v>
      </c>
      <c r="O936" s="19">
        <v>33.33</v>
      </c>
      <c r="P936" s="19">
        <v>0</v>
      </c>
      <c r="Q936" s="19">
        <v>0</v>
      </c>
      <c r="S936" s="19">
        <v>1</v>
      </c>
      <c r="T936" s="19">
        <v>1</v>
      </c>
      <c r="U936" s="19">
        <v>0</v>
      </c>
      <c r="W936" s="19">
        <v>0</v>
      </c>
      <c r="X936" s="19">
        <v>33.33</v>
      </c>
      <c r="Z936" s="19">
        <v>0</v>
      </c>
      <c r="AA936" s="19">
        <v>33.33</v>
      </c>
    </row>
    <row r="937" spans="1:27" x14ac:dyDescent="0.25">
      <c r="A937" s="19" t="s">
        <v>1195</v>
      </c>
      <c r="B937" s="19" t="s">
        <v>1156</v>
      </c>
      <c r="C937" s="19" t="s">
        <v>1157</v>
      </c>
      <c r="D937" s="19">
        <v>0</v>
      </c>
      <c r="E937" s="19" t="s">
        <v>170</v>
      </c>
      <c r="F937" s="19" t="s">
        <v>171</v>
      </c>
      <c r="G937" s="19" t="s">
        <v>163</v>
      </c>
      <c r="I937" s="19" t="s">
        <v>164</v>
      </c>
      <c r="J937" s="19">
        <v>2</v>
      </c>
      <c r="K937" s="19">
        <v>3.3300000000000003E-2</v>
      </c>
      <c r="L937" s="19" t="s">
        <v>35</v>
      </c>
      <c r="M937" s="19" t="s">
        <v>165</v>
      </c>
      <c r="N937" s="19">
        <v>0</v>
      </c>
      <c r="O937" s="19">
        <v>0</v>
      </c>
      <c r="P937" s="19">
        <v>0</v>
      </c>
      <c r="Q937" s="19">
        <v>0</v>
      </c>
      <c r="S937" s="19">
        <v>1</v>
      </c>
      <c r="T937" s="19">
        <v>1</v>
      </c>
      <c r="U937" s="19">
        <v>0</v>
      </c>
      <c r="W937" s="19">
        <v>0</v>
      </c>
      <c r="X937" s="19">
        <v>0</v>
      </c>
      <c r="Z937" s="19">
        <v>0</v>
      </c>
      <c r="AA937" s="19">
        <v>0</v>
      </c>
    </row>
    <row r="938" spans="1:27" x14ac:dyDescent="0.25">
      <c r="A938" s="19" t="s">
        <v>1196</v>
      </c>
      <c r="B938" s="19" t="s">
        <v>1197</v>
      </c>
      <c r="C938" s="19" t="s">
        <v>1198</v>
      </c>
      <c r="D938" s="19">
        <v>4.17</v>
      </c>
      <c r="E938" s="19" t="s">
        <v>137</v>
      </c>
      <c r="F938" s="19" t="s">
        <v>138</v>
      </c>
      <c r="G938" s="19" t="s">
        <v>134</v>
      </c>
      <c r="H938" s="19" t="s">
        <v>87</v>
      </c>
      <c r="I938" s="19" t="s">
        <v>135</v>
      </c>
      <c r="J938" s="19">
        <v>9</v>
      </c>
      <c r="K938" s="19">
        <v>4.1700000000000001E-2</v>
      </c>
      <c r="L938" s="19" t="s">
        <v>541</v>
      </c>
      <c r="M938" s="19" t="s">
        <v>541</v>
      </c>
      <c r="N938" s="19">
        <v>50</v>
      </c>
      <c r="O938" s="19">
        <v>100</v>
      </c>
      <c r="P938" s="19">
        <v>100</v>
      </c>
      <c r="Q938" s="19">
        <v>50</v>
      </c>
      <c r="R938" s="19" t="s">
        <v>870</v>
      </c>
      <c r="S938" s="19">
        <v>0.9</v>
      </c>
      <c r="T938" s="19">
        <v>1</v>
      </c>
      <c r="U938" s="19">
        <v>50</v>
      </c>
      <c r="AA938" s="19">
        <v>0</v>
      </c>
    </row>
    <row r="939" spans="1:27" x14ac:dyDescent="0.25">
      <c r="A939" s="19" t="s">
        <v>1199</v>
      </c>
      <c r="B939" s="19" t="s">
        <v>1197</v>
      </c>
      <c r="C939" s="19" t="s">
        <v>1198</v>
      </c>
      <c r="D939" s="19">
        <v>2.5</v>
      </c>
      <c r="E939" s="19" t="s">
        <v>144</v>
      </c>
      <c r="F939" s="19" t="s">
        <v>145</v>
      </c>
      <c r="G939" s="19" t="s">
        <v>134</v>
      </c>
      <c r="H939" s="19" t="s">
        <v>146</v>
      </c>
      <c r="I939" s="19" t="s">
        <v>147</v>
      </c>
      <c r="J939" s="19">
        <v>4</v>
      </c>
      <c r="K939" s="19">
        <v>2.5000000000000001E-2</v>
      </c>
      <c r="L939" s="19" t="s">
        <v>541</v>
      </c>
      <c r="M939" s="19" t="s">
        <v>541</v>
      </c>
      <c r="N939" s="19">
        <v>50</v>
      </c>
      <c r="O939" s="19">
        <v>100</v>
      </c>
      <c r="P939" s="19">
        <v>100</v>
      </c>
      <c r="Q939" s="19">
        <v>50</v>
      </c>
      <c r="R939" s="19" t="s">
        <v>870</v>
      </c>
      <c r="S939" s="19">
        <v>0.9</v>
      </c>
      <c r="T939" s="19">
        <v>1</v>
      </c>
      <c r="U939" s="19">
        <v>50</v>
      </c>
      <c r="AA939" s="19">
        <v>0</v>
      </c>
    </row>
    <row r="940" spans="1:27" x14ac:dyDescent="0.25">
      <c r="A940" s="19" t="s">
        <v>1200</v>
      </c>
      <c r="B940" s="19" t="s">
        <v>1197</v>
      </c>
      <c r="C940" s="19" t="s">
        <v>1198</v>
      </c>
      <c r="D940" s="19">
        <v>1.54849999999999</v>
      </c>
      <c r="E940" s="19" t="s">
        <v>30</v>
      </c>
      <c r="F940" s="19" t="s">
        <v>31</v>
      </c>
      <c r="G940" s="19" t="s">
        <v>32</v>
      </c>
      <c r="H940" s="19" t="s">
        <v>33</v>
      </c>
      <c r="I940" s="19" t="s">
        <v>34</v>
      </c>
      <c r="J940" s="19">
        <v>17</v>
      </c>
      <c r="K940" s="19">
        <v>1.6299999999999999E-2</v>
      </c>
      <c r="L940" s="19" t="s">
        <v>541</v>
      </c>
      <c r="M940" s="19" t="s">
        <v>541</v>
      </c>
      <c r="N940" s="19">
        <v>50</v>
      </c>
      <c r="O940" s="19">
        <v>95</v>
      </c>
      <c r="P940" s="19">
        <v>100</v>
      </c>
      <c r="Q940" s="19">
        <v>50</v>
      </c>
      <c r="R940" s="19" t="s">
        <v>870</v>
      </c>
      <c r="S940" s="19">
        <v>0.9</v>
      </c>
      <c r="T940" s="19">
        <v>0.9</v>
      </c>
      <c r="U940" s="19">
        <v>45</v>
      </c>
      <c r="AA940" s="19">
        <v>0</v>
      </c>
    </row>
    <row r="941" spans="1:27" x14ac:dyDescent="0.25">
      <c r="A941" s="19" t="s">
        <v>1201</v>
      </c>
      <c r="B941" s="19" t="s">
        <v>1197</v>
      </c>
      <c r="C941" s="19" t="s">
        <v>1198</v>
      </c>
      <c r="D941" s="19">
        <v>1.54849999999999</v>
      </c>
      <c r="E941" s="19" t="s">
        <v>38</v>
      </c>
      <c r="F941" s="19" t="s">
        <v>39</v>
      </c>
      <c r="G941" s="19" t="s">
        <v>32</v>
      </c>
      <c r="H941" s="19" t="s">
        <v>33</v>
      </c>
      <c r="I941" s="19" t="s">
        <v>34</v>
      </c>
      <c r="J941" s="19">
        <v>19</v>
      </c>
      <c r="K941" s="19">
        <v>1.6299999999999999E-2</v>
      </c>
      <c r="L941" s="19" t="s">
        <v>541</v>
      </c>
      <c r="M941" s="19" t="s">
        <v>541</v>
      </c>
      <c r="N941" s="19">
        <v>50</v>
      </c>
      <c r="O941" s="19">
        <v>95</v>
      </c>
      <c r="P941" s="19">
        <v>100</v>
      </c>
      <c r="Q941" s="19">
        <v>50</v>
      </c>
      <c r="R941" s="19" t="s">
        <v>870</v>
      </c>
      <c r="S941" s="19">
        <v>0.9</v>
      </c>
      <c r="T941" s="19">
        <v>0.9</v>
      </c>
      <c r="U941" s="19">
        <v>45</v>
      </c>
      <c r="AA941" s="19">
        <v>0</v>
      </c>
    </row>
    <row r="942" spans="1:27" x14ac:dyDescent="0.25">
      <c r="A942" s="19" t="s">
        <v>1202</v>
      </c>
      <c r="B942" s="19" t="s">
        <v>1197</v>
      </c>
      <c r="C942" s="19" t="s">
        <v>1198</v>
      </c>
      <c r="D942" s="19">
        <v>1.54849999999999</v>
      </c>
      <c r="E942" s="19" t="s">
        <v>43</v>
      </c>
      <c r="F942" s="19" t="s">
        <v>44</v>
      </c>
      <c r="G942" s="19" t="s">
        <v>32</v>
      </c>
      <c r="H942" s="19" t="s">
        <v>33</v>
      </c>
      <c r="I942" s="19" t="s">
        <v>34</v>
      </c>
      <c r="J942" s="19">
        <v>18</v>
      </c>
      <c r="K942" s="19">
        <v>1.6299999999999999E-2</v>
      </c>
      <c r="L942" s="19" t="s">
        <v>541</v>
      </c>
      <c r="M942" s="19" t="s">
        <v>541</v>
      </c>
      <c r="N942" s="19">
        <v>50</v>
      </c>
      <c r="O942" s="19">
        <v>95</v>
      </c>
      <c r="P942" s="19">
        <v>100</v>
      </c>
      <c r="Q942" s="19">
        <v>50</v>
      </c>
      <c r="R942" s="19" t="s">
        <v>870</v>
      </c>
      <c r="S942" s="19">
        <v>0.9</v>
      </c>
      <c r="T942" s="19">
        <v>0.9</v>
      </c>
      <c r="U942" s="19">
        <v>45</v>
      </c>
      <c r="AA942" s="19">
        <v>0</v>
      </c>
    </row>
    <row r="943" spans="1:27" x14ac:dyDescent="0.25">
      <c r="A943" s="19" t="s">
        <v>1203</v>
      </c>
      <c r="B943" s="19" t="s">
        <v>1197</v>
      </c>
      <c r="C943" s="19" t="s">
        <v>1198</v>
      </c>
      <c r="D943" s="19">
        <v>1.3458794345898</v>
      </c>
      <c r="E943" s="19" t="s">
        <v>46</v>
      </c>
      <c r="F943" s="19" t="s">
        <v>47</v>
      </c>
      <c r="G943" s="19" t="s">
        <v>32</v>
      </c>
      <c r="H943" s="19" t="s">
        <v>33</v>
      </c>
      <c r="I943" s="19" t="s">
        <v>34</v>
      </c>
      <c r="J943" s="19">
        <v>15</v>
      </c>
      <c r="K943" s="19">
        <v>1.6299999999999999E-2</v>
      </c>
      <c r="L943" s="19" t="s">
        <v>541</v>
      </c>
      <c r="M943" s="19" t="s">
        <v>541</v>
      </c>
      <c r="N943" s="19">
        <v>50</v>
      </c>
      <c r="O943" s="19">
        <v>82.569290465600005</v>
      </c>
      <c r="P943" s="19">
        <v>72.376201034700003</v>
      </c>
      <c r="Q943" s="19">
        <v>36.188100517400002</v>
      </c>
      <c r="R943" s="19" t="s">
        <v>870</v>
      </c>
      <c r="S943" s="19">
        <v>0.9</v>
      </c>
      <c r="T943" s="19">
        <v>0.9</v>
      </c>
      <c r="U943" s="19">
        <v>32.569290465599998</v>
      </c>
      <c r="AA943" s="19">
        <v>0</v>
      </c>
    </row>
    <row r="944" spans="1:27" x14ac:dyDescent="0.25">
      <c r="A944" s="19" t="s">
        <v>1204</v>
      </c>
      <c r="B944" s="19" t="s">
        <v>1197</v>
      </c>
      <c r="C944" s="19" t="s">
        <v>1198</v>
      </c>
      <c r="D944" s="19">
        <v>1.54849999999999</v>
      </c>
      <c r="E944" s="19" t="s">
        <v>49</v>
      </c>
      <c r="F944" s="19" t="s">
        <v>50</v>
      </c>
      <c r="G944" s="19" t="s">
        <v>32</v>
      </c>
      <c r="H944" s="19" t="s">
        <v>33</v>
      </c>
      <c r="I944" s="19" t="s">
        <v>34</v>
      </c>
      <c r="J944" s="19">
        <v>12</v>
      </c>
      <c r="K944" s="19">
        <v>1.6299999999999999E-2</v>
      </c>
      <c r="L944" s="19" t="s">
        <v>541</v>
      </c>
      <c r="M944" s="19" t="s">
        <v>541</v>
      </c>
      <c r="N944" s="19">
        <v>50</v>
      </c>
      <c r="O944" s="19">
        <v>95</v>
      </c>
      <c r="P944" s="19">
        <v>100</v>
      </c>
      <c r="Q944" s="19">
        <v>50</v>
      </c>
      <c r="R944" s="19" t="s">
        <v>870</v>
      </c>
      <c r="S944" s="19">
        <v>0.9</v>
      </c>
      <c r="T944" s="19">
        <v>0.9</v>
      </c>
      <c r="U944" s="19">
        <v>45</v>
      </c>
      <c r="AA944" s="19">
        <v>0</v>
      </c>
    </row>
    <row r="945" spans="1:27" x14ac:dyDescent="0.25">
      <c r="A945" s="19" t="s">
        <v>1205</v>
      </c>
      <c r="B945" s="19" t="s">
        <v>1197</v>
      </c>
      <c r="C945" s="19" t="s">
        <v>1198</v>
      </c>
      <c r="D945" s="19">
        <v>1.1817499999999901</v>
      </c>
      <c r="E945" s="19" t="s">
        <v>52</v>
      </c>
      <c r="F945" s="19" t="s">
        <v>53</v>
      </c>
      <c r="G945" s="19" t="s">
        <v>32</v>
      </c>
      <c r="H945" s="19" t="s">
        <v>33</v>
      </c>
      <c r="I945" s="19" t="s">
        <v>34</v>
      </c>
      <c r="J945" s="19">
        <v>16</v>
      </c>
      <c r="K945" s="19">
        <v>1.6299999999999999E-2</v>
      </c>
      <c r="L945" s="19" t="s">
        <v>541</v>
      </c>
      <c r="M945" s="19" t="s">
        <v>541</v>
      </c>
      <c r="N945" s="19">
        <v>50</v>
      </c>
      <c r="O945" s="19">
        <v>72.5</v>
      </c>
      <c r="P945" s="19">
        <v>50</v>
      </c>
      <c r="Q945" s="19">
        <v>25</v>
      </c>
      <c r="R945" s="19" t="s">
        <v>870</v>
      </c>
      <c r="S945" s="19">
        <v>0.9</v>
      </c>
      <c r="T945" s="19">
        <v>0.9</v>
      </c>
      <c r="U945" s="19">
        <v>22.5</v>
      </c>
      <c r="AA945" s="19">
        <v>0</v>
      </c>
    </row>
    <row r="946" spans="1:27" x14ac:dyDescent="0.25">
      <c r="A946" s="19" t="s">
        <v>1206</v>
      </c>
      <c r="B946" s="19" t="s">
        <v>1197</v>
      </c>
      <c r="C946" s="19" t="s">
        <v>1198</v>
      </c>
      <c r="D946" s="19">
        <v>1.5483644678492201</v>
      </c>
      <c r="E946" s="19" t="s">
        <v>55</v>
      </c>
      <c r="F946" s="19" t="s">
        <v>56</v>
      </c>
      <c r="G946" s="19" t="s">
        <v>32</v>
      </c>
      <c r="H946" s="19" t="s">
        <v>33</v>
      </c>
      <c r="I946" s="19" t="s">
        <v>34</v>
      </c>
      <c r="J946" s="19">
        <v>14</v>
      </c>
      <c r="K946" s="19">
        <v>1.6299999999999999E-2</v>
      </c>
      <c r="L946" s="19" t="s">
        <v>541</v>
      </c>
      <c r="M946" s="19" t="s">
        <v>541</v>
      </c>
      <c r="N946" s="19">
        <v>50</v>
      </c>
      <c r="O946" s="19">
        <v>94.991685144100003</v>
      </c>
      <c r="P946" s="19">
        <v>99.981522542500002</v>
      </c>
      <c r="Q946" s="19">
        <v>49.9907612712</v>
      </c>
      <c r="R946" s="19" t="s">
        <v>870</v>
      </c>
      <c r="S946" s="19">
        <v>0.9</v>
      </c>
      <c r="T946" s="19">
        <v>0.9</v>
      </c>
      <c r="U946" s="19">
        <v>44.991685144100003</v>
      </c>
      <c r="AA946" s="19">
        <v>0</v>
      </c>
    </row>
    <row r="947" spans="1:27" x14ac:dyDescent="0.25">
      <c r="A947" s="19" t="s">
        <v>1207</v>
      </c>
      <c r="B947" s="19" t="s">
        <v>1197</v>
      </c>
      <c r="C947" s="19" t="s">
        <v>1198</v>
      </c>
      <c r="D947" s="19">
        <v>1.54849999999999</v>
      </c>
      <c r="E947" s="19" t="s">
        <v>58</v>
      </c>
      <c r="F947" s="19" t="s">
        <v>59</v>
      </c>
      <c r="G947" s="19" t="s">
        <v>32</v>
      </c>
      <c r="H947" s="19" t="s">
        <v>33</v>
      </c>
      <c r="I947" s="19" t="s">
        <v>34</v>
      </c>
      <c r="J947" s="19">
        <v>13</v>
      </c>
      <c r="K947" s="19">
        <v>1.6299999999999999E-2</v>
      </c>
      <c r="L947" s="19" t="s">
        <v>541</v>
      </c>
      <c r="M947" s="19" t="s">
        <v>541</v>
      </c>
      <c r="N947" s="19">
        <v>50</v>
      </c>
      <c r="O947" s="19">
        <v>95</v>
      </c>
      <c r="P947" s="19">
        <v>100</v>
      </c>
      <c r="Q947" s="19">
        <v>50</v>
      </c>
      <c r="R947" s="19" t="s">
        <v>870</v>
      </c>
      <c r="S947" s="19">
        <v>0.9</v>
      </c>
      <c r="T947" s="19">
        <v>0.9</v>
      </c>
      <c r="U947" s="19">
        <v>45</v>
      </c>
      <c r="AA947" s="19">
        <v>0</v>
      </c>
    </row>
    <row r="948" spans="1:27" x14ac:dyDescent="0.25">
      <c r="A948" s="19" t="s">
        <v>1208</v>
      </c>
      <c r="B948" s="19" t="s">
        <v>1197</v>
      </c>
      <c r="C948" s="19" t="s">
        <v>1198</v>
      </c>
      <c r="D948" s="19">
        <v>1.7669999999999999</v>
      </c>
      <c r="E948" s="19" t="s">
        <v>61</v>
      </c>
      <c r="F948" s="19" t="s">
        <v>62</v>
      </c>
      <c r="G948" s="19" t="s">
        <v>32</v>
      </c>
      <c r="H948" s="19" t="s">
        <v>63</v>
      </c>
      <c r="I948" s="19" t="s">
        <v>64</v>
      </c>
      <c r="J948" s="19">
        <v>22</v>
      </c>
      <c r="K948" s="19">
        <v>1.8599999999999998E-2</v>
      </c>
      <c r="L948" s="19" t="s">
        <v>541</v>
      </c>
      <c r="M948" s="19" t="s">
        <v>541</v>
      </c>
      <c r="N948" s="19">
        <v>50</v>
      </c>
      <c r="O948" s="19">
        <v>95</v>
      </c>
      <c r="P948" s="19">
        <v>100</v>
      </c>
      <c r="Q948" s="19">
        <v>50</v>
      </c>
      <c r="R948" s="19" t="s">
        <v>870</v>
      </c>
      <c r="S948" s="19">
        <v>0.9</v>
      </c>
      <c r="T948" s="19">
        <v>0.9</v>
      </c>
      <c r="U948" s="19">
        <v>45</v>
      </c>
      <c r="AA948" s="19">
        <v>0</v>
      </c>
    </row>
    <row r="949" spans="1:27" x14ac:dyDescent="0.25">
      <c r="A949" s="19" t="s">
        <v>1209</v>
      </c>
      <c r="B949" s="19" t="s">
        <v>1197</v>
      </c>
      <c r="C949" s="19" t="s">
        <v>1198</v>
      </c>
      <c r="D949" s="19">
        <v>1.7669999999999999</v>
      </c>
      <c r="E949" s="19" t="s">
        <v>66</v>
      </c>
      <c r="F949" s="19" t="s">
        <v>67</v>
      </c>
      <c r="G949" s="19" t="s">
        <v>32</v>
      </c>
      <c r="H949" s="19" t="s">
        <v>63</v>
      </c>
      <c r="I949" s="19" t="s">
        <v>64</v>
      </c>
      <c r="J949" s="19">
        <v>20</v>
      </c>
      <c r="K949" s="19">
        <v>1.8599999999999998E-2</v>
      </c>
      <c r="L949" s="19" t="s">
        <v>541</v>
      </c>
      <c r="M949" s="19" t="s">
        <v>541</v>
      </c>
      <c r="N949" s="19">
        <v>50</v>
      </c>
      <c r="O949" s="19">
        <v>95</v>
      </c>
      <c r="P949" s="19">
        <v>100</v>
      </c>
      <c r="Q949" s="19">
        <v>50</v>
      </c>
      <c r="R949" s="19" t="s">
        <v>870</v>
      </c>
      <c r="S949" s="19">
        <v>0.9</v>
      </c>
      <c r="T949" s="19">
        <v>0.9</v>
      </c>
      <c r="U949" s="19">
        <v>45</v>
      </c>
      <c r="AA949" s="19">
        <v>0</v>
      </c>
    </row>
    <row r="950" spans="1:27" x14ac:dyDescent="0.25">
      <c r="A950" s="19" t="s">
        <v>1210</v>
      </c>
      <c r="B950" s="19" t="s">
        <v>1197</v>
      </c>
      <c r="C950" s="19" t="s">
        <v>1198</v>
      </c>
      <c r="D950" s="19">
        <v>1.7669999999999999</v>
      </c>
      <c r="E950" s="19" t="s">
        <v>69</v>
      </c>
      <c r="F950" s="19" t="s">
        <v>70</v>
      </c>
      <c r="G950" s="19" t="s">
        <v>32</v>
      </c>
      <c r="H950" s="19" t="s">
        <v>63</v>
      </c>
      <c r="I950" s="19" t="s">
        <v>64</v>
      </c>
      <c r="J950" s="19">
        <v>23</v>
      </c>
      <c r="K950" s="19">
        <v>1.8599999999999998E-2</v>
      </c>
      <c r="L950" s="19" t="s">
        <v>541</v>
      </c>
      <c r="M950" s="19" t="s">
        <v>541</v>
      </c>
      <c r="N950" s="19">
        <v>50</v>
      </c>
      <c r="O950" s="19">
        <v>95</v>
      </c>
      <c r="P950" s="19">
        <v>100</v>
      </c>
      <c r="Q950" s="19">
        <v>50</v>
      </c>
      <c r="R950" s="19" t="s">
        <v>870</v>
      </c>
      <c r="S950" s="19">
        <v>0.9</v>
      </c>
      <c r="T950" s="19">
        <v>0.9</v>
      </c>
      <c r="U950" s="19">
        <v>45</v>
      </c>
      <c r="AA950" s="19">
        <v>0</v>
      </c>
    </row>
    <row r="951" spans="1:27" x14ac:dyDescent="0.25">
      <c r="A951" s="19" t="s">
        <v>1211</v>
      </c>
      <c r="B951" s="19" t="s">
        <v>1197</v>
      </c>
      <c r="C951" s="19" t="s">
        <v>1198</v>
      </c>
      <c r="D951" s="19">
        <v>1.7669999999999999</v>
      </c>
      <c r="E951" s="19" t="s">
        <v>72</v>
      </c>
      <c r="F951" s="19" t="s">
        <v>73</v>
      </c>
      <c r="G951" s="19" t="s">
        <v>32</v>
      </c>
      <c r="H951" s="19" t="s">
        <v>63</v>
      </c>
      <c r="I951" s="19" t="s">
        <v>64</v>
      </c>
      <c r="J951" s="19">
        <v>21</v>
      </c>
      <c r="K951" s="19">
        <v>1.8599999999999998E-2</v>
      </c>
      <c r="L951" s="19" t="s">
        <v>541</v>
      </c>
      <c r="M951" s="19" t="s">
        <v>541</v>
      </c>
      <c r="N951" s="19">
        <v>50</v>
      </c>
      <c r="O951" s="19">
        <v>95</v>
      </c>
      <c r="P951" s="19">
        <v>100</v>
      </c>
      <c r="Q951" s="19">
        <v>50</v>
      </c>
      <c r="R951" s="19" t="s">
        <v>870</v>
      </c>
      <c r="S951" s="19">
        <v>0.9</v>
      </c>
      <c r="T951" s="19">
        <v>0.9</v>
      </c>
      <c r="U951" s="19">
        <v>45</v>
      </c>
      <c r="AA951" s="19">
        <v>0</v>
      </c>
    </row>
    <row r="952" spans="1:27" x14ac:dyDescent="0.25">
      <c r="A952" s="19" t="s">
        <v>1212</v>
      </c>
      <c r="B952" s="19" t="s">
        <v>1197</v>
      </c>
      <c r="C952" s="19" t="s">
        <v>1198</v>
      </c>
      <c r="D952" s="19">
        <v>1.7669999999999999</v>
      </c>
      <c r="E952" s="19" t="s">
        <v>75</v>
      </c>
      <c r="F952" s="19" t="s">
        <v>76</v>
      </c>
      <c r="G952" s="19" t="s">
        <v>32</v>
      </c>
      <c r="H952" s="19" t="s">
        <v>63</v>
      </c>
      <c r="I952" s="19" t="s">
        <v>64</v>
      </c>
      <c r="J952" s="19">
        <v>24</v>
      </c>
      <c r="K952" s="19">
        <v>1.8599999999999998E-2</v>
      </c>
      <c r="L952" s="19" t="s">
        <v>541</v>
      </c>
      <c r="M952" s="19" t="s">
        <v>541</v>
      </c>
      <c r="N952" s="19">
        <v>50</v>
      </c>
      <c r="O952" s="19">
        <v>95</v>
      </c>
      <c r="P952" s="19">
        <v>100</v>
      </c>
      <c r="Q952" s="19">
        <v>50</v>
      </c>
      <c r="R952" s="19" t="s">
        <v>870</v>
      </c>
      <c r="S952" s="19">
        <v>0.9</v>
      </c>
      <c r="T952" s="19">
        <v>0.9</v>
      </c>
      <c r="U952" s="19">
        <v>45</v>
      </c>
      <c r="AA952" s="19">
        <v>0</v>
      </c>
    </row>
    <row r="953" spans="1:27" x14ac:dyDescent="0.25">
      <c r="A953" s="19" t="s">
        <v>1213</v>
      </c>
      <c r="B953" s="19" t="s">
        <v>1197</v>
      </c>
      <c r="C953" s="19" t="s">
        <v>1198</v>
      </c>
      <c r="D953" s="19">
        <v>1.7669999999999999</v>
      </c>
      <c r="E953" s="19" t="s">
        <v>82</v>
      </c>
      <c r="F953" s="19" t="s">
        <v>83</v>
      </c>
      <c r="G953" s="19" t="s">
        <v>32</v>
      </c>
      <c r="H953" s="19" t="s">
        <v>63</v>
      </c>
      <c r="I953" s="19" t="s">
        <v>64</v>
      </c>
      <c r="J953" s="19">
        <v>26</v>
      </c>
      <c r="K953" s="19">
        <v>1.8599999999999998E-2</v>
      </c>
      <c r="L953" s="19" t="s">
        <v>541</v>
      </c>
      <c r="M953" s="19" t="s">
        <v>541</v>
      </c>
      <c r="N953" s="19">
        <v>50</v>
      </c>
      <c r="O953" s="19">
        <v>95</v>
      </c>
      <c r="P953" s="19">
        <v>100</v>
      </c>
      <c r="Q953" s="19">
        <v>50</v>
      </c>
      <c r="R953" s="19" t="s">
        <v>870</v>
      </c>
      <c r="S953" s="19">
        <v>0.9</v>
      </c>
      <c r="T953" s="19">
        <v>0.9</v>
      </c>
      <c r="U953" s="19">
        <v>45</v>
      </c>
      <c r="AA953" s="19">
        <v>0</v>
      </c>
    </row>
    <row r="954" spans="1:27" x14ac:dyDescent="0.25">
      <c r="A954" s="19" t="s">
        <v>1214</v>
      </c>
      <c r="B954" s="19" t="s">
        <v>1197</v>
      </c>
      <c r="C954" s="19" t="s">
        <v>1198</v>
      </c>
      <c r="D954" s="19">
        <v>3.0874999999999999</v>
      </c>
      <c r="E954" s="19" t="s">
        <v>85</v>
      </c>
      <c r="F954" s="19" t="s">
        <v>86</v>
      </c>
      <c r="G954" s="19" t="s">
        <v>32</v>
      </c>
      <c r="H954" s="19" t="s">
        <v>87</v>
      </c>
      <c r="I954" s="19" t="s">
        <v>88</v>
      </c>
      <c r="J954" s="19">
        <v>35</v>
      </c>
      <c r="K954" s="19">
        <v>3.2500000000000001E-2</v>
      </c>
      <c r="L954" s="19" t="s">
        <v>541</v>
      </c>
      <c r="M954" s="19" t="s">
        <v>541</v>
      </c>
      <c r="N954" s="19">
        <v>50</v>
      </c>
      <c r="O954" s="19">
        <v>95</v>
      </c>
      <c r="P954" s="19">
        <v>100</v>
      </c>
      <c r="Q954" s="19">
        <v>50</v>
      </c>
      <c r="R954" s="19" t="s">
        <v>870</v>
      </c>
      <c r="S954" s="19">
        <v>0.9</v>
      </c>
      <c r="T954" s="19">
        <v>0.9</v>
      </c>
      <c r="U954" s="19">
        <v>45</v>
      </c>
      <c r="AA954" s="19">
        <v>0</v>
      </c>
    </row>
    <row r="955" spans="1:27" x14ac:dyDescent="0.25">
      <c r="A955" s="19" t="s">
        <v>1215</v>
      </c>
      <c r="B955" s="19" t="s">
        <v>1197</v>
      </c>
      <c r="C955" s="19" t="s">
        <v>1198</v>
      </c>
      <c r="D955" s="19">
        <v>2.5735171840354698</v>
      </c>
      <c r="E955" s="19" t="s">
        <v>93</v>
      </c>
      <c r="F955" s="19" t="s">
        <v>94</v>
      </c>
      <c r="G955" s="19" t="s">
        <v>32</v>
      </c>
      <c r="H955" s="19" t="s">
        <v>87</v>
      </c>
      <c r="I955" s="19" t="s">
        <v>88</v>
      </c>
      <c r="J955" s="19">
        <v>34</v>
      </c>
      <c r="K955" s="19">
        <v>3.2500000000000001E-2</v>
      </c>
      <c r="L955" s="19" t="s">
        <v>541</v>
      </c>
      <c r="M955" s="19" t="s">
        <v>541</v>
      </c>
      <c r="N955" s="19">
        <v>50</v>
      </c>
      <c r="O955" s="19">
        <v>79.185144124199994</v>
      </c>
      <c r="P955" s="19">
        <v>64.855875831500001</v>
      </c>
      <c r="Q955" s="19">
        <v>32.427937915699999</v>
      </c>
      <c r="R955" s="19" t="s">
        <v>870</v>
      </c>
      <c r="S955" s="19">
        <v>0.9</v>
      </c>
      <c r="T955" s="19">
        <v>0.9</v>
      </c>
      <c r="U955" s="19">
        <v>29.185144124200001</v>
      </c>
      <c r="AA955" s="19">
        <v>0</v>
      </c>
    </row>
    <row r="956" spans="1:27" x14ac:dyDescent="0.25">
      <c r="A956" s="19" t="s">
        <v>1216</v>
      </c>
      <c r="B956" s="19" t="s">
        <v>1197</v>
      </c>
      <c r="C956" s="19" t="s">
        <v>1198</v>
      </c>
      <c r="D956" s="19">
        <v>3.1392499999999899</v>
      </c>
      <c r="E956" s="19" t="s">
        <v>99</v>
      </c>
      <c r="F956" s="19" t="s">
        <v>100</v>
      </c>
      <c r="G956" s="19" t="s">
        <v>32</v>
      </c>
      <c r="H956" s="19" t="s">
        <v>101</v>
      </c>
      <c r="I956" s="19" t="s">
        <v>102</v>
      </c>
      <c r="J956" s="19">
        <v>39</v>
      </c>
      <c r="K956" s="19">
        <v>4.3299999999999998E-2</v>
      </c>
      <c r="L956" s="19" t="s">
        <v>541</v>
      </c>
      <c r="M956" s="19" t="s">
        <v>541</v>
      </c>
      <c r="N956" s="19">
        <v>50</v>
      </c>
      <c r="O956" s="19">
        <v>72.5</v>
      </c>
      <c r="P956" s="19">
        <v>50</v>
      </c>
      <c r="Q956" s="19">
        <v>25</v>
      </c>
      <c r="R956" s="19" t="s">
        <v>870</v>
      </c>
      <c r="S956" s="19">
        <v>0.9</v>
      </c>
      <c r="T956" s="19">
        <v>0.9</v>
      </c>
      <c r="U956" s="19">
        <v>22.5</v>
      </c>
      <c r="AA956" s="19">
        <v>0</v>
      </c>
    </row>
    <row r="957" spans="1:27" x14ac:dyDescent="0.25">
      <c r="A957" s="19" t="s">
        <v>1217</v>
      </c>
      <c r="B957" s="19" t="s">
        <v>1197</v>
      </c>
      <c r="C957" s="19" t="s">
        <v>1198</v>
      </c>
      <c r="D957" s="19">
        <v>2.5</v>
      </c>
      <c r="E957" s="19" t="s">
        <v>149</v>
      </c>
      <c r="F957" s="19" t="s">
        <v>150</v>
      </c>
      <c r="G957" s="19" t="s">
        <v>134</v>
      </c>
      <c r="H957" s="19" t="s">
        <v>146</v>
      </c>
      <c r="I957" s="19" t="s">
        <v>147</v>
      </c>
      <c r="J957" s="19">
        <v>5</v>
      </c>
      <c r="K957" s="19">
        <v>2.5000000000000001E-2</v>
      </c>
      <c r="L957" s="19" t="s">
        <v>541</v>
      </c>
      <c r="M957" s="19" t="s">
        <v>541</v>
      </c>
      <c r="N957" s="19">
        <v>50</v>
      </c>
      <c r="O957" s="19">
        <v>100</v>
      </c>
      <c r="P957" s="19">
        <v>100</v>
      </c>
      <c r="Q957" s="19">
        <v>50</v>
      </c>
      <c r="R957" s="19" t="s">
        <v>870</v>
      </c>
      <c r="S957" s="19">
        <v>0.9</v>
      </c>
      <c r="T957" s="19">
        <v>1</v>
      </c>
      <c r="U957" s="19">
        <v>50</v>
      </c>
      <c r="AA957" s="19">
        <v>0</v>
      </c>
    </row>
    <row r="958" spans="1:27" x14ac:dyDescent="0.25">
      <c r="A958" s="19" t="s">
        <v>1218</v>
      </c>
      <c r="B958" s="19" t="s">
        <v>1197</v>
      </c>
      <c r="C958" s="19" t="s">
        <v>1198</v>
      </c>
      <c r="D958" s="19">
        <v>0</v>
      </c>
      <c r="E958" s="19" t="s">
        <v>132</v>
      </c>
      <c r="F958" s="19" t="s">
        <v>133</v>
      </c>
      <c r="G958" s="19" t="s">
        <v>134</v>
      </c>
      <c r="H958" s="19" t="s">
        <v>87</v>
      </c>
      <c r="I958" s="19" t="s">
        <v>135</v>
      </c>
      <c r="J958" s="19">
        <v>11</v>
      </c>
      <c r="K958" s="19">
        <v>4.1700000000000001E-2</v>
      </c>
      <c r="L958" s="19" t="s">
        <v>35</v>
      </c>
      <c r="M958" s="19" t="s">
        <v>103</v>
      </c>
      <c r="N958" s="19">
        <v>0</v>
      </c>
      <c r="O958" s="19">
        <v>0</v>
      </c>
      <c r="P958" s="19">
        <v>0</v>
      </c>
      <c r="Q958" s="19">
        <v>0</v>
      </c>
      <c r="R958" s="19" t="s">
        <v>870</v>
      </c>
      <c r="S958" s="19">
        <v>0.9</v>
      </c>
      <c r="T958" s="19">
        <v>1</v>
      </c>
      <c r="U958" s="19">
        <v>0</v>
      </c>
      <c r="V958" s="19" t="s">
        <v>36</v>
      </c>
      <c r="W958" s="19">
        <v>0</v>
      </c>
      <c r="Y958" s="19" t="s">
        <v>103</v>
      </c>
      <c r="Z958" s="19">
        <v>50</v>
      </c>
      <c r="AA958" s="19">
        <v>0</v>
      </c>
    </row>
    <row r="959" spans="1:27" x14ac:dyDescent="0.25">
      <c r="A959" s="19" t="s">
        <v>1219</v>
      </c>
      <c r="B959" s="19" t="s">
        <v>1197</v>
      </c>
      <c r="C959" s="19" t="s">
        <v>1198</v>
      </c>
      <c r="D959" s="19">
        <v>1.389861</v>
      </c>
      <c r="E959" s="19" t="s">
        <v>140</v>
      </c>
      <c r="F959" s="19" t="s">
        <v>141</v>
      </c>
      <c r="G959" s="19" t="s">
        <v>134</v>
      </c>
      <c r="H959" s="19" t="s">
        <v>87</v>
      </c>
      <c r="I959" s="19" t="s">
        <v>135</v>
      </c>
      <c r="J959" s="19">
        <v>10</v>
      </c>
      <c r="K959" s="19">
        <v>4.1700000000000001E-2</v>
      </c>
      <c r="L959" s="19" t="s">
        <v>35</v>
      </c>
      <c r="M959" s="19" t="s">
        <v>40</v>
      </c>
      <c r="N959" s="19">
        <v>33.33</v>
      </c>
      <c r="O959" s="19">
        <v>33.33</v>
      </c>
      <c r="P959" s="19">
        <v>0</v>
      </c>
      <c r="Q959" s="19">
        <v>0</v>
      </c>
      <c r="R959" s="19" t="s">
        <v>870</v>
      </c>
      <c r="S959" s="19">
        <v>0.9</v>
      </c>
      <c r="T959" s="19">
        <v>1</v>
      </c>
      <c r="U959" s="19">
        <v>0</v>
      </c>
      <c r="W959" s="19">
        <v>0</v>
      </c>
      <c r="X959" s="19">
        <v>3</v>
      </c>
      <c r="Y959" s="19" t="s">
        <v>40</v>
      </c>
      <c r="Z959" s="19">
        <v>33.33</v>
      </c>
      <c r="AA959" s="19">
        <v>33.33</v>
      </c>
    </row>
    <row r="960" spans="1:27" x14ac:dyDescent="0.25">
      <c r="A960" s="19" t="s">
        <v>1220</v>
      </c>
      <c r="B960" s="19" t="s">
        <v>1197</v>
      </c>
      <c r="C960" s="19" t="s">
        <v>1198</v>
      </c>
      <c r="D960" s="19">
        <v>1.25</v>
      </c>
      <c r="E960" s="19" t="s">
        <v>152</v>
      </c>
      <c r="F960" s="19" t="s">
        <v>153</v>
      </c>
      <c r="G960" s="19" t="s">
        <v>134</v>
      </c>
      <c r="H960" s="19" t="s">
        <v>146</v>
      </c>
      <c r="I960" s="19" t="s">
        <v>147</v>
      </c>
      <c r="J960" s="19">
        <v>6</v>
      </c>
      <c r="K960" s="19">
        <v>2.5000000000000001E-2</v>
      </c>
      <c r="L960" s="19" t="s">
        <v>35</v>
      </c>
      <c r="M960" s="19" t="s">
        <v>103</v>
      </c>
      <c r="N960" s="19">
        <v>50</v>
      </c>
      <c r="O960" s="19">
        <v>50</v>
      </c>
      <c r="P960" s="19">
        <v>0</v>
      </c>
      <c r="Q960" s="19">
        <v>0</v>
      </c>
      <c r="R960" s="19" t="s">
        <v>870</v>
      </c>
      <c r="S960" s="19">
        <v>0.9</v>
      </c>
      <c r="T960" s="19">
        <v>1</v>
      </c>
      <c r="U960" s="19">
        <v>0</v>
      </c>
      <c r="V960" s="19" t="s">
        <v>41</v>
      </c>
      <c r="W960" s="19">
        <v>1</v>
      </c>
      <c r="Y960" s="19" t="s">
        <v>103</v>
      </c>
      <c r="Z960" s="19">
        <v>50</v>
      </c>
      <c r="AA960" s="19">
        <v>50</v>
      </c>
    </row>
    <row r="961" spans="1:27" x14ac:dyDescent="0.25">
      <c r="A961" s="19" t="s">
        <v>1221</v>
      </c>
      <c r="B961" s="19" t="s">
        <v>1197</v>
      </c>
      <c r="C961" s="19" t="s">
        <v>1198</v>
      </c>
      <c r="D961" s="19">
        <v>1.25</v>
      </c>
      <c r="E961" s="19" t="s">
        <v>155</v>
      </c>
      <c r="F961" s="19" t="s">
        <v>156</v>
      </c>
      <c r="G961" s="19" t="s">
        <v>134</v>
      </c>
      <c r="H961" s="19" t="s">
        <v>146</v>
      </c>
      <c r="I961" s="19" t="s">
        <v>147</v>
      </c>
      <c r="J961" s="19">
        <v>7</v>
      </c>
      <c r="K961" s="19">
        <v>2.5000000000000001E-2</v>
      </c>
      <c r="L961" s="19" t="s">
        <v>35</v>
      </c>
      <c r="M961" s="19" t="s">
        <v>103</v>
      </c>
      <c r="N961" s="19">
        <v>50</v>
      </c>
      <c r="O961" s="19">
        <v>50</v>
      </c>
      <c r="P961" s="19">
        <v>0</v>
      </c>
      <c r="Q961" s="19">
        <v>0</v>
      </c>
      <c r="R961" s="19" t="s">
        <v>870</v>
      </c>
      <c r="S961" s="19">
        <v>0.9</v>
      </c>
      <c r="T961" s="19">
        <v>1</v>
      </c>
      <c r="U961" s="19">
        <v>0</v>
      </c>
      <c r="V961" s="19" t="s">
        <v>41</v>
      </c>
      <c r="W961" s="19">
        <v>1</v>
      </c>
      <c r="Y961" s="19" t="s">
        <v>103</v>
      </c>
      <c r="Z961" s="19">
        <v>50</v>
      </c>
      <c r="AA961" s="19">
        <v>50</v>
      </c>
    </row>
    <row r="962" spans="1:27" x14ac:dyDescent="0.25">
      <c r="A962" s="19" t="s">
        <v>1222</v>
      </c>
      <c r="B962" s="19" t="s">
        <v>1197</v>
      </c>
      <c r="C962" s="19" t="s">
        <v>1198</v>
      </c>
      <c r="D962" s="19">
        <v>1.25</v>
      </c>
      <c r="E962" s="19" t="s">
        <v>158</v>
      </c>
      <c r="F962" s="19" t="s">
        <v>159</v>
      </c>
      <c r="G962" s="19" t="s">
        <v>134</v>
      </c>
      <c r="H962" s="19" t="s">
        <v>146</v>
      </c>
      <c r="I962" s="19" t="s">
        <v>147</v>
      </c>
      <c r="J962" s="19">
        <v>8</v>
      </c>
      <c r="K962" s="19">
        <v>2.5000000000000001E-2</v>
      </c>
      <c r="L962" s="19" t="s">
        <v>35</v>
      </c>
      <c r="M962" s="19" t="s">
        <v>103</v>
      </c>
      <c r="N962" s="19">
        <v>50</v>
      </c>
      <c r="O962" s="19">
        <v>50</v>
      </c>
      <c r="P962" s="19">
        <v>0</v>
      </c>
      <c r="Q962" s="19">
        <v>0</v>
      </c>
      <c r="R962" s="19" t="s">
        <v>870</v>
      </c>
      <c r="S962" s="19">
        <v>0.9</v>
      </c>
      <c r="T962" s="19">
        <v>1</v>
      </c>
      <c r="U962" s="19">
        <v>0</v>
      </c>
      <c r="V962" s="19" t="s">
        <v>41</v>
      </c>
      <c r="W962" s="19">
        <v>1</v>
      </c>
      <c r="Y962" s="19" t="s">
        <v>103</v>
      </c>
      <c r="Z962" s="19">
        <v>50</v>
      </c>
      <c r="AA962" s="19">
        <v>50</v>
      </c>
    </row>
    <row r="963" spans="1:27" x14ac:dyDescent="0.25">
      <c r="A963" s="19" t="s">
        <v>1223</v>
      </c>
      <c r="B963" s="19" t="s">
        <v>1197</v>
      </c>
      <c r="C963" s="19" t="s">
        <v>1198</v>
      </c>
      <c r="D963" s="19">
        <v>0</v>
      </c>
      <c r="E963" s="19" t="s">
        <v>78</v>
      </c>
      <c r="F963" s="19" t="s">
        <v>79</v>
      </c>
      <c r="G963" s="19" t="s">
        <v>32</v>
      </c>
      <c r="H963" s="19" t="s">
        <v>63</v>
      </c>
      <c r="I963" s="19" t="s">
        <v>64</v>
      </c>
      <c r="J963" s="19">
        <v>25</v>
      </c>
      <c r="K963" s="19">
        <v>1.8599999999999998E-2</v>
      </c>
      <c r="L963" s="19" t="s">
        <v>35</v>
      </c>
      <c r="M963" s="19" t="s">
        <v>40</v>
      </c>
      <c r="N963" s="19">
        <v>0</v>
      </c>
      <c r="O963" s="19">
        <v>0</v>
      </c>
      <c r="P963" s="19">
        <v>0</v>
      </c>
      <c r="Q963" s="19">
        <v>0</v>
      </c>
      <c r="R963" s="19" t="s">
        <v>870</v>
      </c>
      <c r="S963" s="19">
        <v>0.9</v>
      </c>
      <c r="T963" s="19">
        <v>1</v>
      </c>
      <c r="U963" s="19">
        <v>0</v>
      </c>
      <c r="V963" s="19" t="s">
        <v>80</v>
      </c>
      <c r="W963" s="19">
        <v>0</v>
      </c>
      <c r="Y963" s="19" t="s">
        <v>40</v>
      </c>
      <c r="Z963" s="19">
        <v>33.33</v>
      </c>
      <c r="AA963" s="19">
        <v>0</v>
      </c>
    </row>
    <row r="964" spans="1:27" x14ac:dyDescent="0.25">
      <c r="A964" s="19" t="s">
        <v>1224</v>
      </c>
      <c r="B964" s="19" t="s">
        <v>1197</v>
      </c>
      <c r="C964" s="19" t="s">
        <v>1198</v>
      </c>
      <c r="D964" s="19">
        <v>0</v>
      </c>
      <c r="E964" s="19" t="s">
        <v>90</v>
      </c>
      <c r="F964" s="19" t="s">
        <v>91</v>
      </c>
      <c r="G964" s="19" t="s">
        <v>32</v>
      </c>
      <c r="H964" s="19" t="s">
        <v>87</v>
      </c>
      <c r="I964" s="19" t="s">
        <v>88</v>
      </c>
      <c r="J964" s="19">
        <v>33</v>
      </c>
      <c r="K964" s="19">
        <v>3.2500000000000001E-2</v>
      </c>
      <c r="L964" s="19" t="s">
        <v>35</v>
      </c>
      <c r="N964" s="19">
        <v>0</v>
      </c>
      <c r="O964" s="19">
        <v>0</v>
      </c>
      <c r="P964" s="19">
        <v>0</v>
      </c>
      <c r="Q964" s="19">
        <v>0</v>
      </c>
      <c r="R964" s="19" t="s">
        <v>870</v>
      </c>
      <c r="S964" s="19">
        <v>0.9</v>
      </c>
      <c r="T964" s="19">
        <v>1</v>
      </c>
      <c r="U964" s="19">
        <v>0</v>
      </c>
      <c r="V964" s="19" t="s">
        <v>36</v>
      </c>
      <c r="W964" s="19">
        <v>0</v>
      </c>
      <c r="Z964" s="19">
        <v>0</v>
      </c>
      <c r="AA964" s="19">
        <v>0</v>
      </c>
    </row>
    <row r="965" spans="1:27" x14ac:dyDescent="0.25">
      <c r="A965" s="19" t="s">
        <v>1225</v>
      </c>
      <c r="B965" s="19" t="s">
        <v>1197</v>
      </c>
      <c r="C965" s="19" t="s">
        <v>1198</v>
      </c>
      <c r="D965" s="19">
        <v>0</v>
      </c>
      <c r="E965" s="19" t="s">
        <v>96</v>
      </c>
      <c r="F965" s="19" t="s">
        <v>97</v>
      </c>
      <c r="G965" s="19" t="s">
        <v>32</v>
      </c>
      <c r="H965" s="19" t="s">
        <v>87</v>
      </c>
      <c r="I965" s="19" t="s">
        <v>88</v>
      </c>
      <c r="J965" s="19">
        <v>36</v>
      </c>
      <c r="K965" s="19">
        <v>3.2500000000000001E-2</v>
      </c>
      <c r="L965" s="19" t="s">
        <v>35</v>
      </c>
      <c r="N965" s="19">
        <v>0</v>
      </c>
      <c r="O965" s="19">
        <v>0</v>
      </c>
      <c r="P965" s="19">
        <v>0</v>
      </c>
      <c r="Q965" s="19">
        <v>0</v>
      </c>
      <c r="R965" s="19" t="s">
        <v>870</v>
      </c>
      <c r="S965" s="19">
        <v>0.9</v>
      </c>
      <c r="T965" s="19">
        <v>1</v>
      </c>
      <c r="U965" s="19">
        <v>0</v>
      </c>
      <c r="V965" s="19" t="s">
        <v>36</v>
      </c>
      <c r="W965" s="19">
        <v>0</v>
      </c>
      <c r="Z965" s="19">
        <v>0</v>
      </c>
      <c r="AA965" s="19">
        <v>0</v>
      </c>
    </row>
    <row r="966" spans="1:27" x14ac:dyDescent="0.25">
      <c r="A966" s="19" t="s">
        <v>1226</v>
      </c>
      <c r="B966" s="19" t="s">
        <v>1197</v>
      </c>
      <c r="C966" s="19" t="s">
        <v>1198</v>
      </c>
      <c r="D966" s="19">
        <v>0</v>
      </c>
      <c r="E966" s="19" t="s">
        <v>105</v>
      </c>
      <c r="F966" s="19" t="s">
        <v>106</v>
      </c>
      <c r="G966" s="19" t="s">
        <v>32</v>
      </c>
      <c r="H966" s="19" t="s">
        <v>101</v>
      </c>
      <c r="I966" s="19" t="s">
        <v>102</v>
      </c>
      <c r="J966" s="19">
        <v>38</v>
      </c>
      <c r="K966" s="19">
        <v>4.3299999999999998E-2</v>
      </c>
      <c r="L966" s="19" t="s">
        <v>35</v>
      </c>
      <c r="M966" s="19" t="s">
        <v>103</v>
      </c>
      <c r="N966" s="19">
        <v>0</v>
      </c>
      <c r="O966" s="19">
        <v>0</v>
      </c>
      <c r="P966" s="19">
        <v>0</v>
      </c>
      <c r="Q966" s="19">
        <v>0</v>
      </c>
      <c r="R966" s="19" t="s">
        <v>870</v>
      </c>
      <c r="S966" s="19">
        <v>0.9</v>
      </c>
      <c r="T966" s="19">
        <v>1</v>
      </c>
      <c r="U966" s="19">
        <v>0</v>
      </c>
      <c r="V966" s="19" t="s">
        <v>36</v>
      </c>
      <c r="W966" s="19">
        <v>0</v>
      </c>
      <c r="Y966" s="19" t="s">
        <v>103</v>
      </c>
      <c r="Z966" s="19">
        <v>50</v>
      </c>
      <c r="AA966" s="19">
        <v>0</v>
      </c>
    </row>
    <row r="967" spans="1:27" x14ac:dyDescent="0.25">
      <c r="A967" s="19" t="s">
        <v>1227</v>
      </c>
      <c r="B967" s="19" t="s">
        <v>1197</v>
      </c>
      <c r="C967" s="19" t="s">
        <v>1198</v>
      </c>
      <c r="D967" s="19">
        <v>0</v>
      </c>
      <c r="E967" s="19" t="s">
        <v>108</v>
      </c>
      <c r="F967" s="19" t="s">
        <v>109</v>
      </c>
      <c r="G967" s="19" t="s">
        <v>32</v>
      </c>
      <c r="H967" s="19" t="s">
        <v>101</v>
      </c>
      <c r="I967" s="19" t="s">
        <v>102</v>
      </c>
      <c r="J967" s="19">
        <v>37</v>
      </c>
      <c r="K967" s="19">
        <v>4.3299999999999998E-2</v>
      </c>
      <c r="L967" s="19" t="s">
        <v>35</v>
      </c>
      <c r="M967" s="19" t="s">
        <v>40</v>
      </c>
      <c r="N967" s="19">
        <v>0</v>
      </c>
      <c r="O967" s="19">
        <v>0</v>
      </c>
      <c r="P967" s="19">
        <v>0</v>
      </c>
      <c r="Q967" s="19">
        <v>0</v>
      </c>
      <c r="R967" s="19" t="s">
        <v>870</v>
      </c>
      <c r="S967" s="19">
        <v>0.9</v>
      </c>
      <c r="T967" s="19">
        <v>1</v>
      </c>
      <c r="U967" s="19">
        <v>0</v>
      </c>
      <c r="V967" s="19" t="s">
        <v>80</v>
      </c>
      <c r="W967" s="19">
        <v>0</v>
      </c>
      <c r="Y967" s="19" t="s">
        <v>40</v>
      </c>
      <c r="Z967" s="19">
        <v>33.33</v>
      </c>
      <c r="AA967" s="19">
        <v>0</v>
      </c>
    </row>
    <row r="968" spans="1:27" x14ac:dyDescent="0.25">
      <c r="A968" s="19" t="s">
        <v>1228</v>
      </c>
      <c r="B968" s="19" t="s">
        <v>1197</v>
      </c>
      <c r="C968" s="19" t="s">
        <v>1198</v>
      </c>
      <c r="D968" s="19">
        <v>0</v>
      </c>
      <c r="E968" s="19" t="s">
        <v>112</v>
      </c>
      <c r="F968" s="19" t="s">
        <v>113</v>
      </c>
      <c r="G968" s="19" t="s">
        <v>32</v>
      </c>
      <c r="H968" s="19" t="s">
        <v>114</v>
      </c>
      <c r="I968" s="19" t="s">
        <v>115</v>
      </c>
      <c r="J968" s="19">
        <v>30</v>
      </c>
      <c r="K968" s="19">
        <v>2.1700000000000001E-2</v>
      </c>
      <c r="L968" s="19" t="s">
        <v>35</v>
      </c>
      <c r="M968" s="19" t="s">
        <v>103</v>
      </c>
      <c r="N968" s="19">
        <v>0</v>
      </c>
      <c r="O968" s="19">
        <v>0</v>
      </c>
      <c r="P968" s="19">
        <v>0</v>
      </c>
      <c r="Q968" s="19">
        <v>0</v>
      </c>
      <c r="R968" s="19" t="s">
        <v>870</v>
      </c>
      <c r="S968" s="19">
        <v>0.9</v>
      </c>
      <c r="T968" s="19">
        <v>1</v>
      </c>
      <c r="U968" s="19">
        <v>0</v>
      </c>
      <c r="V968" s="19" t="s">
        <v>36</v>
      </c>
      <c r="W968" s="19">
        <v>0</v>
      </c>
      <c r="Y968" s="19" t="s">
        <v>103</v>
      </c>
      <c r="Z968" s="19">
        <v>50</v>
      </c>
      <c r="AA968" s="19">
        <v>0</v>
      </c>
    </row>
    <row r="969" spans="1:27" x14ac:dyDescent="0.25">
      <c r="A969" s="19" t="s">
        <v>1229</v>
      </c>
      <c r="B969" s="19" t="s">
        <v>1197</v>
      </c>
      <c r="C969" s="19" t="s">
        <v>1198</v>
      </c>
      <c r="D969" s="19">
        <v>1.085</v>
      </c>
      <c r="E969" s="19" t="s">
        <v>117</v>
      </c>
      <c r="F969" s="19" t="s">
        <v>118</v>
      </c>
      <c r="G969" s="19" t="s">
        <v>32</v>
      </c>
      <c r="H969" s="19" t="s">
        <v>114</v>
      </c>
      <c r="I969" s="19" t="s">
        <v>115</v>
      </c>
      <c r="J969" s="19">
        <v>31</v>
      </c>
      <c r="K969" s="19">
        <v>2.1700000000000001E-2</v>
      </c>
      <c r="L969" s="19" t="s">
        <v>35</v>
      </c>
      <c r="M969" s="19" t="s">
        <v>103</v>
      </c>
      <c r="N969" s="19">
        <v>50</v>
      </c>
      <c r="O969" s="19">
        <v>50</v>
      </c>
      <c r="P969" s="19">
        <v>0</v>
      </c>
      <c r="Q969" s="19">
        <v>0</v>
      </c>
      <c r="R969" s="19" t="s">
        <v>870</v>
      </c>
      <c r="S969" s="19">
        <v>0.9</v>
      </c>
      <c r="T969" s="19">
        <v>1</v>
      </c>
      <c r="U969" s="19">
        <v>0</v>
      </c>
      <c r="V969" s="19" t="s">
        <v>41</v>
      </c>
      <c r="W969" s="19">
        <v>1</v>
      </c>
      <c r="Y969" s="19" t="s">
        <v>103</v>
      </c>
      <c r="Z969" s="19">
        <v>50</v>
      </c>
      <c r="AA969" s="19">
        <v>50</v>
      </c>
    </row>
    <row r="970" spans="1:27" x14ac:dyDescent="0.25">
      <c r="A970" s="19" t="s">
        <v>1230</v>
      </c>
      <c r="B970" s="19" t="s">
        <v>1197</v>
      </c>
      <c r="C970" s="19" t="s">
        <v>1198</v>
      </c>
      <c r="D970" s="19">
        <v>0</v>
      </c>
      <c r="E970" s="19" t="s">
        <v>120</v>
      </c>
      <c r="F970" s="19" t="s">
        <v>121</v>
      </c>
      <c r="G970" s="19" t="s">
        <v>32</v>
      </c>
      <c r="H970" s="19" t="s">
        <v>114</v>
      </c>
      <c r="I970" s="19" t="s">
        <v>115</v>
      </c>
      <c r="J970" s="19">
        <v>28</v>
      </c>
      <c r="K970" s="19">
        <v>2.1700000000000001E-2</v>
      </c>
      <c r="L970" s="19" t="s">
        <v>35</v>
      </c>
      <c r="M970" s="19" t="s">
        <v>103</v>
      </c>
      <c r="N970" s="19">
        <v>0</v>
      </c>
      <c r="O970" s="19">
        <v>0</v>
      </c>
      <c r="P970" s="19">
        <v>0</v>
      </c>
      <c r="Q970" s="19">
        <v>0</v>
      </c>
      <c r="R970" s="19" t="s">
        <v>870</v>
      </c>
      <c r="S970" s="19">
        <v>0.9</v>
      </c>
      <c r="T970" s="19">
        <v>1</v>
      </c>
      <c r="U970" s="19">
        <v>0</v>
      </c>
      <c r="V970" s="19" t="s">
        <v>80</v>
      </c>
      <c r="W970" s="19">
        <v>0</v>
      </c>
      <c r="Y970" s="19" t="s">
        <v>103</v>
      </c>
      <c r="Z970" s="19">
        <v>50</v>
      </c>
      <c r="AA970" s="19">
        <v>0</v>
      </c>
    </row>
    <row r="971" spans="1:27" x14ac:dyDescent="0.25">
      <c r="A971" s="19" t="s">
        <v>1231</v>
      </c>
      <c r="B971" s="19" t="s">
        <v>1197</v>
      </c>
      <c r="C971" s="19" t="s">
        <v>1198</v>
      </c>
      <c r="D971" s="19">
        <v>0</v>
      </c>
      <c r="E971" s="19" t="s">
        <v>123</v>
      </c>
      <c r="F971" s="19" t="s">
        <v>124</v>
      </c>
      <c r="G971" s="19" t="s">
        <v>32</v>
      </c>
      <c r="H971" s="19" t="s">
        <v>114</v>
      </c>
      <c r="I971" s="19" t="s">
        <v>115</v>
      </c>
      <c r="J971" s="19">
        <v>27</v>
      </c>
      <c r="K971" s="19">
        <v>2.1700000000000001E-2</v>
      </c>
      <c r="L971" s="19" t="s">
        <v>35</v>
      </c>
      <c r="M971" s="19" t="s">
        <v>103</v>
      </c>
      <c r="N971" s="19">
        <v>0</v>
      </c>
      <c r="O971" s="19">
        <v>0</v>
      </c>
      <c r="P971" s="19">
        <v>0</v>
      </c>
      <c r="Q971" s="19">
        <v>0</v>
      </c>
      <c r="R971" s="19" t="s">
        <v>870</v>
      </c>
      <c r="S971" s="19">
        <v>0.9</v>
      </c>
      <c r="T971" s="19">
        <v>1</v>
      </c>
      <c r="U971" s="19">
        <v>0</v>
      </c>
      <c r="V971" s="19" t="s">
        <v>36</v>
      </c>
      <c r="W971" s="19">
        <v>0</v>
      </c>
      <c r="Y971" s="19" t="s">
        <v>103</v>
      </c>
      <c r="Z971" s="19">
        <v>50</v>
      </c>
      <c r="AA971" s="19">
        <v>0</v>
      </c>
    </row>
    <row r="972" spans="1:27" x14ac:dyDescent="0.25">
      <c r="A972" s="19" t="s">
        <v>1232</v>
      </c>
      <c r="B972" s="19" t="s">
        <v>1197</v>
      </c>
      <c r="C972" s="19" t="s">
        <v>1198</v>
      </c>
      <c r="D972" s="19">
        <v>1.085</v>
      </c>
      <c r="E972" s="19" t="s">
        <v>126</v>
      </c>
      <c r="F972" s="19" t="s">
        <v>127</v>
      </c>
      <c r="G972" s="19" t="s">
        <v>32</v>
      </c>
      <c r="H972" s="19" t="s">
        <v>114</v>
      </c>
      <c r="I972" s="19" t="s">
        <v>115</v>
      </c>
      <c r="J972" s="19">
        <v>29</v>
      </c>
      <c r="K972" s="19">
        <v>2.1700000000000001E-2</v>
      </c>
      <c r="L972" s="19" t="s">
        <v>35</v>
      </c>
      <c r="M972" s="19" t="s">
        <v>103</v>
      </c>
      <c r="N972" s="19">
        <v>50</v>
      </c>
      <c r="O972" s="19">
        <v>50</v>
      </c>
      <c r="P972" s="19">
        <v>0</v>
      </c>
      <c r="Q972" s="19">
        <v>0</v>
      </c>
      <c r="R972" s="19" t="s">
        <v>870</v>
      </c>
      <c r="S972" s="19">
        <v>0.9</v>
      </c>
      <c r="T972" s="19">
        <v>1</v>
      </c>
      <c r="U972" s="19">
        <v>0</v>
      </c>
      <c r="V972" s="19" t="s">
        <v>41</v>
      </c>
      <c r="W972" s="19">
        <v>1</v>
      </c>
      <c r="Y972" s="19" t="s">
        <v>103</v>
      </c>
      <c r="Z972" s="19">
        <v>50</v>
      </c>
      <c r="AA972" s="19">
        <v>50</v>
      </c>
    </row>
    <row r="973" spans="1:27" x14ac:dyDescent="0.25">
      <c r="A973" s="19" t="s">
        <v>1233</v>
      </c>
      <c r="B973" s="19" t="s">
        <v>1197</v>
      </c>
      <c r="C973" s="19" t="s">
        <v>1198</v>
      </c>
      <c r="D973" s="19">
        <v>1.085</v>
      </c>
      <c r="E973" s="19" t="s">
        <v>129</v>
      </c>
      <c r="F973" s="19" t="s">
        <v>130</v>
      </c>
      <c r="G973" s="19" t="s">
        <v>32</v>
      </c>
      <c r="H973" s="19" t="s">
        <v>114</v>
      </c>
      <c r="I973" s="19" t="s">
        <v>115</v>
      </c>
      <c r="J973" s="19">
        <v>32</v>
      </c>
      <c r="K973" s="19">
        <v>2.1700000000000001E-2</v>
      </c>
      <c r="L973" s="19" t="s">
        <v>35</v>
      </c>
      <c r="M973" s="19" t="s">
        <v>103</v>
      </c>
      <c r="N973" s="19">
        <v>50</v>
      </c>
      <c r="O973" s="19">
        <v>50</v>
      </c>
      <c r="P973" s="19">
        <v>0</v>
      </c>
      <c r="Q973" s="19">
        <v>0</v>
      </c>
      <c r="R973" s="19" t="s">
        <v>870</v>
      </c>
      <c r="S973" s="19">
        <v>0.9</v>
      </c>
      <c r="T973" s="19">
        <v>1</v>
      </c>
      <c r="U973" s="19">
        <v>0</v>
      </c>
      <c r="V973" s="19" t="s">
        <v>41</v>
      </c>
      <c r="W973" s="19">
        <v>1</v>
      </c>
      <c r="Y973" s="19" t="s">
        <v>103</v>
      </c>
      <c r="Z973" s="19">
        <v>50</v>
      </c>
      <c r="AA973" s="19">
        <v>50</v>
      </c>
    </row>
    <row r="974" spans="1:27" x14ac:dyDescent="0.25">
      <c r="A974" s="19" t="s">
        <v>1234</v>
      </c>
      <c r="B974" s="19" t="s">
        <v>1197</v>
      </c>
      <c r="C974" s="19" t="s">
        <v>1198</v>
      </c>
      <c r="D974" s="19">
        <v>2.2197779999999998</v>
      </c>
      <c r="E974" s="19" t="s">
        <v>161</v>
      </c>
      <c r="F974" s="19" t="s">
        <v>162</v>
      </c>
      <c r="G974" s="19" t="s">
        <v>163</v>
      </c>
      <c r="I974" s="19" t="s">
        <v>164</v>
      </c>
      <c r="J974" s="19">
        <v>1</v>
      </c>
      <c r="K974" s="19">
        <v>3.3300000000000003E-2</v>
      </c>
      <c r="L974" s="19" t="s">
        <v>35</v>
      </c>
      <c r="M974" s="19" t="s">
        <v>165</v>
      </c>
      <c r="N974" s="19">
        <v>66.66</v>
      </c>
      <c r="O974" s="19">
        <v>66.66</v>
      </c>
      <c r="P974" s="19">
        <v>0</v>
      </c>
      <c r="Q974" s="19">
        <v>0</v>
      </c>
      <c r="R974" s="19" t="s">
        <v>870</v>
      </c>
      <c r="S974" s="19">
        <v>0.9</v>
      </c>
      <c r="T974" s="19">
        <v>1</v>
      </c>
      <c r="U974" s="19">
        <v>0</v>
      </c>
      <c r="W974" s="19">
        <v>0</v>
      </c>
      <c r="X974" s="19">
        <v>66.66</v>
      </c>
      <c r="Z974" s="19">
        <v>0</v>
      </c>
      <c r="AA974" s="19">
        <v>66.66</v>
      </c>
    </row>
    <row r="975" spans="1:27" x14ac:dyDescent="0.25">
      <c r="A975" s="19" t="s">
        <v>1235</v>
      </c>
      <c r="B975" s="19" t="s">
        <v>1197</v>
      </c>
      <c r="C975" s="19" t="s">
        <v>1198</v>
      </c>
      <c r="D975" s="19">
        <v>1.1098889999999999</v>
      </c>
      <c r="E975" s="19" t="s">
        <v>167</v>
      </c>
      <c r="F975" s="19" t="s">
        <v>168</v>
      </c>
      <c r="G975" s="19" t="s">
        <v>163</v>
      </c>
      <c r="I975" s="19" t="s">
        <v>164</v>
      </c>
      <c r="J975" s="19">
        <v>3</v>
      </c>
      <c r="K975" s="19">
        <v>3.3300000000000003E-2</v>
      </c>
      <c r="L975" s="19" t="s">
        <v>35</v>
      </c>
      <c r="M975" s="19" t="s">
        <v>165</v>
      </c>
      <c r="N975" s="19">
        <v>33.33</v>
      </c>
      <c r="O975" s="19">
        <v>33.33</v>
      </c>
      <c r="P975" s="19">
        <v>0</v>
      </c>
      <c r="Q975" s="19">
        <v>0</v>
      </c>
      <c r="R975" s="19" t="s">
        <v>870</v>
      </c>
      <c r="S975" s="19">
        <v>0.9</v>
      </c>
      <c r="T975" s="19">
        <v>1</v>
      </c>
      <c r="U975" s="19">
        <v>0</v>
      </c>
      <c r="W975" s="19">
        <v>0</v>
      </c>
      <c r="X975" s="19">
        <v>33.33</v>
      </c>
      <c r="Z975" s="19">
        <v>0</v>
      </c>
      <c r="AA975" s="19">
        <v>33.33</v>
      </c>
    </row>
    <row r="976" spans="1:27" x14ac:dyDescent="0.25">
      <c r="A976" s="19" t="s">
        <v>1236</v>
      </c>
      <c r="B976" s="19" t="s">
        <v>1197</v>
      </c>
      <c r="C976" s="19" t="s">
        <v>1198</v>
      </c>
      <c r="D976" s="19">
        <v>1.665</v>
      </c>
      <c r="E976" s="19" t="s">
        <v>170</v>
      </c>
      <c r="F976" s="19" t="s">
        <v>171</v>
      </c>
      <c r="G976" s="19" t="s">
        <v>163</v>
      </c>
      <c r="I976" s="19" t="s">
        <v>164</v>
      </c>
      <c r="J976" s="19">
        <v>2</v>
      </c>
      <c r="K976" s="19">
        <v>3.3300000000000003E-2</v>
      </c>
      <c r="L976" s="19" t="s">
        <v>35</v>
      </c>
      <c r="M976" s="19" t="s">
        <v>165</v>
      </c>
      <c r="N976" s="19">
        <v>50</v>
      </c>
      <c r="O976" s="19">
        <v>50</v>
      </c>
      <c r="P976" s="19">
        <v>0</v>
      </c>
      <c r="Q976" s="19">
        <v>0</v>
      </c>
      <c r="R976" s="19" t="s">
        <v>870</v>
      </c>
      <c r="S976" s="19">
        <v>0.9</v>
      </c>
      <c r="T976" s="19">
        <v>1</v>
      </c>
      <c r="U976" s="19">
        <v>0</v>
      </c>
      <c r="W976" s="19">
        <v>0</v>
      </c>
      <c r="X976" s="19">
        <v>50</v>
      </c>
      <c r="Z976" s="19">
        <v>0</v>
      </c>
      <c r="AA976" s="19">
        <v>50</v>
      </c>
    </row>
    <row r="977" spans="1:27" x14ac:dyDescent="0.25">
      <c r="A977" s="19" t="s">
        <v>2624</v>
      </c>
      <c r="B977" s="19" t="s">
        <v>2625</v>
      </c>
      <c r="C977" s="19" t="s">
        <v>2626</v>
      </c>
      <c r="D977" s="19">
        <v>1.63</v>
      </c>
      <c r="E977" s="19" t="s">
        <v>30</v>
      </c>
      <c r="F977" s="19" t="s">
        <v>31</v>
      </c>
      <c r="G977" s="19" t="s">
        <v>32</v>
      </c>
      <c r="H977" s="19" t="s">
        <v>33</v>
      </c>
      <c r="I977" s="19" t="s">
        <v>34</v>
      </c>
      <c r="J977" s="19">
        <v>17</v>
      </c>
      <c r="K977" s="19">
        <v>1.6299999999999999E-2</v>
      </c>
      <c r="L977" s="19" t="s">
        <v>541</v>
      </c>
      <c r="M977" s="19" t="s">
        <v>541</v>
      </c>
      <c r="N977" s="19">
        <v>50</v>
      </c>
      <c r="O977" s="19">
        <v>100</v>
      </c>
      <c r="P977" s="19">
        <v>100</v>
      </c>
      <c r="Q977" s="19">
        <v>50</v>
      </c>
      <c r="R977" s="19" t="s">
        <v>1075</v>
      </c>
      <c r="S977" s="19">
        <v>1</v>
      </c>
      <c r="T977" s="19">
        <v>1</v>
      </c>
      <c r="U977" s="19">
        <v>50</v>
      </c>
      <c r="AA977" s="19">
        <v>0</v>
      </c>
    </row>
    <row r="978" spans="1:27" x14ac:dyDescent="0.25">
      <c r="A978" s="19" t="s">
        <v>2627</v>
      </c>
      <c r="B978" s="19" t="s">
        <v>2625</v>
      </c>
      <c r="C978" s="19" t="s">
        <v>2626</v>
      </c>
      <c r="D978" s="19">
        <v>1.63</v>
      </c>
      <c r="E978" s="19" t="s">
        <v>38</v>
      </c>
      <c r="F978" s="19" t="s">
        <v>39</v>
      </c>
      <c r="G978" s="19" t="s">
        <v>32</v>
      </c>
      <c r="H978" s="19" t="s">
        <v>33</v>
      </c>
      <c r="I978" s="19" t="s">
        <v>34</v>
      </c>
      <c r="J978" s="19">
        <v>19</v>
      </c>
      <c r="K978" s="19">
        <v>1.6299999999999999E-2</v>
      </c>
      <c r="L978" s="19" t="s">
        <v>541</v>
      </c>
      <c r="M978" s="19" t="s">
        <v>541</v>
      </c>
      <c r="N978" s="19">
        <v>50</v>
      </c>
      <c r="O978" s="19">
        <v>100</v>
      </c>
      <c r="P978" s="19">
        <v>100</v>
      </c>
      <c r="Q978" s="19">
        <v>50</v>
      </c>
      <c r="R978" s="19" t="s">
        <v>1075</v>
      </c>
      <c r="S978" s="19">
        <v>1</v>
      </c>
      <c r="T978" s="19">
        <v>1</v>
      </c>
      <c r="U978" s="19">
        <v>50</v>
      </c>
      <c r="AA978" s="19">
        <v>0</v>
      </c>
    </row>
    <row r="979" spans="1:27" x14ac:dyDescent="0.25">
      <c r="A979" s="19" t="s">
        <v>2628</v>
      </c>
      <c r="B979" s="19" t="s">
        <v>2625</v>
      </c>
      <c r="C979" s="19" t="s">
        <v>2626</v>
      </c>
      <c r="D979" s="19">
        <v>1.63</v>
      </c>
      <c r="E979" s="19" t="s">
        <v>43</v>
      </c>
      <c r="F979" s="19" t="s">
        <v>44</v>
      </c>
      <c r="G979" s="19" t="s">
        <v>32</v>
      </c>
      <c r="H979" s="19" t="s">
        <v>33</v>
      </c>
      <c r="I979" s="19" t="s">
        <v>34</v>
      </c>
      <c r="J979" s="19">
        <v>18</v>
      </c>
      <c r="K979" s="19">
        <v>1.6299999999999999E-2</v>
      </c>
      <c r="L979" s="19" t="s">
        <v>541</v>
      </c>
      <c r="M979" s="19" t="s">
        <v>541</v>
      </c>
      <c r="N979" s="19">
        <v>50</v>
      </c>
      <c r="O979" s="19">
        <v>100</v>
      </c>
      <c r="P979" s="19">
        <v>100</v>
      </c>
      <c r="Q979" s="19">
        <v>50</v>
      </c>
      <c r="R979" s="19" t="s">
        <v>1075</v>
      </c>
      <c r="S979" s="19">
        <v>1</v>
      </c>
      <c r="T979" s="19">
        <v>1</v>
      </c>
      <c r="U979" s="19">
        <v>50</v>
      </c>
      <c r="AA979" s="19">
        <v>0</v>
      </c>
    </row>
    <row r="980" spans="1:27" x14ac:dyDescent="0.25">
      <c r="A980" s="19" t="s">
        <v>2629</v>
      </c>
      <c r="B980" s="19" t="s">
        <v>2625</v>
      </c>
      <c r="C980" s="19" t="s">
        <v>2626</v>
      </c>
      <c r="D980" s="19">
        <v>1.62724351747463</v>
      </c>
      <c r="E980" s="19" t="s">
        <v>46</v>
      </c>
      <c r="F980" s="19" t="s">
        <v>47</v>
      </c>
      <c r="G980" s="19" t="s">
        <v>32</v>
      </c>
      <c r="H980" s="19" t="s">
        <v>33</v>
      </c>
      <c r="I980" s="19" t="s">
        <v>34</v>
      </c>
      <c r="J980" s="19">
        <v>15</v>
      </c>
      <c r="K980" s="19">
        <v>1.6299999999999999E-2</v>
      </c>
      <c r="L980" s="19" t="s">
        <v>541</v>
      </c>
      <c r="M980" s="19" t="s">
        <v>541</v>
      </c>
      <c r="N980" s="19">
        <v>50</v>
      </c>
      <c r="O980" s="19">
        <v>99.830890642599996</v>
      </c>
      <c r="P980" s="19">
        <v>99.661781285199993</v>
      </c>
      <c r="Q980" s="19">
        <v>49.830890642599996</v>
      </c>
      <c r="R980" s="19" t="s">
        <v>1075</v>
      </c>
      <c r="S980" s="19">
        <v>1</v>
      </c>
      <c r="T980" s="19">
        <v>1</v>
      </c>
      <c r="U980" s="19">
        <v>49.830890642599996</v>
      </c>
      <c r="AA980" s="19">
        <v>0</v>
      </c>
    </row>
    <row r="981" spans="1:27" x14ac:dyDescent="0.25">
      <c r="A981" s="19" t="s">
        <v>2630</v>
      </c>
      <c r="B981" s="19" t="s">
        <v>2625</v>
      </c>
      <c r="C981" s="19" t="s">
        <v>2626</v>
      </c>
      <c r="D981" s="19">
        <v>1.63</v>
      </c>
      <c r="E981" s="19" t="s">
        <v>49</v>
      </c>
      <c r="F981" s="19" t="s">
        <v>50</v>
      </c>
      <c r="G981" s="19" t="s">
        <v>32</v>
      </c>
      <c r="H981" s="19" t="s">
        <v>33</v>
      </c>
      <c r="I981" s="19" t="s">
        <v>34</v>
      </c>
      <c r="J981" s="19">
        <v>12</v>
      </c>
      <c r="K981" s="19">
        <v>1.6299999999999999E-2</v>
      </c>
      <c r="L981" s="19" t="s">
        <v>541</v>
      </c>
      <c r="M981" s="19" t="s">
        <v>541</v>
      </c>
      <c r="N981" s="19">
        <v>50</v>
      </c>
      <c r="O981" s="19">
        <v>100</v>
      </c>
      <c r="P981" s="19">
        <v>100</v>
      </c>
      <c r="Q981" s="19">
        <v>50</v>
      </c>
      <c r="R981" s="19" t="s">
        <v>1075</v>
      </c>
      <c r="S981" s="19">
        <v>1</v>
      </c>
      <c r="T981" s="19">
        <v>1</v>
      </c>
      <c r="U981" s="19">
        <v>50</v>
      </c>
      <c r="AA981" s="19">
        <v>0</v>
      </c>
    </row>
    <row r="982" spans="1:27" x14ac:dyDescent="0.25">
      <c r="A982" s="19" t="s">
        <v>2631</v>
      </c>
      <c r="B982" s="19" t="s">
        <v>2625</v>
      </c>
      <c r="C982" s="19" t="s">
        <v>2626</v>
      </c>
      <c r="D982" s="19">
        <v>1.63</v>
      </c>
      <c r="E982" s="19" t="s">
        <v>52</v>
      </c>
      <c r="F982" s="19" t="s">
        <v>53</v>
      </c>
      <c r="G982" s="19" t="s">
        <v>32</v>
      </c>
      <c r="H982" s="19" t="s">
        <v>33</v>
      </c>
      <c r="I982" s="19" t="s">
        <v>34</v>
      </c>
      <c r="J982" s="19">
        <v>16</v>
      </c>
      <c r="K982" s="19">
        <v>1.6299999999999999E-2</v>
      </c>
      <c r="L982" s="19" t="s">
        <v>541</v>
      </c>
      <c r="M982" s="19" t="s">
        <v>541</v>
      </c>
      <c r="N982" s="19">
        <v>50</v>
      </c>
      <c r="O982" s="19">
        <v>100</v>
      </c>
      <c r="P982" s="19">
        <v>100</v>
      </c>
      <c r="Q982" s="19">
        <v>50</v>
      </c>
      <c r="R982" s="19" t="s">
        <v>1075</v>
      </c>
      <c r="S982" s="19">
        <v>1</v>
      </c>
      <c r="T982" s="19">
        <v>1</v>
      </c>
      <c r="U982" s="19">
        <v>50</v>
      </c>
      <c r="AA982" s="19">
        <v>0</v>
      </c>
    </row>
    <row r="983" spans="1:27" x14ac:dyDescent="0.25">
      <c r="A983" s="19" t="s">
        <v>2632</v>
      </c>
      <c r="B983" s="19" t="s">
        <v>2625</v>
      </c>
      <c r="C983" s="19" t="s">
        <v>2626</v>
      </c>
      <c r="D983" s="19">
        <v>1.63</v>
      </c>
      <c r="E983" s="19" t="s">
        <v>55</v>
      </c>
      <c r="F983" s="19" t="s">
        <v>56</v>
      </c>
      <c r="G983" s="19" t="s">
        <v>32</v>
      </c>
      <c r="H983" s="19" t="s">
        <v>33</v>
      </c>
      <c r="I983" s="19" t="s">
        <v>34</v>
      </c>
      <c r="J983" s="19">
        <v>14</v>
      </c>
      <c r="K983" s="19">
        <v>1.6299999999999999E-2</v>
      </c>
      <c r="L983" s="19" t="s">
        <v>541</v>
      </c>
      <c r="M983" s="19" t="s">
        <v>541</v>
      </c>
      <c r="N983" s="19">
        <v>50</v>
      </c>
      <c r="O983" s="19">
        <v>100</v>
      </c>
      <c r="P983" s="19">
        <v>100</v>
      </c>
      <c r="Q983" s="19">
        <v>50</v>
      </c>
      <c r="R983" s="19" t="s">
        <v>1075</v>
      </c>
      <c r="S983" s="19">
        <v>1</v>
      </c>
      <c r="T983" s="19">
        <v>1</v>
      </c>
      <c r="U983" s="19">
        <v>50</v>
      </c>
      <c r="AA983" s="19">
        <v>0</v>
      </c>
    </row>
    <row r="984" spans="1:27" x14ac:dyDescent="0.25">
      <c r="A984" s="19" t="s">
        <v>2633</v>
      </c>
      <c r="B984" s="19" t="s">
        <v>2625</v>
      </c>
      <c r="C984" s="19" t="s">
        <v>2626</v>
      </c>
      <c r="D984" s="19">
        <v>1.63</v>
      </c>
      <c r="E984" s="19" t="s">
        <v>58</v>
      </c>
      <c r="F984" s="19" t="s">
        <v>59</v>
      </c>
      <c r="G984" s="19" t="s">
        <v>32</v>
      </c>
      <c r="H984" s="19" t="s">
        <v>33</v>
      </c>
      <c r="I984" s="19" t="s">
        <v>34</v>
      </c>
      <c r="J984" s="19">
        <v>13</v>
      </c>
      <c r="K984" s="19">
        <v>1.6299999999999999E-2</v>
      </c>
      <c r="L984" s="19" t="s">
        <v>541</v>
      </c>
      <c r="M984" s="19" t="s">
        <v>541</v>
      </c>
      <c r="N984" s="19">
        <v>50</v>
      </c>
      <c r="O984" s="19">
        <v>100</v>
      </c>
      <c r="P984" s="19">
        <v>100</v>
      </c>
      <c r="Q984" s="19">
        <v>50</v>
      </c>
      <c r="R984" s="19" t="s">
        <v>1075</v>
      </c>
      <c r="S984" s="19">
        <v>1</v>
      </c>
      <c r="T984" s="19">
        <v>1</v>
      </c>
      <c r="U984" s="19">
        <v>50</v>
      </c>
      <c r="AA984" s="19">
        <v>0</v>
      </c>
    </row>
    <row r="985" spans="1:27" x14ac:dyDescent="0.25">
      <c r="A985" s="19" t="s">
        <v>2634</v>
      </c>
      <c r="B985" s="19" t="s">
        <v>2625</v>
      </c>
      <c r="C985" s="19" t="s">
        <v>2626</v>
      </c>
      <c r="D985" s="19">
        <v>1.8599999999999901</v>
      </c>
      <c r="E985" s="19" t="s">
        <v>66</v>
      </c>
      <c r="F985" s="19" t="s">
        <v>67</v>
      </c>
      <c r="G985" s="19" t="s">
        <v>32</v>
      </c>
      <c r="H985" s="19" t="s">
        <v>63</v>
      </c>
      <c r="I985" s="19" t="s">
        <v>64</v>
      </c>
      <c r="J985" s="19">
        <v>20</v>
      </c>
      <c r="K985" s="19">
        <v>1.8599999999999998E-2</v>
      </c>
      <c r="L985" s="19" t="s">
        <v>541</v>
      </c>
      <c r="M985" s="19" t="s">
        <v>541</v>
      </c>
      <c r="N985" s="19">
        <v>50</v>
      </c>
      <c r="O985" s="19">
        <v>100</v>
      </c>
      <c r="P985" s="19">
        <v>100</v>
      </c>
      <c r="Q985" s="19">
        <v>50</v>
      </c>
      <c r="R985" s="19" t="s">
        <v>1075</v>
      </c>
      <c r="S985" s="19">
        <v>1</v>
      </c>
      <c r="T985" s="19">
        <v>1</v>
      </c>
      <c r="U985" s="19">
        <v>50</v>
      </c>
      <c r="AA985" s="19">
        <v>0</v>
      </c>
    </row>
    <row r="986" spans="1:27" x14ac:dyDescent="0.25">
      <c r="A986" s="19" t="s">
        <v>2635</v>
      </c>
      <c r="B986" s="19" t="s">
        <v>2625</v>
      </c>
      <c r="C986" s="19" t="s">
        <v>2626</v>
      </c>
      <c r="D986" s="19">
        <v>1.8595967042497801</v>
      </c>
      <c r="E986" s="19" t="s">
        <v>75</v>
      </c>
      <c r="F986" s="19" t="s">
        <v>76</v>
      </c>
      <c r="G986" s="19" t="s">
        <v>32</v>
      </c>
      <c r="H986" s="19" t="s">
        <v>63</v>
      </c>
      <c r="I986" s="19" t="s">
        <v>64</v>
      </c>
      <c r="J986" s="19">
        <v>24</v>
      </c>
      <c r="K986" s="19">
        <v>1.8599999999999998E-2</v>
      </c>
      <c r="L986" s="19" t="s">
        <v>541</v>
      </c>
      <c r="M986" s="19" t="s">
        <v>541</v>
      </c>
      <c r="N986" s="19">
        <v>50</v>
      </c>
      <c r="O986" s="19">
        <v>99.978317432799997</v>
      </c>
      <c r="P986" s="19">
        <v>99.956634865599995</v>
      </c>
      <c r="Q986" s="19">
        <v>49.978317432799997</v>
      </c>
      <c r="R986" s="19" t="s">
        <v>1075</v>
      </c>
      <c r="S986" s="19">
        <v>1</v>
      </c>
      <c r="T986" s="19">
        <v>1</v>
      </c>
      <c r="U986" s="19">
        <v>49.978317432799997</v>
      </c>
      <c r="AA986" s="19">
        <v>0</v>
      </c>
    </row>
    <row r="987" spans="1:27" x14ac:dyDescent="0.25">
      <c r="A987" s="19" t="s">
        <v>2636</v>
      </c>
      <c r="B987" s="19" t="s">
        <v>2625</v>
      </c>
      <c r="C987" s="19" t="s">
        <v>2626</v>
      </c>
      <c r="D987" s="19">
        <v>0.95609693877551005</v>
      </c>
      <c r="E987" s="19" t="s">
        <v>78</v>
      </c>
      <c r="F987" s="19" t="s">
        <v>79</v>
      </c>
      <c r="G987" s="19" t="s">
        <v>32</v>
      </c>
      <c r="H987" s="19" t="s">
        <v>63</v>
      </c>
      <c r="I987" s="19" t="s">
        <v>64</v>
      </c>
      <c r="J987" s="19">
        <v>25</v>
      </c>
      <c r="K987" s="19">
        <v>1.8599999999999998E-2</v>
      </c>
      <c r="L987" s="19" t="s">
        <v>541</v>
      </c>
      <c r="M987" s="19" t="s">
        <v>541</v>
      </c>
      <c r="N987" s="19">
        <v>50</v>
      </c>
      <c r="O987" s="19">
        <v>51.4030612245</v>
      </c>
      <c r="P987" s="19">
        <v>2.8061224489800001</v>
      </c>
      <c r="Q987" s="19">
        <v>1.40306122449</v>
      </c>
      <c r="R987" s="19" t="s">
        <v>1075</v>
      </c>
      <c r="S987" s="19">
        <v>1</v>
      </c>
      <c r="T987" s="19">
        <v>1</v>
      </c>
      <c r="U987" s="19">
        <v>1.40306122449</v>
      </c>
      <c r="AA987" s="19">
        <v>0</v>
      </c>
    </row>
    <row r="988" spans="1:27" x14ac:dyDescent="0.25">
      <c r="A988" s="19" t="s">
        <v>2637</v>
      </c>
      <c r="B988" s="19" t="s">
        <v>2625</v>
      </c>
      <c r="C988" s="19" t="s">
        <v>2626</v>
      </c>
      <c r="D988" s="19">
        <v>3.25</v>
      </c>
      <c r="E988" s="19" t="s">
        <v>85</v>
      </c>
      <c r="F988" s="19" t="s">
        <v>86</v>
      </c>
      <c r="G988" s="19" t="s">
        <v>32</v>
      </c>
      <c r="H988" s="19" t="s">
        <v>87</v>
      </c>
      <c r="I988" s="19" t="s">
        <v>88</v>
      </c>
      <c r="J988" s="19">
        <v>35</v>
      </c>
      <c r="K988" s="19">
        <v>3.2500000000000001E-2</v>
      </c>
      <c r="L988" s="19" t="s">
        <v>541</v>
      </c>
      <c r="M988" s="19" t="s">
        <v>541</v>
      </c>
      <c r="N988" s="19">
        <v>50</v>
      </c>
      <c r="O988" s="19">
        <v>100</v>
      </c>
      <c r="P988" s="19">
        <v>100</v>
      </c>
      <c r="Q988" s="19">
        <v>50</v>
      </c>
      <c r="R988" s="19" t="s">
        <v>1075</v>
      </c>
      <c r="S988" s="19">
        <v>1</v>
      </c>
      <c r="T988" s="19">
        <v>1</v>
      </c>
      <c r="U988" s="19">
        <v>50</v>
      </c>
      <c r="AA988" s="19">
        <v>0</v>
      </c>
    </row>
    <row r="989" spans="1:27" x14ac:dyDescent="0.25">
      <c r="A989" s="19" t="s">
        <v>2638</v>
      </c>
      <c r="B989" s="19" t="s">
        <v>2625</v>
      </c>
      <c r="C989" s="19" t="s">
        <v>2626</v>
      </c>
      <c r="D989" s="19">
        <v>2.3472222222222201</v>
      </c>
      <c r="E989" s="19" t="s">
        <v>90</v>
      </c>
      <c r="F989" s="19" t="s">
        <v>91</v>
      </c>
      <c r="G989" s="19" t="s">
        <v>32</v>
      </c>
      <c r="H989" s="19" t="s">
        <v>87</v>
      </c>
      <c r="I989" s="19" t="s">
        <v>88</v>
      </c>
      <c r="J989" s="19">
        <v>33</v>
      </c>
      <c r="K989" s="19">
        <v>3.2500000000000001E-2</v>
      </c>
      <c r="L989" s="19" t="s">
        <v>541</v>
      </c>
      <c r="M989" s="19" t="s">
        <v>541</v>
      </c>
      <c r="N989" s="19">
        <v>50</v>
      </c>
      <c r="O989" s="19">
        <v>72.222222222200003</v>
      </c>
      <c r="P989" s="19">
        <v>44.444444444399998</v>
      </c>
      <c r="Q989" s="19">
        <v>22.222222222199999</v>
      </c>
      <c r="R989" s="19" t="s">
        <v>1075</v>
      </c>
      <c r="S989" s="19">
        <v>1</v>
      </c>
      <c r="T989" s="19">
        <v>1</v>
      </c>
      <c r="U989" s="19">
        <v>22.222222222199999</v>
      </c>
      <c r="AA989" s="19">
        <v>0</v>
      </c>
    </row>
    <row r="990" spans="1:27" x14ac:dyDescent="0.25">
      <c r="A990" s="19" t="s">
        <v>2639</v>
      </c>
      <c r="B990" s="19" t="s">
        <v>2625</v>
      </c>
      <c r="C990" s="19" t="s">
        <v>2626</v>
      </c>
      <c r="D990" s="19">
        <v>3.25</v>
      </c>
      <c r="E990" s="19" t="s">
        <v>93</v>
      </c>
      <c r="F990" s="19" t="s">
        <v>94</v>
      </c>
      <c r="G990" s="19" t="s">
        <v>32</v>
      </c>
      <c r="H990" s="19" t="s">
        <v>87</v>
      </c>
      <c r="I990" s="19" t="s">
        <v>88</v>
      </c>
      <c r="J990" s="19">
        <v>34</v>
      </c>
      <c r="K990" s="19">
        <v>3.2500000000000001E-2</v>
      </c>
      <c r="L990" s="19" t="s">
        <v>541</v>
      </c>
      <c r="M990" s="19" t="s">
        <v>541</v>
      </c>
      <c r="N990" s="19">
        <v>50</v>
      </c>
      <c r="O990" s="19">
        <v>100</v>
      </c>
      <c r="P990" s="19">
        <v>100</v>
      </c>
      <c r="Q990" s="19">
        <v>50</v>
      </c>
      <c r="R990" s="19" t="s">
        <v>1075</v>
      </c>
      <c r="S990" s="19">
        <v>1</v>
      </c>
      <c r="T990" s="19">
        <v>1</v>
      </c>
      <c r="U990" s="19">
        <v>50</v>
      </c>
      <c r="AA990" s="19">
        <v>0</v>
      </c>
    </row>
    <row r="991" spans="1:27" x14ac:dyDescent="0.25">
      <c r="A991" s="19" t="s">
        <v>2640</v>
      </c>
      <c r="B991" s="19" t="s">
        <v>2625</v>
      </c>
      <c r="C991" s="19" t="s">
        <v>2626</v>
      </c>
      <c r="D991" s="19">
        <v>3.25</v>
      </c>
      <c r="E991" s="19" t="s">
        <v>96</v>
      </c>
      <c r="F991" s="19" t="s">
        <v>97</v>
      </c>
      <c r="G991" s="19" t="s">
        <v>32</v>
      </c>
      <c r="H991" s="19" t="s">
        <v>87</v>
      </c>
      <c r="I991" s="19" t="s">
        <v>88</v>
      </c>
      <c r="J991" s="19">
        <v>36</v>
      </c>
      <c r="K991" s="19">
        <v>3.2500000000000001E-2</v>
      </c>
      <c r="L991" s="19" t="s">
        <v>541</v>
      </c>
      <c r="M991" s="19" t="s">
        <v>541</v>
      </c>
      <c r="N991" s="19">
        <v>50</v>
      </c>
      <c r="O991" s="19">
        <v>100</v>
      </c>
      <c r="P991" s="19">
        <v>100</v>
      </c>
      <c r="Q991" s="19">
        <v>50</v>
      </c>
      <c r="R991" s="19" t="s">
        <v>1075</v>
      </c>
      <c r="S991" s="19">
        <v>1</v>
      </c>
      <c r="T991" s="19">
        <v>1</v>
      </c>
      <c r="U991" s="19">
        <v>50</v>
      </c>
      <c r="AA991" s="19">
        <v>0</v>
      </c>
    </row>
    <row r="992" spans="1:27" x14ac:dyDescent="0.25">
      <c r="A992" s="19" t="s">
        <v>2641</v>
      </c>
      <c r="B992" s="19" t="s">
        <v>2625</v>
      </c>
      <c r="C992" s="19" t="s">
        <v>2626</v>
      </c>
      <c r="D992" s="19">
        <v>4.33</v>
      </c>
      <c r="E992" s="19" t="s">
        <v>99</v>
      </c>
      <c r="F992" s="19" t="s">
        <v>100</v>
      </c>
      <c r="G992" s="19" t="s">
        <v>32</v>
      </c>
      <c r="H992" s="19" t="s">
        <v>101</v>
      </c>
      <c r="I992" s="19" t="s">
        <v>102</v>
      </c>
      <c r="J992" s="19">
        <v>39</v>
      </c>
      <c r="K992" s="19">
        <v>4.3299999999999998E-2</v>
      </c>
      <c r="L992" s="19" t="s">
        <v>541</v>
      </c>
      <c r="M992" s="19" t="s">
        <v>541</v>
      </c>
      <c r="N992" s="19">
        <v>50</v>
      </c>
      <c r="O992" s="19">
        <v>100</v>
      </c>
      <c r="P992" s="19">
        <v>100</v>
      </c>
      <c r="Q992" s="19">
        <v>50</v>
      </c>
      <c r="R992" s="19" t="s">
        <v>1075</v>
      </c>
      <c r="S992" s="19">
        <v>1</v>
      </c>
      <c r="T992" s="19">
        <v>1</v>
      </c>
      <c r="U992" s="19">
        <v>50</v>
      </c>
      <c r="AA992" s="19">
        <v>0</v>
      </c>
    </row>
    <row r="993" spans="1:27" x14ac:dyDescent="0.25">
      <c r="A993" s="19" t="s">
        <v>2642</v>
      </c>
      <c r="B993" s="19" t="s">
        <v>2625</v>
      </c>
      <c r="C993" s="19" t="s">
        <v>2626</v>
      </c>
      <c r="D993" s="19">
        <v>3.9691666666666601</v>
      </c>
      <c r="E993" s="19" t="s">
        <v>105</v>
      </c>
      <c r="F993" s="19" t="s">
        <v>106</v>
      </c>
      <c r="G993" s="19" t="s">
        <v>32</v>
      </c>
      <c r="H993" s="19" t="s">
        <v>101</v>
      </c>
      <c r="I993" s="19" t="s">
        <v>102</v>
      </c>
      <c r="J993" s="19">
        <v>38</v>
      </c>
      <c r="K993" s="19">
        <v>4.3299999999999998E-2</v>
      </c>
      <c r="L993" s="19" t="s">
        <v>541</v>
      </c>
      <c r="M993" s="19" t="s">
        <v>541</v>
      </c>
      <c r="N993" s="19">
        <v>50</v>
      </c>
      <c r="O993" s="19">
        <v>91.666666666699996</v>
      </c>
      <c r="P993" s="19">
        <v>83.333333333300004</v>
      </c>
      <c r="Q993" s="19">
        <v>41.666666666700003</v>
      </c>
      <c r="R993" s="19" t="s">
        <v>1075</v>
      </c>
      <c r="S993" s="19">
        <v>1</v>
      </c>
      <c r="T993" s="19">
        <v>1</v>
      </c>
      <c r="U993" s="19">
        <v>41.666666666700003</v>
      </c>
      <c r="AA993" s="19">
        <v>0</v>
      </c>
    </row>
    <row r="994" spans="1:27" x14ac:dyDescent="0.25">
      <c r="A994" s="19" t="s">
        <v>2643</v>
      </c>
      <c r="B994" s="19" t="s">
        <v>2625</v>
      </c>
      <c r="C994" s="19" t="s">
        <v>2626</v>
      </c>
      <c r="D994" s="19">
        <v>3.56582136015325</v>
      </c>
      <c r="E994" s="19" t="s">
        <v>108</v>
      </c>
      <c r="F994" s="19" t="s">
        <v>109</v>
      </c>
      <c r="G994" s="19" t="s">
        <v>32</v>
      </c>
      <c r="H994" s="19" t="s">
        <v>101</v>
      </c>
      <c r="I994" s="19" t="s">
        <v>102</v>
      </c>
      <c r="J994" s="19">
        <v>37</v>
      </c>
      <c r="K994" s="19">
        <v>4.3299999999999998E-2</v>
      </c>
      <c r="L994" s="19" t="s">
        <v>541</v>
      </c>
      <c r="M994" s="19" t="s">
        <v>541</v>
      </c>
      <c r="N994" s="19">
        <v>50</v>
      </c>
      <c r="O994" s="19">
        <v>82.351532567000007</v>
      </c>
      <c r="P994" s="19">
        <v>64.703065134100001</v>
      </c>
      <c r="Q994" s="19">
        <v>32.351532567</v>
      </c>
      <c r="R994" s="19" t="s">
        <v>1075</v>
      </c>
      <c r="S994" s="19">
        <v>1</v>
      </c>
      <c r="T994" s="19">
        <v>1</v>
      </c>
      <c r="U994" s="19">
        <v>32.351532567</v>
      </c>
      <c r="AA994" s="19">
        <v>0</v>
      </c>
    </row>
    <row r="995" spans="1:27" x14ac:dyDescent="0.25">
      <c r="A995" s="19" t="s">
        <v>2644</v>
      </c>
      <c r="B995" s="19" t="s">
        <v>2625</v>
      </c>
      <c r="C995" s="19" t="s">
        <v>2626</v>
      </c>
      <c r="D995" s="19">
        <v>2.17</v>
      </c>
      <c r="E995" s="19" t="s">
        <v>112</v>
      </c>
      <c r="F995" s="19" t="s">
        <v>113</v>
      </c>
      <c r="G995" s="19" t="s">
        <v>32</v>
      </c>
      <c r="H995" s="19" t="s">
        <v>114</v>
      </c>
      <c r="I995" s="19" t="s">
        <v>115</v>
      </c>
      <c r="J995" s="19">
        <v>30</v>
      </c>
      <c r="K995" s="19">
        <v>2.1700000000000001E-2</v>
      </c>
      <c r="L995" s="19" t="s">
        <v>541</v>
      </c>
      <c r="M995" s="19" t="s">
        <v>541</v>
      </c>
      <c r="N995" s="19">
        <v>50</v>
      </c>
      <c r="O995" s="19">
        <v>100</v>
      </c>
      <c r="P995" s="19">
        <v>100</v>
      </c>
      <c r="Q995" s="19">
        <v>50</v>
      </c>
      <c r="R995" s="19" t="s">
        <v>1075</v>
      </c>
      <c r="S995" s="19">
        <v>1</v>
      </c>
      <c r="T995" s="19">
        <v>1</v>
      </c>
      <c r="U995" s="19">
        <v>50</v>
      </c>
      <c r="AA995" s="19">
        <v>0</v>
      </c>
    </row>
    <row r="996" spans="1:27" x14ac:dyDescent="0.25">
      <c r="A996" s="19" t="s">
        <v>2646</v>
      </c>
      <c r="B996" s="19" t="s">
        <v>2625</v>
      </c>
      <c r="C996" s="19" t="s">
        <v>2626</v>
      </c>
      <c r="D996" s="19">
        <v>1.26583333333333</v>
      </c>
      <c r="E996" s="19" t="s">
        <v>120</v>
      </c>
      <c r="F996" s="19" t="s">
        <v>121</v>
      </c>
      <c r="G996" s="19" t="s">
        <v>32</v>
      </c>
      <c r="H996" s="19" t="s">
        <v>114</v>
      </c>
      <c r="I996" s="19" t="s">
        <v>115</v>
      </c>
      <c r="J996" s="19">
        <v>28</v>
      </c>
      <c r="K996" s="19">
        <v>2.1700000000000001E-2</v>
      </c>
      <c r="L996" s="19" t="s">
        <v>541</v>
      </c>
      <c r="M996" s="19" t="s">
        <v>541</v>
      </c>
      <c r="N996" s="19">
        <v>50</v>
      </c>
      <c r="O996" s="19">
        <v>58.333333333299997</v>
      </c>
      <c r="P996" s="19">
        <v>16.666666666699999</v>
      </c>
      <c r="Q996" s="19">
        <v>8.3333333333299997</v>
      </c>
      <c r="R996" s="19" t="s">
        <v>1075</v>
      </c>
      <c r="S996" s="19">
        <v>1</v>
      </c>
      <c r="T996" s="19">
        <v>1</v>
      </c>
      <c r="U996" s="19">
        <v>8.3333333333299997</v>
      </c>
      <c r="AA996" s="19">
        <v>0</v>
      </c>
    </row>
    <row r="997" spans="1:27" x14ac:dyDescent="0.25">
      <c r="A997" s="19" t="s">
        <v>2647</v>
      </c>
      <c r="B997" s="19" t="s">
        <v>2625</v>
      </c>
      <c r="C997" s="19" t="s">
        <v>2626</v>
      </c>
      <c r="D997" s="19">
        <v>2.17</v>
      </c>
      <c r="E997" s="19" t="s">
        <v>123</v>
      </c>
      <c r="F997" s="19" t="s">
        <v>124</v>
      </c>
      <c r="G997" s="19" t="s">
        <v>32</v>
      </c>
      <c r="H997" s="19" t="s">
        <v>114</v>
      </c>
      <c r="I997" s="19" t="s">
        <v>115</v>
      </c>
      <c r="J997" s="19">
        <v>27</v>
      </c>
      <c r="K997" s="19">
        <v>2.1700000000000001E-2</v>
      </c>
      <c r="L997" s="19" t="s">
        <v>541</v>
      </c>
      <c r="M997" s="19" t="s">
        <v>541</v>
      </c>
      <c r="N997" s="19">
        <v>50</v>
      </c>
      <c r="O997" s="19">
        <v>100</v>
      </c>
      <c r="P997" s="19">
        <v>100</v>
      </c>
      <c r="Q997" s="19">
        <v>50</v>
      </c>
      <c r="R997" s="19" t="s">
        <v>1075</v>
      </c>
      <c r="S997" s="19">
        <v>1</v>
      </c>
      <c r="T997" s="19">
        <v>1</v>
      </c>
      <c r="U997" s="19">
        <v>50</v>
      </c>
      <c r="AA997" s="19">
        <v>0</v>
      </c>
    </row>
    <row r="998" spans="1:27" x14ac:dyDescent="0.25">
      <c r="A998" s="19" t="s">
        <v>2648</v>
      </c>
      <c r="B998" s="19" t="s">
        <v>2625</v>
      </c>
      <c r="C998" s="19" t="s">
        <v>2626</v>
      </c>
      <c r="D998" s="19">
        <v>2.17</v>
      </c>
      <c r="E998" s="19" t="s">
        <v>126</v>
      </c>
      <c r="F998" s="19" t="s">
        <v>127</v>
      </c>
      <c r="G998" s="19" t="s">
        <v>32</v>
      </c>
      <c r="H998" s="19" t="s">
        <v>114</v>
      </c>
      <c r="I998" s="19" t="s">
        <v>115</v>
      </c>
      <c r="J998" s="19">
        <v>29</v>
      </c>
      <c r="K998" s="19">
        <v>2.1700000000000001E-2</v>
      </c>
      <c r="L998" s="19" t="s">
        <v>541</v>
      </c>
      <c r="M998" s="19" t="s">
        <v>541</v>
      </c>
      <c r="N998" s="19">
        <v>50</v>
      </c>
      <c r="O998" s="19">
        <v>100</v>
      </c>
      <c r="P998" s="19">
        <v>100</v>
      </c>
      <c r="Q998" s="19">
        <v>50</v>
      </c>
      <c r="R998" s="19" t="s">
        <v>1075</v>
      </c>
      <c r="S998" s="19">
        <v>1</v>
      </c>
      <c r="T998" s="19">
        <v>1</v>
      </c>
      <c r="U998" s="19">
        <v>50</v>
      </c>
      <c r="AA998" s="19">
        <v>0</v>
      </c>
    </row>
    <row r="999" spans="1:27" x14ac:dyDescent="0.25">
      <c r="A999" s="19" t="s">
        <v>2649</v>
      </c>
      <c r="B999" s="19" t="s">
        <v>2625</v>
      </c>
      <c r="C999" s="19" t="s">
        <v>2626</v>
      </c>
      <c r="D999" s="19">
        <v>4.17</v>
      </c>
      <c r="E999" s="19" t="s">
        <v>132</v>
      </c>
      <c r="F999" s="19" t="s">
        <v>133</v>
      </c>
      <c r="G999" s="19" t="s">
        <v>134</v>
      </c>
      <c r="H999" s="19" t="s">
        <v>87</v>
      </c>
      <c r="I999" s="19" t="s">
        <v>135</v>
      </c>
      <c r="J999" s="19">
        <v>11</v>
      </c>
      <c r="K999" s="19">
        <v>4.1700000000000001E-2</v>
      </c>
      <c r="L999" s="19" t="s">
        <v>541</v>
      </c>
      <c r="M999" s="19" t="s">
        <v>541</v>
      </c>
      <c r="N999" s="19">
        <v>50</v>
      </c>
      <c r="O999" s="19">
        <v>100</v>
      </c>
      <c r="P999" s="19">
        <v>100</v>
      </c>
      <c r="Q999" s="19">
        <v>50</v>
      </c>
      <c r="R999" s="19" t="s">
        <v>1075</v>
      </c>
      <c r="S999" s="19">
        <v>1</v>
      </c>
      <c r="T999" s="19">
        <v>1</v>
      </c>
      <c r="U999" s="19">
        <v>50</v>
      </c>
      <c r="AA999" s="19">
        <v>0</v>
      </c>
    </row>
    <row r="1000" spans="1:27" x14ac:dyDescent="0.25">
      <c r="A1000" s="19" t="s">
        <v>2650</v>
      </c>
      <c r="B1000" s="19" t="s">
        <v>2625</v>
      </c>
      <c r="C1000" s="19" t="s">
        <v>2626</v>
      </c>
      <c r="D1000" s="19">
        <v>2.78</v>
      </c>
      <c r="E1000" s="19" t="s">
        <v>137</v>
      </c>
      <c r="F1000" s="19" t="s">
        <v>138</v>
      </c>
      <c r="G1000" s="19" t="s">
        <v>134</v>
      </c>
      <c r="H1000" s="19" t="s">
        <v>87</v>
      </c>
      <c r="I1000" s="19" t="s">
        <v>135</v>
      </c>
      <c r="J1000" s="19">
        <v>9</v>
      </c>
      <c r="K1000" s="19">
        <v>4.1700000000000001E-2</v>
      </c>
      <c r="L1000" s="19" t="s">
        <v>541</v>
      </c>
      <c r="M1000" s="19" t="s">
        <v>541</v>
      </c>
      <c r="N1000" s="19">
        <v>50</v>
      </c>
      <c r="O1000" s="19">
        <v>66.666666666699996</v>
      </c>
      <c r="P1000" s="19">
        <v>33.333333333299997</v>
      </c>
      <c r="Q1000" s="19">
        <v>16.666666666699999</v>
      </c>
      <c r="R1000" s="19" t="s">
        <v>1075</v>
      </c>
      <c r="S1000" s="19">
        <v>1</v>
      </c>
      <c r="T1000" s="19">
        <v>1</v>
      </c>
      <c r="U1000" s="19">
        <v>16.666666666699999</v>
      </c>
      <c r="AA1000" s="19">
        <v>0</v>
      </c>
    </row>
    <row r="1001" spans="1:27" x14ac:dyDescent="0.25">
      <c r="A1001" s="19" t="s">
        <v>2651</v>
      </c>
      <c r="B1001" s="19" t="s">
        <v>2625</v>
      </c>
      <c r="C1001" s="19" t="s">
        <v>2626</v>
      </c>
      <c r="D1001" s="19">
        <v>4.17</v>
      </c>
      <c r="E1001" s="19" t="s">
        <v>140</v>
      </c>
      <c r="F1001" s="19" t="s">
        <v>141</v>
      </c>
      <c r="G1001" s="19" t="s">
        <v>134</v>
      </c>
      <c r="H1001" s="19" t="s">
        <v>87</v>
      </c>
      <c r="I1001" s="19" t="s">
        <v>135</v>
      </c>
      <c r="J1001" s="19">
        <v>10</v>
      </c>
      <c r="K1001" s="19">
        <v>4.1700000000000001E-2</v>
      </c>
      <c r="L1001" s="19" t="s">
        <v>541</v>
      </c>
      <c r="M1001" s="19" t="s">
        <v>541</v>
      </c>
      <c r="N1001" s="19">
        <v>50</v>
      </c>
      <c r="O1001" s="19">
        <v>100</v>
      </c>
      <c r="P1001" s="19">
        <v>100</v>
      </c>
      <c r="Q1001" s="19">
        <v>50</v>
      </c>
      <c r="R1001" s="19" t="s">
        <v>1075</v>
      </c>
      <c r="S1001" s="19">
        <v>1</v>
      </c>
      <c r="T1001" s="19">
        <v>1</v>
      </c>
      <c r="U1001" s="19">
        <v>50</v>
      </c>
      <c r="AA1001" s="19">
        <v>0</v>
      </c>
    </row>
    <row r="1002" spans="1:27" x14ac:dyDescent="0.25">
      <c r="A1002" s="19" t="s">
        <v>2652</v>
      </c>
      <c r="B1002" s="19" t="s">
        <v>2625</v>
      </c>
      <c r="C1002" s="19" t="s">
        <v>2626</v>
      </c>
      <c r="D1002" s="19">
        <v>2.5</v>
      </c>
      <c r="E1002" s="19" t="s">
        <v>144</v>
      </c>
      <c r="F1002" s="19" t="s">
        <v>145</v>
      </c>
      <c r="G1002" s="19" t="s">
        <v>134</v>
      </c>
      <c r="H1002" s="19" t="s">
        <v>146</v>
      </c>
      <c r="I1002" s="19" t="s">
        <v>147</v>
      </c>
      <c r="J1002" s="19">
        <v>4</v>
      </c>
      <c r="K1002" s="19">
        <v>2.5000000000000001E-2</v>
      </c>
      <c r="L1002" s="19" t="s">
        <v>541</v>
      </c>
      <c r="M1002" s="19" t="s">
        <v>541</v>
      </c>
      <c r="N1002" s="19">
        <v>50</v>
      </c>
      <c r="O1002" s="19">
        <v>100</v>
      </c>
      <c r="P1002" s="19">
        <v>100</v>
      </c>
      <c r="Q1002" s="19">
        <v>50</v>
      </c>
      <c r="R1002" s="19" t="s">
        <v>1075</v>
      </c>
      <c r="S1002" s="19">
        <v>1</v>
      </c>
      <c r="T1002" s="19">
        <v>1</v>
      </c>
      <c r="U1002" s="19">
        <v>50</v>
      </c>
      <c r="AA1002" s="19">
        <v>0</v>
      </c>
    </row>
    <row r="1003" spans="1:27" x14ac:dyDescent="0.25">
      <c r="A1003" s="19" t="s">
        <v>2653</v>
      </c>
      <c r="B1003" s="19" t="s">
        <v>2625</v>
      </c>
      <c r="C1003" s="19" t="s">
        <v>2626</v>
      </c>
      <c r="D1003" s="19">
        <v>2.5</v>
      </c>
      <c r="E1003" s="19" t="s">
        <v>149</v>
      </c>
      <c r="F1003" s="19" t="s">
        <v>150</v>
      </c>
      <c r="G1003" s="19" t="s">
        <v>134</v>
      </c>
      <c r="H1003" s="19" t="s">
        <v>146</v>
      </c>
      <c r="I1003" s="19" t="s">
        <v>147</v>
      </c>
      <c r="J1003" s="19">
        <v>5</v>
      </c>
      <c r="K1003" s="19">
        <v>2.5000000000000001E-2</v>
      </c>
      <c r="L1003" s="19" t="s">
        <v>541</v>
      </c>
      <c r="M1003" s="19" t="s">
        <v>541</v>
      </c>
      <c r="N1003" s="19">
        <v>50</v>
      </c>
      <c r="O1003" s="19">
        <v>100</v>
      </c>
      <c r="P1003" s="19">
        <v>100</v>
      </c>
      <c r="Q1003" s="19">
        <v>50</v>
      </c>
      <c r="R1003" s="19" t="s">
        <v>1075</v>
      </c>
      <c r="S1003" s="19">
        <v>1</v>
      </c>
      <c r="T1003" s="19">
        <v>1</v>
      </c>
      <c r="U1003" s="19">
        <v>50</v>
      </c>
      <c r="AA1003" s="19">
        <v>0</v>
      </c>
    </row>
    <row r="1004" spans="1:27" x14ac:dyDescent="0.25">
      <c r="A1004" s="19" t="s">
        <v>2654</v>
      </c>
      <c r="B1004" s="19" t="s">
        <v>2625</v>
      </c>
      <c r="C1004" s="19" t="s">
        <v>2626</v>
      </c>
      <c r="D1004" s="19">
        <v>2.5</v>
      </c>
      <c r="E1004" s="19" t="s">
        <v>152</v>
      </c>
      <c r="F1004" s="19" t="s">
        <v>153</v>
      </c>
      <c r="G1004" s="19" t="s">
        <v>134</v>
      </c>
      <c r="H1004" s="19" t="s">
        <v>146</v>
      </c>
      <c r="I1004" s="19" t="s">
        <v>147</v>
      </c>
      <c r="J1004" s="19">
        <v>6</v>
      </c>
      <c r="K1004" s="19">
        <v>2.5000000000000001E-2</v>
      </c>
      <c r="L1004" s="19" t="s">
        <v>541</v>
      </c>
      <c r="M1004" s="19" t="s">
        <v>541</v>
      </c>
      <c r="N1004" s="19">
        <v>50</v>
      </c>
      <c r="O1004" s="19">
        <v>100</v>
      </c>
      <c r="P1004" s="19">
        <v>100</v>
      </c>
      <c r="Q1004" s="19">
        <v>50</v>
      </c>
      <c r="R1004" s="19" t="s">
        <v>1075</v>
      </c>
      <c r="S1004" s="19">
        <v>1</v>
      </c>
      <c r="T1004" s="19">
        <v>1</v>
      </c>
      <c r="U1004" s="19">
        <v>50</v>
      </c>
      <c r="AA1004" s="19">
        <v>0</v>
      </c>
    </row>
    <row r="1005" spans="1:27" x14ac:dyDescent="0.25">
      <c r="A1005" s="19" t="s">
        <v>2655</v>
      </c>
      <c r="B1005" s="19" t="s">
        <v>2625</v>
      </c>
      <c r="C1005" s="19" t="s">
        <v>2626</v>
      </c>
      <c r="D1005" s="19">
        <v>2.5</v>
      </c>
      <c r="E1005" s="19" t="s">
        <v>155</v>
      </c>
      <c r="F1005" s="19" t="s">
        <v>156</v>
      </c>
      <c r="G1005" s="19" t="s">
        <v>134</v>
      </c>
      <c r="H1005" s="19" t="s">
        <v>146</v>
      </c>
      <c r="I1005" s="19" t="s">
        <v>147</v>
      </c>
      <c r="J1005" s="19">
        <v>7</v>
      </c>
      <c r="K1005" s="19">
        <v>2.5000000000000001E-2</v>
      </c>
      <c r="L1005" s="19" t="s">
        <v>541</v>
      </c>
      <c r="M1005" s="19" t="s">
        <v>541</v>
      </c>
      <c r="N1005" s="19">
        <v>50</v>
      </c>
      <c r="O1005" s="19">
        <v>100</v>
      </c>
      <c r="P1005" s="19">
        <v>100</v>
      </c>
      <c r="Q1005" s="19">
        <v>50</v>
      </c>
      <c r="R1005" s="19" t="s">
        <v>1075</v>
      </c>
      <c r="S1005" s="19">
        <v>1</v>
      </c>
      <c r="T1005" s="19">
        <v>1</v>
      </c>
      <c r="U1005" s="19">
        <v>50</v>
      </c>
      <c r="AA1005" s="19">
        <v>0</v>
      </c>
    </row>
    <row r="1006" spans="1:27" x14ac:dyDescent="0.25">
      <c r="A1006" s="19" t="s">
        <v>2656</v>
      </c>
      <c r="B1006" s="19" t="s">
        <v>2625</v>
      </c>
      <c r="C1006" s="19" t="s">
        <v>2626</v>
      </c>
      <c r="D1006" s="19">
        <v>2.38636363636363</v>
      </c>
      <c r="E1006" s="19" t="s">
        <v>158</v>
      </c>
      <c r="F1006" s="19" t="s">
        <v>159</v>
      </c>
      <c r="G1006" s="19" t="s">
        <v>134</v>
      </c>
      <c r="H1006" s="19" t="s">
        <v>146</v>
      </c>
      <c r="I1006" s="19" t="s">
        <v>147</v>
      </c>
      <c r="J1006" s="19">
        <v>8</v>
      </c>
      <c r="K1006" s="19">
        <v>2.5000000000000001E-2</v>
      </c>
      <c r="L1006" s="19" t="s">
        <v>541</v>
      </c>
      <c r="M1006" s="19" t="s">
        <v>541</v>
      </c>
      <c r="N1006" s="19">
        <v>50</v>
      </c>
      <c r="O1006" s="19">
        <v>95.454545454500007</v>
      </c>
      <c r="P1006" s="19">
        <v>90.909090909100001</v>
      </c>
      <c r="Q1006" s="19">
        <v>45.4545454545</v>
      </c>
      <c r="R1006" s="19" t="s">
        <v>1075</v>
      </c>
      <c r="S1006" s="19">
        <v>1</v>
      </c>
      <c r="T1006" s="19">
        <v>1</v>
      </c>
      <c r="U1006" s="19">
        <v>45.4545454545</v>
      </c>
      <c r="AA1006" s="19">
        <v>0</v>
      </c>
    </row>
    <row r="1007" spans="1:27" x14ac:dyDescent="0.25">
      <c r="A1007" s="19" t="s">
        <v>2659</v>
      </c>
      <c r="B1007" s="19" t="s">
        <v>2625</v>
      </c>
      <c r="C1007" s="19" t="s">
        <v>2626</v>
      </c>
      <c r="D1007" s="19">
        <v>0.92999999999999905</v>
      </c>
      <c r="E1007" s="19" t="s">
        <v>61</v>
      </c>
      <c r="F1007" s="19" t="s">
        <v>62</v>
      </c>
      <c r="G1007" s="19" t="s">
        <v>32</v>
      </c>
      <c r="H1007" s="19" t="s">
        <v>63</v>
      </c>
      <c r="I1007" s="19" t="s">
        <v>64</v>
      </c>
      <c r="J1007" s="19">
        <v>22</v>
      </c>
      <c r="K1007" s="19">
        <v>1.8599999999999998E-2</v>
      </c>
      <c r="L1007" s="19" t="s">
        <v>35</v>
      </c>
      <c r="M1007" s="19" t="s">
        <v>142</v>
      </c>
      <c r="N1007" s="19">
        <v>50</v>
      </c>
      <c r="O1007" s="19">
        <v>50</v>
      </c>
      <c r="P1007" s="19">
        <v>0</v>
      </c>
      <c r="Q1007" s="19">
        <v>0</v>
      </c>
      <c r="R1007" s="19" t="s">
        <v>1075</v>
      </c>
      <c r="S1007" s="19">
        <v>1</v>
      </c>
      <c r="T1007" s="19">
        <v>1</v>
      </c>
      <c r="U1007" s="19">
        <v>0</v>
      </c>
      <c r="V1007" s="19" t="s">
        <v>41</v>
      </c>
      <c r="W1007" s="19">
        <v>1</v>
      </c>
      <c r="Y1007" s="19" t="s">
        <v>142</v>
      </c>
      <c r="Z1007" s="19">
        <v>50</v>
      </c>
      <c r="AA1007" s="19">
        <v>50</v>
      </c>
    </row>
    <row r="1008" spans="1:27" x14ac:dyDescent="0.25">
      <c r="A1008" s="19" t="s">
        <v>2660</v>
      </c>
      <c r="B1008" s="19" t="s">
        <v>2625</v>
      </c>
      <c r="C1008" s="19" t="s">
        <v>2626</v>
      </c>
      <c r="D1008" s="19">
        <v>0.92999999999999905</v>
      </c>
      <c r="E1008" s="19" t="s">
        <v>69</v>
      </c>
      <c r="F1008" s="19" t="s">
        <v>70</v>
      </c>
      <c r="G1008" s="19" t="s">
        <v>32</v>
      </c>
      <c r="H1008" s="19" t="s">
        <v>63</v>
      </c>
      <c r="I1008" s="19" t="s">
        <v>64</v>
      </c>
      <c r="J1008" s="19">
        <v>23</v>
      </c>
      <c r="K1008" s="19">
        <v>1.8599999999999998E-2</v>
      </c>
      <c r="L1008" s="19" t="s">
        <v>35</v>
      </c>
      <c r="M1008" s="19" t="s">
        <v>142</v>
      </c>
      <c r="N1008" s="19">
        <v>50</v>
      </c>
      <c r="O1008" s="19">
        <v>50</v>
      </c>
      <c r="P1008" s="19">
        <v>0</v>
      </c>
      <c r="Q1008" s="19">
        <v>0</v>
      </c>
      <c r="R1008" s="19" t="s">
        <v>1075</v>
      </c>
      <c r="S1008" s="19">
        <v>1</v>
      </c>
      <c r="T1008" s="19">
        <v>1</v>
      </c>
      <c r="U1008" s="19">
        <v>0</v>
      </c>
      <c r="V1008" s="19" t="s">
        <v>41</v>
      </c>
      <c r="W1008" s="19">
        <v>1</v>
      </c>
      <c r="Y1008" s="19" t="s">
        <v>142</v>
      </c>
      <c r="Z1008" s="19">
        <v>50</v>
      </c>
      <c r="AA1008" s="19">
        <v>50</v>
      </c>
    </row>
    <row r="1009" spans="1:27" x14ac:dyDescent="0.25">
      <c r="A1009" s="19" t="s">
        <v>2661</v>
      </c>
      <c r="B1009" s="19" t="s">
        <v>2625</v>
      </c>
      <c r="C1009" s="19" t="s">
        <v>2626</v>
      </c>
      <c r="D1009" s="19">
        <v>0.92999999999999905</v>
      </c>
      <c r="E1009" s="19" t="s">
        <v>72</v>
      </c>
      <c r="F1009" s="19" t="s">
        <v>73</v>
      </c>
      <c r="G1009" s="19" t="s">
        <v>32</v>
      </c>
      <c r="H1009" s="19" t="s">
        <v>63</v>
      </c>
      <c r="I1009" s="19" t="s">
        <v>64</v>
      </c>
      <c r="J1009" s="19">
        <v>21</v>
      </c>
      <c r="K1009" s="19">
        <v>1.8599999999999998E-2</v>
      </c>
      <c r="L1009" s="19" t="s">
        <v>35</v>
      </c>
      <c r="M1009" s="19" t="s">
        <v>142</v>
      </c>
      <c r="N1009" s="19">
        <v>50</v>
      </c>
      <c r="O1009" s="19">
        <v>50</v>
      </c>
      <c r="P1009" s="19">
        <v>0</v>
      </c>
      <c r="Q1009" s="19">
        <v>0</v>
      </c>
      <c r="R1009" s="19" t="s">
        <v>1075</v>
      </c>
      <c r="S1009" s="19">
        <v>1</v>
      </c>
      <c r="T1009" s="19">
        <v>1</v>
      </c>
      <c r="U1009" s="19">
        <v>0</v>
      </c>
      <c r="V1009" s="19" t="s">
        <v>41</v>
      </c>
      <c r="W1009" s="19">
        <v>1</v>
      </c>
      <c r="Y1009" s="19" t="s">
        <v>142</v>
      </c>
      <c r="Z1009" s="19">
        <v>50</v>
      </c>
      <c r="AA1009" s="19">
        <v>50</v>
      </c>
    </row>
    <row r="1010" spans="1:27" x14ac:dyDescent="0.25">
      <c r="A1010" s="19" t="s">
        <v>2657</v>
      </c>
      <c r="B1010" s="19" t="s">
        <v>2625</v>
      </c>
      <c r="C1010" s="19" t="s">
        <v>2626</v>
      </c>
      <c r="D1010" s="19">
        <v>0.92999999999999905</v>
      </c>
      <c r="E1010" s="19" t="s">
        <v>82</v>
      </c>
      <c r="F1010" s="19" t="s">
        <v>83</v>
      </c>
      <c r="G1010" s="19" t="s">
        <v>32</v>
      </c>
      <c r="H1010" s="19" t="s">
        <v>63</v>
      </c>
      <c r="I1010" s="19" t="s">
        <v>64</v>
      </c>
      <c r="J1010" s="19">
        <v>26</v>
      </c>
      <c r="K1010" s="19">
        <v>1.8599999999999998E-2</v>
      </c>
      <c r="L1010" s="19" t="s">
        <v>35</v>
      </c>
      <c r="M1010" s="19" t="s">
        <v>142</v>
      </c>
      <c r="N1010" s="19">
        <v>50</v>
      </c>
      <c r="O1010" s="19">
        <v>50</v>
      </c>
      <c r="P1010" s="19">
        <v>0</v>
      </c>
      <c r="Q1010" s="19">
        <v>0</v>
      </c>
      <c r="R1010" s="19" t="s">
        <v>1075</v>
      </c>
      <c r="S1010" s="19">
        <v>1</v>
      </c>
      <c r="T1010" s="19">
        <v>1</v>
      </c>
      <c r="U1010" s="19">
        <v>0</v>
      </c>
      <c r="V1010" s="19" t="s">
        <v>41</v>
      </c>
      <c r="W1010" s="19">
        <v>1</v>
      </c>
      <c r="Y1010" s="19" t="s">
        <v>142</v>
      </c>
      <c r="Z1010" s="19">
        <v>50</v>
      </c>
      <c r="AA1010" s="19">
        <v>50</v>
      </c>
    </row>
    <row r="1011" spans="1:27" x14ac:dyDescent="0.25">
      <c r="A1011" s="19" t="s">
        <v>2645</v>
      </c>
      <c r="B1011" s="19" t="s">
        <v>2625</v>
      </c>
      <c r="C1011" s="19" t="s">
        <v>2626</v>
      </c>
      <c r="D1011" s="19">
        <v>1.085</v>
      </c>
      <c r="E1011" s="19" t="s">
        <v>117</v>
      </c>
      <c r="F1011" s="19" t="s">
        <v>118</v>
      </c>
      <c r="G1011" s="19" t="s">
        <v>32</v>
      </c>
      <c r="H1011" s="19" t="s">
        <v>114</v>
      </c>
      <c r="I1011" s="19" t="s">
        <v>115</v>
      </c>
      <c r="J1011" s="19">
        <v>31</v>
      </c>
      <c r="K1011" s="19">
        <v>2.1700000000000001E-2</v>
      </c>
      <c r="L1011" s="19" t="s">
        <v>35</v>
      </c>
      <c r="M1011" s="19" t="s">
        <v>103</v>
      </c>
      <c r="N1011" s="19">
        <v>50</v>
      </c>
      <c r="O1011" s="19">
        <v>50</v>
      </c>
      <c r="P1011" s="19">
        <v>0</v>
      </c>
      <c r="Q1011" s="19">
        <v>0</v>
      </c>
      <c r="R1011" s="19" t="s">
        <v>1075</v>
      </c>
      <c r="S1011" s="19">
        <v>1</v>
      </c>
      <c r="T1011" s="19">
        <v>1</v>
      </c>
      <c r="U1011" s="19">
        <v>0</v>
      </c>
      <c r="V1011" s="19" t="s">
        <v>41</v>
      </c>
      <c r="W1011" s="19">
        <v>1</v>
      </c>
      <c r="Y1011" s="19" t="s">
        <v>103</v>
      </c>
      <c r="Z1011" s="19">
        <v>50</v>
      </c>
      <c r="AA1011" s="19">
        <v>50</v>
      </c>
    </row>
    <row r="1012" spans="1:27" x14ac:dyDescent="0.25">
      <c r="A1012" s="19" t="s">
        <v>2658</v>
      </c>
      <c r="B1012" s="19" t="s">
        <v>2625</v>
      </c>
      <c r="C1012" s="19" t="s">
        <v>2626</v>
      </c>
      <c r="D1012" s="19">
        <v>1.085</v>
      </c>
      <c r="E1012" s="19" t="s">
        <v>129</v>
      </c>
      <c r="F1012" s="19" t="s">
        <v>130</v>
      </c>
      <c r="G1012" s="19" t="s">
        <v>32</v>
      </c>
      <c r="H1012" s="19" t="s">
        <v>114</v>
      </c>
      <c r="I1012" s="19" t="s">
        <v>115</v>
      </c>
      <c r="J1012" s="19">
        <v>32</v>
      </c>
      <c r="K1012" s="19">
        <v>2.1700000000000001E-2</v>
      </c>
      <c r="L1012" s="19" t="s">
        <v>35</v>
      </c>
      <c r="M1012" s="19" t="s">
        <v>103</v>
      </c>
      <c r="N1012" s="19">
        <v>50</v>
      </c>
      <c r="O1012" s="19">
        <v>50</v>
      </c>
      <c r="P1012" s="19">
        <v>0</v>
      </c>
      <c r="Q1012" s="19">
        <v>0</v>
      </c>
      <c r="R1012" s="19" t="s">
        <v>1075</v>
      </c>
      <c r="S1012" s="19">
        <v>1</v>
      </c>
      <c r="T1012" s="19">
        <v>1</v>
      </c>
      <c r="U1012" s="19">
        <v>0</v>
      </c>
      <c r="V1012" s="19" t="s">
        <v>41</v>
      </c>
      <c r="W1012" s="19">
        <v>1</v>
      </c>
      <c r="Y1012" s="19" t="s">
        <v>103</v>
      </c>
      <c r="Z1012" s="19">
        <v>50</v>
      </c>
      <c r="AA1012" s="19">
        <v>50</v>
      </c>
    </row>
    <row r="1013" spans="1:27" x14ac:dyDescent="0.25">
      <c r="A1013" s="19" t="s">
        <v>2662</v>
      </c>
      <c r="B1013" s="19" t="s">
        <v>2625</v>
      </c>
      <c r="C1013" s="19" t="s">
        <v>2626</v>
      </c>
      <c r="D1013" s="19">
        <v>2.2197779999999998</v>
      </c>
      <c r="E1013" s="19" t="s">
        <v>161</v>
      </c>
      <c r="F1013" s="19" t="s">
        <v>162</v>
      </c>
      <c r="G1013" s="19" t="s">
        <v>163</v>
      </c>
      <c r="I1013" s="19" t="s">
        <v>164</v>
      </c>
      <c r="J1013" s="19">
        <v>1</v>
      </c>
      <c r="K1013" s="19">
        <v>3.3300000000000003E-2</v>
      </c>
      <c r="L1013" s="19" t="s">
        <v>35</v>
      </c>
      <c r="M1013" s="19" t="s">
        <v>165</v>
      </c>
      <c r="N1013" s="19">
        <v>66.66</v>
      </c>
      <c r="O1013" s="19">
        <v>66.66</v>
      </c>
      <c r="P1013" s="19">
        <v>0</v>
      </c>
      <c r="Q1013" s="19">
        <v>0</v>
      </c>
      <c r="R1013" s="19" t="s">
        <v>1075</v>
      </c>
      <c r="S1013" s="19">
        <v>1</v>
      </c>
      <c r="T1013" s="19">
        <v>1</v>
      </c>
      <c r="U1013" s="19">
        <v>0</v>
      </c>
      <c r="W1013" s="19">
        <v>0</v>
      </c>
      <c r="X1013" s="19">
        <v>66.66</v>
      </c>
      <c r="Z1013" s="19">
        <v>0</v>
      </c>
      <c r="AA1013" s="19">
        <v>66.66</v>
      </c>
    </row>
    <row r="1014" spans="1:27" x14ac:dyDescent="0.25">
      <c r="A1014" s="19" t="s">
        <v>2663</v>
      </c>
      <c r="B1014" s="19" t="s">
        <v>2625</v>
      </c>
      <c r="C1014" s="19" t="s">
        <v>2626</v>
      </c>
      <c r="D1014" s="19">
        <v>3.33</v>
      </c>
      <c r="E1014" s="19" t="s">
        <v>167</v>
      </c>
      <c r="F1014" s="19" t="s">
        <v>168</v>
      </c>
      <c r="G1014" s="19" t="s">
        <v>163</v>
      </c>
      <c r="I1014" s="19" t="s">
        <v>164</v>
      </c>
      <c r="J1014" s="19">
        <v>3</v>
      </c>
      <c r="K1014" s="19">
        <v>3.3300000000000003E-2</v>
      </c>
      <c r="L1014" s="19" t="s">
        <v>35</v>
      </c>
      <c r="M1014" s="19" t="s">
        <v>165</v>
      </c>
      <c r="N1014" s="19">
        <v>100</v>
      </c>
      <c r="O1014" s="19">
        <v>100</v>
      </c>
      <c r="P1014" s="19">
        <v>0</v>
      </c>
      <c r="Q1014" s="19">
        <v>0</v>
      </c>
      <c r="R1014" s="19" t="s">
        <v>1075</v>
      </c>
      <c r="S1014" s="19">
        <v>1</v>
      </c>
      <c r="T1014" s="19">
        <v>1</v>
      </c>
      <c r="U1014" s="19">
        <v>0</v>
      </c>
      <c r="W1014" s="19">
        <v>0</v>
      </c>
      <c r="X1014" s="19">
        <v>100</v>
      </c>
      <c r="Z1014" s="19">
        <v>0</v>
      </c>
      <c r="AA1014" s="19">
        <v>100</v>
      </c>
    </row>
    <row r="1015" spans="1:27" x14ac:dyDescent="0.25">
      <c r="A1015" s="19" t="s">
        <v>2664</v>
      </c>
      <c r="B1015" s="19" t="s">
        <v>2625</v>
      </c>
      <c r="C1015" s="19" t="s">
        <v>2626</v>
      </c>
      <c r="D1015" s="19">
        <v>2.4975000000000001</v>
      </c>
      <c r="E1015" s="19" t="s">
        <v>170</v>
      </c>
      <c r="F1015" s="19" t="s">
        <v>171</v>
      </c>
      <c r="G1015" s="19" t="s">
        <v>163</v>
      </c>
      <c r="I1015" s="19" t="s">
        <v>164</v>
      </c>
      <c r="J1015" s="19">
        <v>2</v>
      </c>
      <c r="K1015" s="19">
        <v>3.3300000000000003E-2</v>
      </c>
      <c r="L1015" s="19" t="s">
        <v>35</v>
      </c>
      <c r="M1015" s="19" t="s">
        <v>165</v>
      </c>
      <c r="N1015" s="19">
        <v>75</v>
      </c>
      <c r="O1015" s="19">
        <v>75</v>
      </c>
      <c r="P1015" s="19">
        <v>0</v>
      </c>
      <c r="Q1015" s="19">
        <v>0</v>
      </c>
      <c r="R1015" s="19" t="s">
        <v>1075</v>
      </c>
      <c r="S1015" s="19">
        <v>1</v>
      </c>
      <c r="T1015" s="19">
        <v>1</v>
      </c>
      <c r="U1015" s="19">
        <v>0</v>
      </c>
      <c r="W1015" s="19">
        <v>0</v>
      </c>
      <c r="X1015" s="19">
        <v>75</v>
      </c>
      <c r="Z1015" s="19">
        <v>0</v>
      </c>
      <c r="AA1015" s="19">
        <v>75</v>
      </c>
    </row>
    <row r="1016" spans="1:27" x14ac:dyDescent="0.25">
      <c r="A1016" s="19" t="s">
        <v>2665</v>
      </c>
      <c r="B1016" s="19" t="s">
        <v>2666</v>
      </c>
      <c r="C1016" s="19" t="s">
        <v>2667</v>
      </c>
      <c r="D1016" s="19">
        <v>1.63</v>
      </c>
      <c r="E1016" s="19" t="s">
        <v>30</v>
      </c>
      <c r="F1016" s="19" t="s">
        <v>31</v>
      </c>
      <c r="G1016" s="19" t="s">
        <v>32</v>
      </c>
      <c r="H1016" s="19" t="s">
        <v>33</v>
      </c>
      <c r="I1016" s="19" t="s">
        <v>34</v>
      </c>
      <c r="J1016" s="19">
        <v>17</v>
      </c>
      <c r="K1016" s="19">
        <v>1.6299999999999999E-2</v>
      </c>
      <c r="L1016" s="19" t="s">
        <v>541</v>
      </c>
      <c r="M1016" s="19" t="s">
        <v>541</v>
      </c>
      <c r="N1016" s="19">
        <v>50</v>
      </c>
      <c r="O1016" s="19">
        <v>100</v>
      </c>
      <c r="P1016" s="19">
        <v>100</v>
      </c>
      <c r="Q1016" s="19">
        <v>50</v>
      </c>
      <c r="R1016" s="19" t="s">
        <v>1075</v>
      </c>
      <c r="S1016" s="19">
        <v>1</v>
      </c>
      <c r="T1016" s="19">
        <v>1</v>
      </c>
      <c r="U1016" s="19">
        <v>50</v>
      </c>
      <c r="AA1016" s="19">
        <v>0</v>
      </c>
    </row>
    <row r="1017" spans="1:27" x14ac:dyDescent="0.25">
      <c r="A1017" s="19" t="s">
        <v>2668</v>
      </c>
      <c r="B1017" s="19" t="s">
        <v>2666</v>
      </c>
      <c r="C1017" s="19" t="s">
        <v>2667</v>
      </c>
      <c r="D1017" s="19">
        <v>1.63</v>
      </c>
      <c r="E1017" s="19" t="s">
        <v>46</v>
      </c>
      <c r="F1017" s="19" t="s">
        <v>47</v>
      </c>
      <c r="G1017" s="19" t="s">
        <v>32</v>
      </c>
      <c r="H1017" s="19" t="s">
        <v>33</v>
      </c>
      <c r="I1017" s="19" t="s">
        <v>34</v>
      </c>
      <c r="J1017" s="19">
        <v>15</v>
      </c>
      <c r="K1017" s="19">
        <v>1.6299999999999999E-2</v>
      </c>
      <c r="L1017" s="19" t="s">
        <v>541</v>
      </c>
      <c r="M1017" s="19" t="s">
        <v>541</v>
      </c>
      <c r="N1017" s="19">
        <v>50</v>
      </c>
      <c r="O1017" s="19">
        <v>100</v>
      </c>
      <c r="P1017" s="19">
        <v>100</v>
      </c>
      <c r="Q1017" s="19">
        <v>50</v>
      </c>
      <c r="R1017" s="19" t="s">
        <v>1075</v>
      </c>
      <c r="S1017" s="19">
        <v>1</v>
      </c>
      <c r="T1017" s="19">
        <v>1</v>
      </c>
      <c r="U1017" s="19">
        <v>50</v>
      </c>
      <c r="AA1017" s="19">
        <v>0</v>
      </c>
    </row>
    <row r="1018" spans="1:27" x14ac:dyDescent="0.25">
      <c r="A1018" s="19" t="s">
        <v>2670</v>
      </c>
      <c r="B1018" s="19" t="s">
        <v>2666</v>
      </c>
      <c r="C1018" s="19" t="s">
        <v>2667</v>
      </c>
      <c r="D1018" s="19">
        <v>1.2224999999999999</v>
      </c>
      <c r="E1018" s="19" t="s">
        <v>55</v>
      </c>
      <c r="F1018" s="19" t="s">
        <v>56</v>
      </c>
      <c r="G1018" s="19" t="s">
        <v>32</v>
      </c>
      <c r="H1018" s="19" t="s">
        <v>33</v>
      </c>
      <c r="I1018" s="19" t="s">
        <v>34</v>
      </c>
      <c r="J1018" s="19">
        <v>14</v>
      </c>
      <c r="K1018" s="19">
        <v>1.6299999999999999E-2</v>
      </c>
      <c r="L1018" s="19" t="s">
        <v>541</v>
      </c>
      <c r="M1018" s="19" t="s">
        <v>541</v>
      </c>
      <c r="N1018" s="19">
        <v>50</v>
      </c>
      <c r="O1018" s="19">
        <v>75</v>
      </c>
      <c r="P1018" s="19">
        <v>50</v>
      </c>
      <c r="Q1018" s="19">
        <v>25</v>
      </c>
      <c r="R1018" s="19" t="s">
        <v>1075</v>
      </c>
      <c r="S1018" s="19">
        <v>1</v>
      </c>
      <c r="T1018" s="19">
        <v>1</v>
      </c>
      <c r="U1018" s="19">
        <v>25</v>
      </c>
      <c r="AA1018" s="19">
        <v>0</v>
      </c>
    </row>
    <row r="1019" spans="1:27" x14ac:dyDescent="0.25">
      <c r="A1019" s="19" t="s">
        <v>2671</v>
      </c>
      <c r="B1019" s="19" t="s">
        <v>2666</v>
      </c>
      <c r="C1019" s="19" t="s">
        <v>2667</v>
      </c>
      <c r="D1019" s="19">
        <v>1.63</v>
      </c>
      <c r="E1019" s="19" t="s">
        <v>58</v>
      </c>
      <c r="F1019" s="19" t="s">
        <v>59</v>
      </c>
      <c r="G1019" s="19" t="s">
        <v>32</v>
      </c>
      <c r="H1019" s="19" t="s">
        <v>33</v>
      </c>
      <c r="I1019" s="19" t="s">
        <v>34</v>
      </c>
      <c r="J1019" s="19">
        <v>13</v>
      </c>
      <c r="K1019" s="19">
        <v>1.6299999999999999E-2</v>
      </c>
      <c r="L1019" s="19" t="s">
        <v>541</v>
      </c>
      <c r="M1019" s="19" t="s">
        <v>541</v>
      </c>
      <c r="N1019" s="19">
        <v>50</v>
      </c>
      <c r="O1019" s="19">
        <v>100</v>
      </c>
      <c r="P1019" s="19">
        <v>100</v>
      </c>
      <c r="Q1019" s="19">
        <v>50</v>
      </c>
      <c r="R1019" s="19" t="s">
        <v>1075</v>
      </c>
      <c r="S1019" s="19">
        <v>1</v>
      </c>
      <c r="T1019" s="19">
        <v>1</v>
      </c>
      <c r="U1019" s="19">
        <v>50</v>
      </c>
      <c r="AA1019" s="19">
        <v>0</v>
      </c>
    </row>
    <row r="1020" spans="1:27" x14ac:dyDescent="0.25">
      <c r="A1020" s="19" t="s">
        <v>2672</v>
      </c>
      <c r="B1020" s="19" t="s">
        <v>2666</v>
      </c>
      <c r="C1020" s="19" t="s">
        <v>2667</v>
      </c>
      <c r="D1020" s="19">
        <v>1.39499999999999</v>
      </c>
      <c r="E1020" s="19" t="s">
        <v>72</v>
      </c>
      <c r="F1020" s="19" t="s">
        <v>73</v>
      </c>
      <c r="G1020" s="19" t="s">
        <v>32</v>
      </c>
      <c r="H1020" s="19" t="s">
        <v>63</v>
      </c>
      <c r="I1020" s="19" t="s">
        <v>64</v>
      </c>
      <c r="J1020" s="19">
        <v>21</v>
      </c>
      <c r="K1020" s="19">
        <v>1.8599999999999998E-2</v>
      </c>
      <c r="L1020" s="19" t="s">
        <v>541</v>
      </c>
      <c r="M1020" s="19" t="s">
        <v>541</v>
      </c>
      <c r="N1020" s="19">
        <v>50</v>
      </c>
      <c r="O1020" s="19">
        <v>75</v>
      </c>
      <c r="P1020" s="19">
        <v>50</v>
      </c>
      <c r="Q1020" s="19">
        <v>25</v>
      </c>
      <c r="R1020" s="19" t="s">
        <v>1075</v>
      </c>
      <c r="S1020" s="19">
        <v>1</v>
      </c>
      <c r="T1020" s="19">
        <v>1</v>
      </c>
      <c r="U1020" s="19">
        <v>25</v>
      </c>
      <c r="AA1020" s="19">
        <v>0</v>
      </c>
    </row>
    <row r="1021" spans="1:27" x14ac:dyDescent="0.25">
      <c r="A1021" s="19" t="s">
        <v>2673</v>
      </c>
      <c r="B1021" s="19" t="s">
        <v>2666</v>
      </c>
      <c r="C1021" s="19" t="s">
        <v>2667</v>
      </c>
      <c r="D1021" s="19">
        <v>1.6868016194331901</v>
      </c>
      <c r="E1021" s="19" t="s">
        <v>75</v>
      </c>
      <c r="F1021" s="19" t="s">
        <v>76</v>
      </c>
      <c r="G1021" s="19" t="s">
        <v>32</v>
      </c>
      <c r="H1021" s="19" t="s">
        <v>63</v>
      </c>
      <c r="I1021" s="19" t="s">
        <v>64</v>
      </c>
      <c r="J1021" s="19">
        <v>24</v>
      </c>
      <c r="K1021" s="19">
        <v>1.8599999999999998E-2</v>
      </c>
      <c r="L1021" s="19" t="s">
        <v>541</v>
      </c>
      <c r="M1021" s="19" t="s">
        <v>541</v>
      </c>
      <c r="N1021" s="19">
        <v>50</v>
      </c>
      <c r="O1021" s="19">
        <v>90.688259109300006</v>
      </c>
      <c r="P1021" s="19">
        <v>81.376518218599998</v>
      </c>
      <c r="Q1021" s="19">
        <v>40.688259109299999</v>
      </c>
      <c r="R1021" s="19" t="s">
        <v>1075</v>
      </c>
      <c r="S1021" s="19">
        <v>1</v>
      </c>
      <c r="T1021" s="19">
        <v>1</v>
      </c>
      <c r="U1021" s="19">
        <v>40.688259109299999</v>
      </c>
      <c r="AA1021" s="19">
        <v>0</v>
      </c>
    </row>
    <row r="1022" spans="1:27" x14ac:dyDescent="0.25">
      <c r="A1022" s="19" t="s">
        <v>2675</v>
      </c>
      <c r="B1022" s="19" t="s">
        <v>2666</v>
      </c>
      <c r="C1022" s="19" t="s">
        <v>2667</v>
      </c>
      <c r="D1022" s="19">
        <v>1.8599999999999901</v>
      </c>
      <c r="E1022" s="19" t="s">
        <v>82</v>
      </c>
      <c r="F1022" s="19" t="s">
        <v>83</v>
      </c>
      <c r="G1022" s="19" t="s">
        <v>32</v>
      </c>
      <c r="H1022" s="19" t="s">
        <v>63</v>
      </c>
      <c r="I1022" s="19" t="s">
        <v>64</v>
      </c>
      <c r="J1022" s="19">
        <v>26</v>
      </c>
      <c r="K1022" s="19">
        <v>1.8599999999999998E-2</v>
      </c>
      <c r="L1022" s="19" t="s">
        <v>541</v>
      </c>
      <c r="M1022" s="19" t="s">
        <v>541</v>
      </c>
      <c r="N1022" s="19">
        <v>50</v>
      </c>
      <c r="O1022" s="19">
        <v>100</v>
      </c>
      <c r="P1022" s="19">
        <v>100</v>
      </c>
      <c r="Q1022" s="19">
        <v>50</v>
      </c>
      <c r="R1022" s="19" t="s">
        <v>1075</v>
      </c>
      <c r="S1022" s="19">
        <v>1</v>
      </c>
      <c r="T1022" s="19">
        <v>1</v>
      </c>
      <c r="U1022" s="19">
        <v>50</v>
      </c>
      <c r="AA1022" s="19">
        <v>0</v>
      </c>
    </row>
    <row r="1023" spans="1:27" x14ac:dyDescent="0.25">
      <c r="A1023" s="19" t="s">
        <v>2676</v>
      </c>
      <c r="B1023" s="19" t="s">
        <v>2666</v>
      </c>
      <c r="C1023" s="19" t="s">
        <v>2667</v>
      </c>
      <c r="D1023" s="19">
        <v>3.25</v>
      </c>
      <c r="E1023" s="19" t="s">
        <v>85</v>
      </c>
      <c r="F1023" s="19" t="s">
        <v>86</v>
      </c>
      <c r="G1023" s="19" t="s">
        <v>32</v>
      </c>
      <c r="H1023" s="19" t="s">
        <v>87</v>
      </c>
      <c r="I1023" s="19" t="s">
        <v>88</v>
      </c>
      <c r="J1023" s="19">
        <v>35</v>
      </c>
      <c r="K1023" s="19">
        <v>3.2500000000000001E-2</v>
      </c>
      <c r="L1023" s="19" t="s">
        <v>541</v>
      </c>
      <c r="M1023" s="19" t="s">
        <v>541</v>
      </c>
      <c r="N1023" s="19">
        <v>50</v>
      </c>
      <c r="O1023" s="19">
        <v>100</v>
      </c>
      <c r="P1023" s="19">
        <v>100</v>
      </c>
      <c r="Q1023" s="19">
        <v>50</v>
      </c>
      <c r="R1023" s="19" t="s">
        <v>1075</v>
      </c>
      <c r="S1023" s="19">
        <v>1</v>
      </c>
      <c r="T1023" s="19">
        <v>1</v>
      </c>
      <c r="U1023" s="19">
        <v>50</v>
      </c>
      <c r="AA1023" s="19">
        <v>0</v>
      </c>
    </row>
    <row r="1024" spans="1:27" x14ac:dyDescent="0.25">
      <c r="A1024" s="19" t="s">
        <v>2677</v>
      </c>
      <c r="B1024" s="19" t="s">
        <v>2666</v>
      </c>
      <c r="C1024" s="19" t="s">
        <v>2667</v>
      </c>
      <c r="D1024" s="19">
        <v>3.25</v>
      </c>
      <c r="E1024" s="19" t="s">
        <v>93</v>
      </c>
      <c r="F1024" s="19" t="s">
        <v>94</v>
      </c>
      <c r="G1024" s="19" t="s">
        <v>32</v>
      </c>
      <c r="H1024" s="19" t="s">
        <v>87</v>
      </c>
      <c r="I1024" s="19" t="s">
        <v>88</v>
      </c>
      <c r="J1024" s="19">
        <v>34</v>
      </c>
      <c r="K1024" s="19">
        <v>3.2500000000000001E-2</v>
      </c>
      <c r="L1024" s="19" t="s">
        <v>541</v>
      </c>
      <c r="M1024" s="19" t="s">
        <v>541</v>
      </c>
      <c r="N1024" s="19">
        <v>50</v>
      </c>
      <c r="O1024" s="19">
        <v>100</v>
      </c>
      <c r="P1024" s="19">
        <v>100</v>
      </c>
      <c r="Q1024" s="19">
        <v>50</v>
      </c>
      <c r="R1024" s="19" t="s">
        <v>1075</v>
      </c>
      <c r="S1024" s="19">
        <v>1</v>
      </c>
      <c r="T1024" s="19">
        <v>1</v>
      </c>
      <c r="U1024" s="19">
        <v>50</v>
      </c>
      <c r="AA1024" s="19">
        <v>0</v>
      </c>
    </row>
    <row r="1025" spans="1:27" x14ac:dyDescent="0.25">
      <c r="A1025" s="19" t="s">
        <v>2678</v>
      </c>
      <c r="B1025" s="19" t="s">
        <v>2666</v>
      </c>
      <c r="C1025" s="19" t="s">
        <v>2667</v>
      </c>
      <c r="D1025" s="19">
        <v>0</v>
      </c>
      <c r="E1025" s="19" t="s">
        <v>38</v>
      </c>
      <c r="F1025" s="19" t="s">
        <v>39</v>
      </c>
      <c r="G1025" s="19" t="s">
        <v>32</v>
      </c>
      <c r="H1025" s="19" t="s">
        <v>33</v>
      </c>
      <c r="I1025" s="19" t="s">
        <v>34</v>
      </c>
      <c r="J1025" s="19">
        <v>19</v>
      </c>
      <c r="K1025" s="19">
        <v>1.6299999999999999E-2</v>
      </c>
      <c r="L1025" s="19" t="s">
        <v>35</v>
      </c>
      <c r="N1025" s="19">
        <v>0</v>
      </c>
      <c r="O1025" s="19">
        <v>0</v>
      </c>
      <c r="P1025" s="19">
        <v>0</v>
      </c>
      <c r="Q1025" s="19">
        <v>0</v>
      </c>
      <c r="R1025" s="19" t="s">
        <v>1075</v>
      </c>
      <c r="S1025" s="19">
        <v>1</v>
      </c>
      <c r="T1025" s="19">
        <v>1</v>
      </c>
      <c r="U1025" s="19">
        <v>0</v>
      </c>
      <c r="V1025" s="19" t="s">
        <v>36</v>
      </c>
      <c r="W1025" s="19">
        <v>0</v>
      </c>
      <c r="Z1025" s="19">
        <v>0</v>
      </c>
      <c r="AA1025" s="19">
        <v>0</v>
      </c>
    </row>
    <row r="1026" spans="1:27" x14ac:dyDescent="0.25">
      <c r="A1026" s="19" t="s">
        <v>2679</v>
      </c>
      <c r="B1026" s="19" t="s">
        <v>2666</v>
      </c>
      <c r="C1026" s="19" t="s">
        <v>2667</v>
      </c>
      <c r="D1026" s="19">
        <v>0</v>
      </c>
      <c r="E1026" s="19" t="s">
        <v>43</v>
      </c>
      <c r="F1026" s="19" t="s">
        <v>44</v>
      </c>
      <c r="G1026" s="19" t="s">
        <v>32</v>
      </c>
      <c r="H1026" s="19" t="s">
        <v>33</v>
      </c>
      <c r="I1026" s="19" t="s">
        <v>34</v>
      </c>
      <c r="J1026" s="19">
        <v>18</v>
      </c>
      <c r="K1026" s="19">
        <v>1.6299999999999999E-2</v>
      </c>
      <c r="L1026" s="19" t="s">
        <v>35</v>
      </c>
      <c r="N1026" s="19">
        <v>0</v>
      </c>
      <c r="O1026" s="19">
        <v>0</v>
      </c>
      <c r="P1026" s="19">
        <v>0</v>
      </c>
      <c r="Q1026" s="19">
        <v>0</v>
      </c>
      <c r="R1026" s="19" t="s">
        <v>1075</v>
      </c>
      <c r="S1026" s="19">
        <v>1</v>
      </c>
      <c r="T1026" s="19">
        <v>1</v>
      </c>
      <c r="U1026" s="19">
        <v>0</v>
      </c>
      <c r="V1026" s="19" t="s">
        <v>36</v>
      </c>
      <c r="W1026" s="19">
        <v>0</v>
      </c>
      <c r="Z1026" s="19">
        <v>0</v>
      </c>
      <c r="AA1026" s="19">
        <v>0</v>
      </c>
    </row>
    <row r="1027" spans="1:27" x14ac:dyDescent="0.25">
      <c r="A1027" s="19" t="s">
        <v>2669</v>
      </c>
      <c r="B1027" s="19" t="s">
        <v>2666</v>
      </c>
      <c r="C1027" s="19" t="s">
        <v>2667</v>
      </c>
      <c r="D1027" s="19">
        <v>0</v>
      </c>
      <c r="E1027" s="19" t="s">
        <v>49</v>
      </c>
      <c r="F1027" s="19" t="s">
        <v>50</v>
      </c>
      <c r="G1027" s="19" t="s">
        <v>32</v>
      </c>
      <c r="H1027" s="19" t="s">
        <v>33</v>
      </c>
      <c r="I1027" s="19" t="s">
        <v>34</v>
      </c>
      <c r="J1027" s="19">
        <v>12</v>
      </c>
      <c r="K1027" s="19">
        <v>1.6299999999999999E-2</v>
      </c>
      <c r="L1027" s="19" t="s">
        <v>35</v>
      </c>
      <c r="M1027" s="19" t="s">
        <v>110</v>
      </c>
      <c r="N1027" s="19">
        <v>0</v>
      </c>
      <c r="O1027" s="19">
        <v>0</v>
      </c>
      <c r="P1027" s="19">
        <v>0</v>
      </c>
      <c r="Q1027" s="19">
        <v>0</v>
      </c>
      <c r="R1027" s="19" t="s">
        <v>1075</v>
      </c>
      <c r="S1027" s="19">
        <v>1</v>
      </c>
      <c r="T1027" s="19">
        <v>1</v>
      </c>
      <c r="U1027" s="19">
        <v>0</v>
      </c>
      <c r="V1027" s="19" t="s">
        <v>80</v>
      </c>
      <c r="W1027" s="19">
        <v>0</v>
      </c>
      <c r="Y1027" s="19" t="s">
        <v>110</v>
      </c>
      <c r="Z1027" s="19">
        <v>16.664999999999999</v>
      </c>
      <c r="AA1027" s="19">
        <v>0</v>
      </c>
    </row>
    <row r="1028" spans="1:27" x14ac:dyDescent="0.25">
      <c r="A1028" s="19" t="s">
        <v>2680</v>
      </c>
      <c r="B1028" s="19" t="s">
        <v>2666</v>
      </c>
      <c r="C1028" s="19" t="s">
        <v>2667</v>
      </c>
      <c r="D1028" s="19">
        <v>0</v>
      </c>
      <c r="E1028" s="19" t="s">
        <v>52</v>
      </c>
      <c r="F1028" s="19" t="s">
        <v>53</v>
      </c>
      <c r="G1028" s="19" t="s">
        <v>32</v>
      </c>
      <c r="H1028" s="19" t="s">
        <v>33</v>
      </c>
      <c r="I1028" s="19" t="s">
        <v>34</v>
      </c>
      <c r="J1028" s="19">
        <v>16</v>
      </c>
      <c r="K1028" s="19">
        <v>1.6299999999999999E-2</v>
      </c>
      <c r="L1028" s="19" t="s">
        <v>35</v>
      </c>
      <c r="M1028" s="19" t="s">
        <v>110</v>
      </c>
      <c r="N1028" s="19">
        <v>0</v>
      </c>
      <c r="O1028" s="19">
        <v>0</v>
      </c>
      <c r="P1028" s="19">
        <v>0</v>
      </c>
      <c r="Q1028" s="19">
        <v>0</v>
      </c>
      <c r="R1028" s="19" t="s">
        <v>1075</v>
      </c>
      <c r="S1028" s="19">
        <v>1</v>
      </c>
      <c r="T1028" s="19">
        <v>1</v>
      </c>
      <c r="U1028" s="19">
        <v>0</v>
      </c>
      <c r="V1028" s="19" t="s">
        <v>80</v>
      </c>
      <c r="W1028" s="19">
        <v>0</v>
      </c>
      <c r="Y1028" s="19" t="s">
        <v>110</v>
      </c>
      <c r="Z1028" s="19">
        <v>16.664999999999999</v>
      </c>
      <c r="AA1028" s="19">
        <v>0</v>
      </c>
    </row>
    <row r="1029" spans="1:27" x14ac:dyDescent="0.25">
      <c r="A1029" s="19" t="s">
        <v>2681</v>
      </c>
      <c r="B1029" s="19" t="s">
        <v>2666</v>
      </c>
      <c r="C1029" s="19" t="s">
        <v>2667</v>
      </c>
      <c r="D1029" s="19">
        <v>0</v>
      </c>
      <c r="E1029" s="19" t="s">
        <v>61</v>
      </c>
      <c r="F1029" s="19" t="s">
        <v>62</v>
      </c>
      <c r="G1029" s="19" t="s">
        <v>32</v>
      </c>
      <c r="H1029" s="19" t="s">
        <v>63</v>
      </c>
      <c r="I1029" s="19" t="s">
        <v>64</v>
      </c>
      <c r="J1029" s="19">
        <v>22</v>
      </c>
      <c r="K1029" s="19">
        <v>1.8599999999999998E-2</v>
      </c>
      <c r="L1029" s="19" t="s">
        <v>35</v>
      </c>
      <c r="N1029" s="19">
        <v>0</v>
      </c>
      <c r="O1029" s="19">
        <v>0</v>
      </c>
      <c r="P1029" s="19">
        <v>0</v>
      </c>
      <c r="Q1029" s="19">
        <v>0</v>
      </c>
      <c r="R1029" s="19" t="s">
        <v>1075</v>
      </c>
      <c r="S1029" s="19">
        <v>1</v>
      </c>
      <c r="T1029" s="19">
        <v>1</v>
      </c>
      <c r="U1029" s="19">
        <v>0</v>
      </c>
      <c r="V1029" s="19" t="s">
        <v>36</v>
      </c>
      <c r="W1029" s="19">
        <v>0</v>
      </c>
      <c r="Z1029" s="19">
        <v>0</v>
      </c>
      <c r="AA1029" s="19">
        <v>0</v>
      </c>
    </row>
    <row r="1030" spans="1:27" x14ac:dyDescent="0.25">
      <c r="A1030" s="19" t="s">
        <v>2682</v>
      </c>
      <c r="B1030" s="19" t="s">
        <v>2666</v>
      </c>
      <c r="C1030" s="19" t="s">
        <v>2667</v>
      </c>
      <c r="D1030" s="19">
        <v>0</v>
      </c>
      <c r="E1030" s="19" t="s">
        <v>66</v>
      </c>
      <c r="F1030" s="19" t="s">
        <v>67</v>
      </c>
      <c r="G1030" s="19" t="s">
        <v>32</v>
      </c>
      <c r="H1030" s="19" t="s">
        <v>63</v>
      </c>
      <c r="I1030" s="19" t="s">
        <v>64</v>
      </c>
      <c r="J1030" s="19">
        <v>20</v>
      </c>
      <c r="K1030" s="19">
        <v>1.8599999999999998E-2</v>
      </c>
      <c r="L1030" s="19" t="s">
        <v>35</v>
      </c>
      <c r="M1030" s="19" t="s">
        <v>110</v>
      </c>
      <c r="N1030" s="19">
        <v>0</v>
      </c>
      <c r="O1030" s="19">
        <v>0</v>
      </c>
      <c r="P1030" s="19">
        <v>0</v>
      </c>
      <c r="Q1030" s="19">
        <v>0</v>
      </c>
      <c r="R1030" s="19" t="s">
        <v>1075</v>
      </c>
      <c r="S1030" s="19">
        <v>1</v>
      </c>
      <c r="T1030" s="19">
        <v>1</v>
      </c>
      <c r="U1030" s="19">
        <v>0</v>
      </c>
      <c r="V1030" s="19" t="s">
        <v>80</v>
      </c>
      <c r="W1030" s="19">
        <v>0</v>
      </c>
      <c r="Y1030" s="19" t="s">
        <v>110</v>
      </c>
      <c r="Z1030" s="19">
        <v>16.664999999999999</v>
      </c>
      <c r="AA1030" s="19">
        <v>0</v>
      </c>
    </row>
    <row r="1031" spans="1:27" x14ac:dyDescent="0.25">
      <c r="A1031" s="19" t="s">
        <v>2683</v>
      </c>
      <c r="B1031" s="19" t="s">
        <v>2666</v>
      </c>
      <c r="C1031" s="19" t="s">
        <v>2667</v>
      </c>
      <c r="D1031" s="19">
        <v>0</v>
      </c>
      <c r="E1031" s="19" t="s">
        <v>69</v>
      </c>
      <c r="F1031" s="19" t="s">
        <v>70</v>
      </c>
      <c r="G1031" s="19" t="s">
        <v>32</v>
      </c>
      <c r="H1031" s="19" t="s">
        <v>63</v>
      </c>
      <c r="I1031" s="19" t="s">
        <v>64</v>
      </c>
      <c r="J1031" s="19">
        <v>23</v>
      </c>
      <c r="K1031" s="19">
        <v>1.8599999999999998E-2</v>
      </c>
      <c r="L1031" s="19" t="s">
        <v>35</v>
      </c>
      <c r="N1031" s="19">
        <v>0</v>
      </c>
      <c r="O1031" s="19">
        <v>0</v>
      </c>
      <c r="P1031" s="19">
        <v>0</v>
      </c>
      <c r="Q1031" s="19">
        <v>0</v>
      </c>
      <c r="R1031" s="19" t="s">
        <v>1075</v>
      </c>
      <c r="S1031" s="19">
        <v>1</v>
      </c>
      <c r="T1031" s="19">
        <v>1</v>
      </c>
      <c r="U1031" s="19">
        <v>0</v>
      </c>
      <c r="V1031" s="19" t="s">
        <v>36</v>
      </c>
      <c r="W1031" s="19">
        <v>0</v>
      </c>
      <c r="Z1031" s="19">
        <v>0</v>
      </c>
      <c r="AA1031" s="19">
        <v>0</v>
      </c>
    </row>
    <row r="1032" spans="1:27" x14ac:dyDescent="0.25">
      <c r="A1032" s="19" t="s">
        <v>2674</v>
      </c>
      <c r="B1032" s="19" t="s">
        <v>2666</v>
      </c>
      <c r="C1032" s="19" t="s">
        <v>2667</v>
      </c>
      <c r="D1032" s="19">
        <v>0</v>
      </c>
      <c r="E1032" s="19" t="s">
        <v>78</v>
      </c>
      <c r="F1032" s="19" t="s">
        <v>79</v>
      </c>
      <c r="G1032" s="19" t="s">
        <v>32</v>
      </c>
      <c r="H1032" s="19" t="s">
        <v>63</v>
      </c>
      <c r="I1032" s="19" t="s">
        <v>64</v>
      </c>
      <c r="J1032" s="19">
        <v>25</v>
      </c>
      <c r="K1032" s="19">
        <v>1.8599999999999998E-2</v>
      </c>
      <c r="L1032" s="19" t="s">
        <v>35</v>
      </c>
      <c r="M1032" s="19" t="s">
        <v>110</v>
      </c>
      <c r="N1032" s="19">
        <v>0</v>
      </c>
      <c r="O1032" s="19">
        <v>0</v>
      </c>
      <c r="P1032" s="19">
        <v>0</v>
      </c>
      <c r="Q1032" s="19">
        <v>0</v>
      </c>
      <c r="R1032" s="19" t="s">
        <v>1075</v>
      </c>
      <c r="S1032" s="19">
        <v>1</v>
      </c>
      <c r="T1032" s="19">
        <v>1</v>
      </c>
      <c r="U1032" s="19">
        <v>0</v>
      </c>
      <c r="V1032" s="19" t="s">
        <v>80</v>
      </c>
      <c r="W1032" s="19">
        <v>0</v>
      </c>
      <c r="Y1032" s="19" t="s">
        <v>110</v>
      </c>
      <c r="Z1032" s="19">
        <v>16.664999999999999</v>
      </c>
      <c r="AA1032" s="19">
        <v>0</v>
      </c>
    </row>
    <row r="1033" spans="1:27" x14ac:dyDescent="0.25">
      <c r="A1033" s="19" t="s">
        <v>2684</v>
      </c>
      <c r="B1033" s="19" t="s">
        <v>2666</v>
      </c>
      <c r="C1033" s="19" t="s">
        <v>2667</v>
      </c>
      <c r="D1033" s="19">
        <v>0</v>
      </c>
      <c r="E1033" s="19" t="s">
        <v>90</v>
      </c>
      <c r="F1033" s="19" t="s">
        <v>91</v>
      </c>
      <c r="G1033" s="19" t="s">
        <v>32</v>
      </c>
      <c r="H1033" s="19" t="s">
        <v>87</v>
      </c>
      <c r="I1033" s="19" t="s">
        <v>88</v>
      </c>
      <c r="J1033" s="19">
        <v>33</v>
      </c>
      <c r="K1033" s="19">
        <v>3.2500000000000001E-2</v>
      </c>
      <c r="L1033" s="19" t="s">
        <v>35</v>
      </c>
      <c r="N1033" s="19">
        <v>0</v>
      </c>
      <c r="O1033" s="19">
        <v>0</v>
      </c>
      <c r="P1033" s="19">
        <v>0</v>
      </c>
      <c r="Q1033" s="19">
        <v>0</v>
      </c>
      <c r="R1033" s="19" t="s">
        <v>1075</v>
      </c>
      <c r="S1033" s="19">
        <v>1</v>
      </c>
      <c r="T1033" s="19">
        <v>1</v>
      </c>
      <c r="U1033" s="19">
        <v>0</v>
      </c>
      <c r="V1033" s="19" t="s">
        <v>36</v>
      </c>
      <c r="W1033" s="19">
        <v>0</v>
      </c>
      <c r="Z1033" s="19">
        <v>0</v>
      </c>
      <c r="AA1033" s="19">
        <v>0</v>
      </c>
    </row>
    <row r="1034" spans="1:27" x14ac:dyDescent="0.25">
      <c r="A1034" s="19" t="s">
        <v>2685</v>
      </c>
      <c r="B1034" s="19" t="s">
        <v>2666</v>
      </c>
      <c r="C1034" s="19" t="s">
        <v>2667</v>
      </c>
      <c r="D1034" s="19">
        <v>0</v>
      </c>
      <c r="E1034" s="19" t="s">
        <v>96</v>
      </c>
      <c r="F1034" s="19" t="s">
        <v>97</v>
      </c>
      <c r="G1034" s="19" t="s">
        <v>32</v>
      </c>
      <c r="H1034" s="19" t="s">
        <v>87</v>
      </c>
      <c r="I1034" s="19" t="s">
        <v>88</v>
      </c>
      <c r="J1034" s="19">
        <v>36</v>
      </c>
      <c r="K1034" s="19">
        <v>3.2500000000000001E-2</v>
      </c>
      <c r="L1034" s="19" t="s">
        <v>35</v>
      </c>
      <c r="N1034" s="19">
        <v>0</v>
      </c>
      <c r="O1034" s="19">
        <v>0</v>
      </c>
      <c r="P1034" s="19">
        <v>0</v>
      </c>
      <c r="Q1034" s="19">
        <v>0</v>
      </c>
      <c r="R1034" s="19" t="s">
        <v>1075</v>
      </c>
      <c r="S1034" s="19">
        <v>1</v>
      </c>
      <c r="T1034" s="19">
        <v>1</v>
      </c>
      <c r="U1034" s="19">
        <v>0</v>
      </c>
      <c r="V1034" s="19" t="s">
        <v>36</v>
      </c>
      <c r="W1034" s="19">
        <v>0</v>
      </c>
      <c r="Z1034" s="19">
        <v>0</v>
      </c>
      <c r="AA1034" s="19">
        <v>0</v>
      </c>
    </row>
    <row r="1035" spans="1:27" x14ac:dyDescent="0.25">
      <c r="A1035" s="19" t="s">
        <v>2686</v>
      </c>
      <c r="B1035" s="19" t="s">
        <v>2666</v>
      </c>
      <c r="C1035" s="19" t="s">
        <v>2667</v>
      </c>
      <c r="D1035" s="19">
        <v>0</v>
      </c>
      <c r="E1035" s="19" t="s">
        <v>99</v>
      </c>
      <c r="F1035" s="19" t="s">
        <v>100</v>
      </c>
      <c r="G1035" s="19" t="s">
        <v>32</v>
      </c>
      <c r="H1035" s="19" t="s">
        <v>101</v>
      </c>
      <c r="I1035" s="19" t="s">
        <v>102</v>
      </c>
      <c r="J1035" s="19">
        <v>39</v>
      </c>
      <c r="K1035" s="19">
        <v>4.3299999999999998E-2</v>
      </c>
      <c r="L1035" s="19" t="s">
        <v>35</v>
      </c>
      <c r="M1035" s="19" t="s">
        <v>103</v>
      </c>
      <c r="N1035" s="19">
        <v>0</v>
      </c>
      <c r="O1035" s="19">
        <v>0</v>
      </c>
      <c r="P1035" s="19">
        <v>0</v>
      </c>
      <c r="Q1035" s="19">
        <v>0</v>
      </c>
      <c r="R1035" s="19" t="s">
        <v>1075</v>
      </c>
      <c r="S1035" s="19">
        <v>1</v>
      </c>
      <c r="T1035" s="19">
        <v>1</v>
      </c>
      <c r="U1035" s="19">
        <v>0</v>
      </c>
      <c r="V1035" s="19" t="s">
        <v>36</v>
      </c>
      <c r="W1035" s="19">
        <v>0</v>
      </c>
      <c r="Y1035" s="19" t="s">
        <v>103</v>
      </c>
      <c r="Z1035" s="19">
        <v>50</v>
      </c>
      <c r="AA1035" s="19">
        <v>0</v>
      </c>
    </row>
    <row r="1036" spans="1:27" x14ac:dyDescent="0.25">
      <c r="A1036" s="19" t="s">
        <v>2687</v>
      </c>
      <c r="B1036" s="19" t="s">
        <v>2666</v>
      </c>
      <c r="C1036" s="19" t="s">
        <v>2667</v>
      </c>
      <c r="D1036" s="19">
        <v>0</v>
      </c>
      <c r="E1036" s="19" t="s">
        <v>105</v>
      </c>
      <c r="F1036" s="19" t="s">
        <v>106</v>
      </c>
      <c r="G1036" s="19" t="s">
        <v>32</v>
      </c>
      <c r="H1036" s="19" t="s">
        <v>101</v>
      </c>
      <c r="I1036" s="19" t="s">
        <v>102</v>
      </c>
      <c r="J1036" s="19">
        <v>38</v>
      </c>
      <c r="K1036" s="19">
        <v>4.3299999999999998E-2</v>
      </c>
      <c r="L1036" s="19" t="s">
        <v>35</v>
      </c>
      <c r="M1036" s="19" t="s">
        <v>103</v>
      </c>
      <c r="N1036" s="19">
        <v>0</v>
      </c>
      <c r="O1036" s="19">
        <v>0</v>
      </c>
      <c r="P1036" s="19">
        <v>0</v>
      </c>
      <c r="Q1036" s="19">
        <v>0</v>
      </c>
      <c r="R1036" s="19" t="s">
        <v>1075</v>
      </c>
      <c r="S1036" s="19">
        <v>1</v>
      </c>
      <c r="T1036" s="19">
        <v>1</v>
      </c>
      <c r="U1036" s="19">
        <v>0</v>
      </c>
      <c r="V1036" s="19" t="s">
        <v>36</v>
      </c>
      <c r="W1036" s="19">
        <v>0</v>
      </c>
      <c r="Y1036" s="19" t="s">
        <v>103</v>
      </c>
      <c r="Z1036" s="19">
        <v>50</v>
      </c>
      <c r="AA1036" s="19">
        <v>0</v>
      </c>
    </row>
    <row r="1037" spans="1:27" x14ac:dyDescent="0.25">
      <c r="A1037" s="19" t="s">
        <v>2688</v>
      </c>
      <c r="B1037" s="19" t="s">
        <v>2666</v>
      </c>
      <c r="C1037" s="19" t="s">
        <v>2667</v>
      </c>
      <c r="D1037" s="19">
        <v>0</v>
      </c>
      <c r="E1037" s="19" t="s">
        <v>108</v>
      </c>
      <c r="F1037" s="19" t="s">
        <v>109</v>
      </c>
      <c r="G1037" s="19" t="s">
        <v>32</v>
      </c>
      <c r="H1037" s="19" t="s">
        <v>101</v>
      </c>
      <c r="I1037" s="19" t="s">
        <v>102</v>
      </c>
      <c r="J1037" s="19">
        <v>37</v>
      </c>
      <c r="K1037" s="19">
        <v>4.3299999999999998E-2</v>
      </c>
      <c r="L1037" s="19" t="s">
        <v>35</v>
      </c>
      <c r="N1037" s="19">
        <v>0</v>
      </c>
      <c r="O1037" s="19">
        <v>0</v>
      </c>
      <c r="P1037" s="19">
        <v>0</v>
      </c>
      <c r="Q1037" s="19">
        <v>0</v>
      </c>
      <c r="R1037" s="19" t="s">
        <v>1075</v>
      </c>
      <c r="S1037" s="19">
        <v>1</v>
      </c>
      <c r="T1037" s="19">
        <v>1</v>
      </c>
      <c r="U1037" s="19">
        <v>0</v>
      </c>
      <c r="V1037" s="19" t="s">
        <v>36</v>
      </c>
      <c r="W1037" s="19">
        <v>0</v>
      </c>
      <c r="Z1037" s="19">
        <v>0</v>
      </c>
      <c r="AA1037" s="19">
        <v>0</v>
      </c>
    </row>
    <row r="1038" spans="1:27" x14ac:dyDescent="0.25">
      <c r="A1038" s="19" t="s">
        <v>2689</v>
      </c>
      <c r="B1038" s="19" t="s">
        <v>2666</v>
      </c>
      <c r="C1038" s="19" t="s">
        <v>2667</v>
      </c>
      <c r="D1038" s="19">
        <v>0</v>
      </c>
      <c r="E1038" s="19" t="s">
        <v>112</v>
      </c>
      <c r="F1038" s="19" t="s">
        <v>113</v>
      </c>
      <c r="G1038" s="19" t="s">
        <v>32</v>
      </c>
      <c r="H1038" s="19" t="s">
        <v>114</v>
      </c>
      <c r="I1038" s="19" t="s">
        <v>115</v>
      </c>
      <c r="J1038" s="19">
        <v>30</v>
      </c>
      <c r="K1038" s="19">
        <v>2.1700000000000001E-2</v>
      </c>
      <c r="L1038" s="19" t="s">
        <v>35</v>
      </c>
      <c r="M1038" s="19" t="s">
        <v>103</v>
      </c>
      <c r="N1038" s="19">
        <v>0</v>
      </c>
      <c r="O1038" s="19">
        <v>0</v>
      </c>
      <c r="P1038" s="19">
        <v>0</v>
      </c>
      <c r="Q1038" s="19">
        <v>0</v>
      </c>
      <c r="R1038" s="19" t="s">
        <v>1075</v>
      </c>
      <c r="S1038" s="19">
        <v>1</v>
      </c>
      <c r="T1038" s="19">
        <v>1</v>
      </c>
      <c r="U1038" s="19">
        <v>0</v>
      </c>
      <c r="V1038" s="19" t="s">
        <v>80</v>
      </c>
      <c r="W1038" s="19">
        <v>0</v>
      </c>
      <c r="Y1038" s="19" t="s">
        <v>103</v>
      </c>
      <c r="Z1038" s="19">
        <v>50</v>
      </c>
      <c r="AA1038" s="19">
        <v>0</v>
      </c>
    </row>
    <row r="1039" spans="1:27" x14ac:dyDescent="0.25">
      <c r="A1039" s="19" t="s">
        <v>2690</v>
      </c>
      <c r="B1039" s="19" t="s">
        <v>2666</v>
      </c>
      <c r="C1039" s="19" t="s">
        <v>2667</v>
      </c>
      <c r="D1039" s="19">
        <v>1.085</v>
      </c>
      <c r="E1039" s="19" t="s">
        <v>117</v>
      </c>
      <c r="F1039" s="19" t="s">
        <v>118</v>
      </c>
      <c r="G1039" s="19" t="s">
        <v>32</v>
      </c>
      <c r="H1039" s="19" t="s">
        <v>114</v>
      </c>
      <c r="I1039" s="19" t="s">
        <v>115</v>
      </c>
      <c r="J1039" s="19">
        <v>31</v>
      </c>
      <c r="K1039" s="19">
        <v>2.1700000000000001E-2</v>
      </c>
      <c r="L1039" s="19" t="s">
        <v>35</v>
      </c>
      <c r="M1039" s="19" t="s">
        <v>103</v>
      </c>
      <c r="N1039" s="19">
        <v>50</v>
      </c>
      <c r="O1039" s="19">
        <v>50</v>
      </c>
      <c r="P1039" s="19">
        <v>0</v>
      </c>
      <c r="Q1039" s="19">
        <v>0</v>
      </c>
      <c r="R1039" s="19" t="s">
        <v>1075</v>
      </c>
      <c r="S1039" s="19">
        <v>1</v>
      </c>
      <c r="T1039" s="19">
        <v>1</v>
      </c>
      <c r="U1039" s="19">
        <v>0</v>
      </c>
      <c r="V1039" s="19" t="s">
        <v>41</v>
      </c>
      <c r="W1039" s="19">
        <v>1</v>
      </c>
      <c r="Y1039" s="19" t="s">
        <v>103</v>
      </c>
      <c r="Z1039" s="19">
        <v>50</v>
      </c>
      <c r="AA1039" s="19">
        <v>50</v>
      </c>
    </row>
    <row r="1040" spans="1:27" x14ac:dyDescent="0.25">
      <c r="A1040" s="19" t="s">
        <v>2691</v>
      </c>
      <c r="B1040" s="19" t="s">
        <v>2666</v>
      </c>
      <c r="C1040" s="19" t="s">
        <v>2667</v>
      </c>
      <c r="D1040" s="19">
        <v>0</v>
      </c>
      <c r="E1040" s="19" t="s">
        <v>120</v>
      </c>
      <c r="F1040" s="19" t="s">
        <v>121</v>
      </c>
      <c r="G1040" s="19" t="s">
        <v>32</v>
      </c>
      <c r="H1040" s="19" t="s">
        <v>114</v>
      </c>
      <c r="I1040" s="19" t="s">
        <v>115</v>
      </c>
      <c r="J1040" s="19">
        <v>28</v>
      </c>
      <c r="K1040" s="19">
        <v>2.1700000000000001E-2</v>
      </c>
      <c r="L1040" s="19" t="s">
        <v>35</v>
      </c>
      <c r="M1040" s="19" t="s">
        <v>103</v>
      </c>
      <c r="N1040" s="19">
        <v>0</v>
      </c>
      <c r="O1040" s="19">
        <v>0</v>
      </c>
      <c r="P1040" s="19">
        <v>0</v>
      </c>
      <c r="Q1040" s="19">
        <v>0</v>
      </c>
      <c r="R1040" s="19" t="s">
        <v>1075</v>
      </c>
      <c r="S1040" s="19">
        <v>1</v>
      </c>
      <c r="T1040" s="19">
        <v>1</v>
      </c>
      <c r="U1040" s="19">
        <v>0</v>
      </c>
      <c r="V1040" s="19" t="s">
        <v>36</v>
      </c>
      <c r="W1040" s="19">
        <v>0</v>
      </c>
      <c r="Y1040" s="19" t="s">
        <v>103</v>
      </c>
      <c r="Z1040" s="19">
        <v>50</v>
      </c>
      <c r="AA1040" s="19">
        <v>0</v>
      </c>
    </row>
    <row r="1041" spans="1:27" x14ac:dyDescent="0.25">
      <c r="A1041" s="19" t="s">
        <v>2692</v>
      </c>
      <c r="B1041" s="19" t="s">
        <v>2666</v>
      </c>
      <c r="C1041" s="19" t="s">
        <v>2667</v>
      </c>
      <c r="D1041" s="19">
        <v>0</v>
      </c>
      <c r="E1041" s="19" t="s">
        <v>123</v>
      </c>
      <c r="F1041" s="19" t="s">
        <v>124</v>
      </c>
      <c r="G1041" s="19" t="s">
        <v>32</v>
      </c>
      <c r="H1041" s="19" t="s">
        <v>114</v>
      </c>
      <c r="I1041" s="19" t="s">
        <v>115</v>
      </c>
      <c r="J1041" s="19">
        <v>27</v>
      </c>
      <c r="K1041" s="19">
        <v>2.1700000000000001E-2</v>
      </c>
      <c r="L1041" s="19" t="s">
        <v>35</v>
      </c>
      <c r="M1041" s="19" t="s">
        <v>103</v>
      </c>
      <c r="N1041" s="19">
        <v>0</v>
      </c>
      <c r="O1041" s="19">
        <v>0</v>
      </c>
      <c r="P1041" s="19">
        <v>0</v>
      </c>
      <c r="Q1041" s="19">
        <v>0</v>
      </c>
      <c r="R1041" s="19" t="s">
        <v>1075</v>
      </c>
      <c r="S1041" s="19">
        <v>1</v>
      </c>
      <c r="T1041" s="19">
        <v>1</v>
      </c>
      <c r="U1041" s="19">
        <v>0</v>
      </c>
      <c r="V1041" s="19" t="s">
        <v>36</v>
      </c>
      <c r="W1041" s="19">
        <v>0</v>
      </c>
      <c r="Y1041" s="19" t="s">
        <v>103</v>
      </c>
      <c r="Z1041" s="19">
        <v>50</v>
      </c>
      <c r="AA1041" s="19">
        <v>0</v>
      </c>
    </row>
    <row r="1042" spans="1:27" x14ac:dyDescent="0.25">
      <c r="A1042" s="19" t="s">
        <v>2693</v>
      </c>
      <c r="B1042" s="19" t="s">
        <v>2666</v>
      </c>
      <c r="C1042" s="19" t="s">
        <v>2667</v>
      </c>
      <c r="D1042" s="19">
        <v>0</v>
      </c>
      <c r="E1042" s="19" t="s">
        <v>126</v>
      </c>
      <c r="F1042" s="19" t="s">
        <v>127</v>
      </c>
      <c r="G1042" s="19" t="s">
        <v>32</v>
      </c>
      <c r="H1042" s="19" t="s">
        <v>114</v>
      </c>
      <c r="I1042" s="19" t="s">
        <v>115</v>
      </c>
      <c r="J1042" s="19">
        <v>29</v>
      </c>
      <c r="K1042" s="19">
        <v>2.1700000000000001E-2</v>
      </c>
      <c r="L1042" s="19" t="s">
        <v>35</v>
      </c>
      <c r="M1042" s="19" t="s">
        <v>103</v>
      </c>
      <c r="N1042" s="19">
        <v>0</v>
      </c>
      <c r="O1042" s="19">
        <v>0</v>
      </c>
      <c r="P1042" s="19">
        <v>0</v>
      </c>
      <c r="Q1042" s="19">
        <v>0</v>
      </c>
      <c r="R1042" s="19" t="s">
        <v>1075</v>
      </c>
      <c r="S1042" s="19">
        <v>1</v>
      </c>
      <c r="T1042" s="19">
        <v>1</v>
      </c>
      <c r="U1042" s="19">
        <v>0</v>
      </c>
      <c r="V1042" s="19" t="s">
        <v>80</v>
      </c>
      <c r="W1042" s="19">
        <v>0</v>
      </c>
      <c r="Y1042" s="19" t="s">
        <v>103</v>
      </c>
      <c r="Z1042" s="19">
        <v>50</v>
      </c>
      <c r="AA1042" s="19">
        <v>0</v>
      </c>
    </row>
    <row r="1043" spans="1:27" x14ac:dyDescent="0.25">
      <c r="A1043" s="19" t="s">
        <v>2694</v>
      </c>
      <c r="B1043" s="19" t="s">
        <v>2666</v>
      </c>
      <c r="C1043" s="19" t="s">
        <v>2667</v>
      </c>
      <c r="D1043" s="19">
        <v>1.085</v>
      </c>
      <c r="E1043" s="19" t="s">
        <v>129</v>
      </c>
      <c r="F1043" s="19" t="s">
        <v>130</v>
      </c>
      <c r="G1043" s="19" t="s">
        <v>32</v>
      </c>
      <c r="H1043" s="19" t="s">
        <v>114</v>
      </c>
      <c r="I1043" s="19" t="s">
        <v>115</v>
      </c>
      <c r="J1043" s="19">
        <v>32</v>
      </c>
      <c r="K1043" s="19">
        <v>2.1700000000000001E-2</v>
      </c>
      <c r="L1043" s="19" t="s">
        <v>35</v>
      </c>
      <c r="M1043" s="19" t="s">
        <v>103</v>
      </c>
      <c r="N1043" s="19">
        <v>50</v>
      </c>
      <c r="O1043" s="19">
        <v>50</v>
      </c>
      <c r="P1043" s="19">
        <v>0</v>
      </c>
      <c r="Q1043" s="19">
        <v>0</v>
      </c>
      <c r="R1043" s="19" t="s">
        <v>1075</v>
      </c>
      <c r="S1043" s="19">
        <v>1</v>
      </c>
      <c r="T1043" s="19">
        <v>1</v>
      </c>
      <c r="U1043" s="19">
        <v>0</v>
      </c>
      <c r="V1043" s="19" t="s">
        <v>41</v>
      </c>
      <c r="W1043" s="19">
        <v>1</v>
      </c>
      <c r="Y1043" s="19" t="s">
        <v>103</v>
      </c>
      <c r="Z1043" s="19">
        <v>50</v>
      </c>
      <c r="AA1043" s="19">
        <v>50</v>
      </c>
    </row>
    <row r="1044" spans="1:27" x14ac:dyDescent="0.25">
      <c r="A1044" s="19" t="s">
        <v>2695</v>
      </c>
      <c r="B1044" s="19" t="s">
        <v>2666</v>
      </c>
      <c r="C1044" s="19" t="s">
        <v>2667</v>
      </c>
      <c r="D1044" s="19">
        <v>2.085</v>
      </c>
      <c r="E1044" s="19" t="s">
        <v>132</v>
      </c>
      <c r="F1044" s="19" t="s">
        <v>133</v>
      </c>
      <c r="G1044" s="19" t="s">
        <v>134</v>
      </c>
      <c r="H1044" s="19" t="s">
        <v>87</v>
      </c>
      <c r="I1044" s="19" t="s">
        <v>135</v>
      </c>
      <c r="J1044" s="19">
        <v>11</v>
      </c>
      <c r="K1044" s="19">
        <v>4.1700000000000001E-2</v>
      </c>
      <c r="L1044" s="19" t="s">
        <v>35</v>
      </c>
      <c r="M1044" s="19" t="s">
        <v>103</v>
      </c>
      <c r="N1044" s="19">
        <v>50</v>
      </c>
      <c r="O1044" s="19">
        <v>50</v>
      </c>
      <c r="P1044" s="19">
        <v>0</v>
      </c>
      <c r="Q1044" s="19">
        <v>0</v>
      </c>
      <c r="R1044" s="19" t="s">
        <v>1075</v>
      </c>
      <c r="S1044" s="19">
        <v>1</v>
      </c>
      <c r="T1044" s="19">
        <v>1</v>
      </c>
      <c r="U1044" s="19">
        <v>0</v>
      </c>
      <c r="V1044" s="19" t="s">
        <v>41</v>
      </c>
      <c r="W1044" s="19">
        <v>1</v>
      </c>
      <c r="Y1044" s="19" t="s">
        <v>103</v>
      </c>
      <c r="Z1044" s="19">
        <v>50</v>
      </c>
      <c r="AA1044" s="19">
        <v>50</v>
      </c>
    </row>
    <row r="1045" spans="1:27" x14ac:dyDescent="0.25">
      <c r="A1045" s="19" t="s">
        <v>2696</v>
      </c>
      <c r="B1045" s="19" t="s">
        <v>2666</v>
      </c>
      <c r="C1045" s="19" t="s">
        <v>2667</v>
      </c>
      <c r="D1045" s="19">
        <v>0.69493050000000001</v>
      </c>
      <c r="E1045" s="19" t="s">
        <v>137</v>
      </c>
      <c r="F1045" s="19" t="s">
        <v>138</v>
      </c>
      <c r="G1045" s="19" t="s">
        <v>134</v>
      </c>
      <c r="H1045" s="19" t="s">
        <v>87</v>
      </c>
      <c r="I1045" s="19" t="s">
        <v>135</v>
      </c>
      <c r="J1045" s="19">
        <v>9</v>
      </c>
      <c r="K1045" s="19">
        <v>4.1700000000000001E-2</v>
      </c>
      <c r="L1045" s="19" t="s">
        <v>35</v>
      </c>
      <c r="M1045" s="19" t="s">
        <v>110</v>
      </c>
      <c r="N1045" s="19">
        <v>16.664999999999999</v>
      </c>
      <c r="O1045" s="19">
        <v>16.664999999999999</v>
      </c>
      <c r="P1045" s="19">
        <v>0</v>
      </c>
      <c r="Q1045" s="19">
        <v>0</v>
      </c>
      <c r="R1045" s="19" t="s">
        <v>1075</v>
      </c>
      <c r="S1045" s="19">
        <v>1</v>
      </c>
      <c r="T1045" s="19">
        <v>1</v>
      </c>
      <c r="U1045" s="19">
        <v>0</v>
      </c>
      <c r="W1045" s="19">
        <v>0</v>
      </c>
      <c r="X1045" s="19">
        <v>3</v>
      </c>
      <c r="Y1045" s="19" t="s">
        <v>110</v>
      </c>
      <c r="Z1045" s="19">
        <v>16.664999999999999</v>
      </c>
      <c r="AA1045" s="19">
        <v>16.664999999999999</v>
      </c>
    </row>
    <row r="1046" spans="1:27" x14ac:dyDescent="0.25">
      <c r="A1046" s="19" t="s">
        <v>2697</v>
      </c>
      <c r="B1046" s="19" t="s">
        <v>2666</v>
      </c>
      <c r="C1046" s="19" t="s">
        <v>2667</v>
      </c>
      <c r="D1046" s="19">
        <v>0</v>
      </c>
      <c r="E1046" s="19" t="s">
        <v>140</v>
      </c>
      <c r="F1046" s="19" t="s">
        <v>141</v>
      </c>
      <c r="G1046" s="19" t="s">
        <v>134</v>
      </c>
      <c r="H1046" s="19" t="s">
        <v>87</v>
      </c>
      <c r="I1046" s="19" t="s">
        <v>135</v>
      </c>
      <c r="J1046" s="19">
        <v>10</v>
      </c>
      <c r="K1046" s="19">
        <v>4.1700000000000001E-2</v>
      </c>
      <c r="L1046" s="19" t="s">
        <v>35</v>
      </c>
      <c r="M1046" s="19" t="s">
        <v>110</v>
      </c>
      <c r="N1046" s="19">
        <v>0</v>
      </c>
      <c r="O1046" s="19">
        <v>0</v>
      </c>
      <c r="P1046" s="19">
        <v>0</v>
      </c>
      <c r="Q1046" s="19">
        <v>0</v>
      </c>
      <c r="R1046" s="19" t="s">
        <v>1075</v>
      </c>
      <c r="S1046" s="19">
        <v>1</v>
      </c>
      <c r="T1046" s="19">
        <v>1</v>
      </c>
      <c r="U1046" s="19">
        <v>0</v>
      </c>
      <c r="W1046" s="19">
        <v>0</v>
      </c>
      <c r="X1046" s="19">
        <v>0</v>
      </c>
      <c r="Y1046" s="19" t="s">
        <v>110</v>
      </c>
      <c r="Z1046" s="19">
        <v>16.664999999999999</v>
      </c>
      <c r="AA1046" s="19">
        <v>0</v>
      </c>
    </row>
    <row r="1047" spans="1:27" x14ac:dyDescent="0.25">
      <c r="A1047" s="19" t="s">
        <v>2698</v>
      </c>
      <c r="B1047" s="19" t="s">
        <v>2666</v>
      </c>
      <c r="C1047" s="19" t="s">
        <v>2667</v>
      </c>
      <c r="D1047" s="19">
        <v>1.25</v>
      </c>
      <c r="E1047" s="19" t="s">
        <v>144</v>
      </c>
      <c r="F1047" s="19" t="s">
        <v>145</v>
      </c>
      <c r="G1047" s="19" t="s">
        <v>134</v>
      </c>
      <c r="H1047" s="19" t="s">
        <v>146</v>
      </c>
      <c r="I1047" s="19" t="s">
        <v>147</v>
      </c>
      <c r="J1047" s="19">
        <v>4</v>
      </c>
      <c r="K1047" s="19">
        <v>2.5000000000000001E-2</v>
      </c>
      <c r="L1047" s="19" t="s">
        <v>35</v>
      </c>
      <c r="M1047" s="19" t="s">
        <v>103</v>
      </c>
      <c r="N1047" s="19">
        <v>50</v>
      </c>
      <c r="O1047" s="19">
        <v>50</v>
      </c>
      <c r="P1047" s="19">
        <v>0</v>
      </c>
      <c r="Q1047" s="19">
        <v>0</v>
      </c>
      <c r="R1047" s="19" t="s">
        <v>1075</v>
      </c>
      <c r="S1047" s="19">
        <v>1</v>
      </c>
      <c r="T1047" s="19">
        <v>1</v>
      </c>
      <c r="U1047" s="19">
        <v>0</v>
      </c>
      <c r="V1047" s="19" t="s">
        <v>41</v>
      </c>
      <c r="W1047" s="19">
        <v>1</v>
      </c>
      <c r="Y1047" s="19" t="s">
        <v>103</v>
      </c>
      <c r="Z1047" s="19">
        <v>50</v>
      </c>
      <c r="AA1047" s="19">
        <v>50</v>
      </c>
    </row>
    <row r="1048" spans="1:27" x14ac:dyDescent="0.25">
      <c r="A1048" s="19" t="s">
        <v>2699</v>
      </c>
      <c r="B1048" s="19" t="s">
        <v>2666</v>
      </c>
      <c r="C1048" s="19" t="s">
        <v>2667</v>
      </c>
      <c r="D1048" s="19">
        <v>1.25</v>
      </c>
      <c r="E1048" s="19" t="s">
        <v>149</v>
      </c>
      <c r="F1048" s="19" t="s">
        <v>150</v>
      </c>
      <c r="G1048" s="19" t="s">
        <v>134</v>
      </c>
      <c r="H1048" s="19" t="s">
        <v>146</v>
      </c>
      <c r="I1048" s="19" t="s">
        <v>147</v>
      </c>
      <c r="J1048" s="19">
        <v>5</v>
      </c>
      <c r="K1048" s="19">
        <v>2.5000000000000001E-2</v>
      </c>
      <c r="L1048" s="19" t="s">
        <v>35</v>
      </c>
      <c r="M1048" s="19" t="s">
        <v>103</v>
      </c>
      <c r="N1048" s="19">
        <v>50</v>
      </c>
      <c r="O1048" s="19">
        <v>50</v>
      </c>
      <c r="P1048" s="19">
        <v>0</v>
      </c>
      <c r="Q1048" s="19">
        <v>0</v>
      </c>
      <c r="R1048" s="19" t="s">
        <v>1075</v>
      </c>
      <c r="S1048" s="19">
        <v>1</v>
      </c>
      <c r="T1048" s="19">
        <v>1</v>
      </c>
      <c r="U1048" s="19">
        <v>0</v>
      </c>
      <c r="V1048" s="19" t="s">
        <v>41</v>
      </c>
      <c r="W1048" s="19">
        <v>1</v>
      </c>
      <c r="Y1048" s="19" t="s">
        <v>103</v>
      </c>
      <c r="Z1048" s="19">
        <v>50</v>
      </c>
      <c r="AA1048" s="19">
        <v>50</v>
      </c>
    </row>
    <row r="1049" spans="1:27" x14ac:dyDescent="0.25">
      <c r="A1049" s="19" t="s">
        <v>2700</v>
      </c>
      <c r="B1049" s="19" t="s">
        <v>2666</v>
      </c>
      <c r="C1049" s="19" t="s">
        <v>2667</v>
      </c>
      <c r="D1049" s="19">
        <v>1.25</v>
      </c>
      <c r="E1049" s="19" t="s">
        <v>152</v>
      </c>
      <c r="F1049" s="19" t="s">
        <v>153</v>
      </c>
      <c r="G1049" s="19" t="s">
        <v>134</v>
      </c>
      <c r="H1049" s="19" t="s">
        <v>146</v>
      </c>
      <c r="I1049" s="19" t="s">
        <v>147</v>
      </c>
      <c r="J1049" s="19">
        <v>6</v>
      </c>
      <c r="K1049" s="19">
        <v>2.5000000000000001E-2</v>
      </c>
      <c r="L1049" s="19" t="s">
        <v>35</v>
      </c>
      <c r="M1049" s="19" t="s">
        <v>103</v>
      </c>
      <c r="N1049" s="19">
        <v>50</v>
      </c>
      <c r="O1049" s="19">
        <v>50</v>
      </c>
      <c r="P1049" s="19">
        <v>0</v>
      </c>
      <c r="Q1049" s="19">
        <v>0</v>
      </c>
      <c r="R1049" s="19" t="s">
        <v>1075</v>
      </c>
      <c r="S1049" s="19">
        <v>1</v>
      </c>
      <c r="T1049" s="19">
        <v>1</v>
      </c>
      <c r="U1049" s="19">
        <v>0</v>
      </c>
      <c r="V1049" s="19" t="s">
        <v>41</v>
      </c>
      <c r="W1049" s="19">
        <v>1</v>
      </c>
      <c r="Y1049" s="19" t="s">
        <v>103</v>
      </c>
      <c r="Z1049" s="19">
        <v>50</v>
      </c>
      <c r="AA1049" s="19">
        <v>50</v>
      </c>
    </row>
    <row r="1050" spans="1:27" x14ac:dyDescent="0.25">
      <c r="A1050" s="19" t="s">
        <v>2701</v>
      </c>
      <c r="B1050" s="19" t="s">
        <v>2666</v>
      </c>
      <c r="C1050" s="19" t="s">
        <v>2667</v>
      </c>
      <c r="D1050" s="19">
        <v>1.25</v>
      </c>
      <c r="E1050" s="19" t="s">
        <v>155</v>
      </c>
      <c r="F1050" s="19" t="s">
        <v>156</v>
      </c>
      <c r="G1050" s="19" t="s">
        <v>134</v>
      </c>
      <c r="H1050" s="19" t="s">
        <v>146</v>
      </c>
      <c r="I1050" s="19" t="s">
        <v>147</v>
      </c>
      <c r="J1050" s="19">
        <v>7</v>
      </c>
      <c r="K1050" s="19">
        <v>2.5000000000000001E-2</v>
      </c>
      <c r="L1050" s="19" t="s">
        <v>35</v>
      </c>
      <c r="M1050" s="19" t="s">
        <v>103</v>
      </c>
      <c r="N1050" s="19">
        <v>50</v>
      </c>
      <c r="O1050" s="19">
        <v>50</v>
      </c>
      <c r="P1050" s="19">
        <v>0</v>
      </c>
      <c r="Q1050" s="19">
        <v>0</v>
      </c>
      <c r="R1050" s="19" t="s">
        <v>1075</v>
      </c>
      <c r="S1050" s="19">
        <v>1</v>
      </c>
      <c r="T1050" s="19">
        <v>1</v>
      </c>
      <c r="U1050" s="19">
        <v>0</v>
      </c>
      <c r="V1050" s="19" t="s">
        <v>41</v>
      </c>
      <c r="W1050" s="19">
        <v>1</v>
      </c>
      <c r="Y1050" s="19" t="s">
        <v>103</v>
      </c>
      <c r="Z1050" s="19">
        <v>50</v>
      </c>
      <c r="AA1050" s="19">
        <v>50</v>
      </c>
    </row>
    <row r="1051" spans="1:27" x14ac:dyDescent="0.25">
      <c r="A1051" s="19" t="s">
        <v>2702</v>
      </c>
      <c r="B1051" s="19" t="s">
        <v>2666</v>
      </c>
      <c r="C1051" s="19" t="s">
        <v>2667</v>
      </c>
      <c r="D1051" s="19">
        <v>0</v>
      </c>
      <c r="E1051" s="19" t="s">
        <v>158</v>
      </c>
      <c r="F1051" s="19" t="s">
        <v>159</v>
      </c>
      <c r="G1051" s="19" t="s">
        <v>134</v>
      </c>
      <c r="H1051" s="19" t="s">
        <v>146</v>
      </c>
      <c r="I1051" s="19" t="s">
        <v>147</v>
      </c>
      <c r="J1051" s="19">
        <v>8</v>
      </c>
      <c r="K1051" s="19">
        <v>2.5000000000000001E-2</v>
      </c>
      <c r="L1051" s="19" t="s">
        <v>35</v>
      </c>
      <c r="M1051" s="19" t="s">
        <v>103</v>
      </c>
      <c r="N1051" s="19">
        <v>0</v>
      </c>
      <c r="O1051" s="19">
        <v>0</v>
      </c>
      <c r="P1051" s="19">
        <v>0</v>
      </c>
      <c r="Q1051" s="19">
        <v>0</v>
      </c>
      <c r="R1051" s="19" t="s">
        <v>1075</v>
      </c>
      <c r="S1051" s="19">
        <v>1</v>
      </c>
      <c r="T1051" s="19">
        <v>1</v>
      </c>
      <c r="U1051" s="19">
        <v>0</v>
      </c>
      <c r="V1051" s="19" t="s">
        <v>80</v>
      </c>
      <c r="W1051" s="19">
        <v>0</v>
      </c>
      <c r="Y1051" s="19" t="s">
        <v>103</v>
      </c>
      <c r="Z1051" s="19">
        <v>50</v>
      </c>
      <c r="AA1051" s="19">
        <v>0</v>
      </c>
    </row>
    <row r="1052" spans="1:27" x14ac:dyDescent="0.25">
      <c r="A1052" s="19" t="s">
        <v>2703</v>
      </c>
      <c r="B1052" s="19" t="s">
        <v>2666</v>
      </c>
      <c r="C1052" s="19" t="s">
        <v>2667</v>
      </c>
      <c r="D1052" s="19">
        <v>2.2197779999999998</v>
      </c>
      <c r="E1052" s="19" t="s">
        <v>161</v>
      </c>
      <c r="F1052" s="19" t="s">
        <v>162</v>
      </c>
      <c r="G1052" s="19" t="s">
        <v>163</v>
      </c>
      <c r="I1052" s="19" t="s">
        <v>164</v>
      </c>
      <c r="J1052" s="19">
        <v>1</v>
      </c>
      <c r="K1052" s="19">
        <v>3.3300000000000003E-2</v>
      </c>
      <c r="L1052" s="19" t="s">
        <v>35</v>
      </c>
      <c r="M1052" s="19" t="s">
        <v>165</v>
      </c>
      <c r="N1052" s="19">
        <v>66.66</v>
      </c>
      <c r="O1052" s="19">
        <v>66.66</v>
      </c>
      <c r="P1052" s="19">
        <v>0</v>
      </c>
      <c r="Q1052" s="19">
        <v>0</v>
      </c>
      <c r="R1052" s="19" t="s">
        <v>1075</v>
      </c>
      <c r="S1052" s="19">
        <v>1</v>
      </c>
      <c r="T1052" s="19">
        <v>1</v>
      </c>
      <c r="U1052" s="19">
        <v>0</v>
      </c>
      <c r="W1052" s="19">
        <v>0</v>
      </c>
      <c r="X1052" s="19">
        <v>66.66</v>
      </c>
      <c r="Z1052" s="19">
        <v>0</v>
      </c>
      <c r="AA1052" s="19">
        <v>66.66</v>
      </c>
    </row>
    <row r="1053" spans="1:27" x14ac:dyDescent="0.25">
      <c r="A1053" s="19" t="s">
        <v>2704</v>
      </c>
      <c r="B1053" s="19" t="s">
        <v>2666</v>
      </c>
      <c r="C1053" s="19" t="s">
        <v>2667</v>
      </c>
      <c r="D1053" s="19">
        <v>0</v>
      </c>
      <c r="E1053" s="19" t="s">
        <v>167</v>
      </c>
      <c r="F1053" s="19" t="s">
        <v>168</v>
      </c>
      <c r="G1053" s="19" t="s">
        <v>163</v>
      </c>
      <c r="I1053" s="19" t="s">
        <v>164</v>
      </c>
      <c r="J1053" s="19">
        <v>3</v>
      </c>
      <c r="K1053" s="19">
        <v>3.3300000000000003E-2</v>
      </c>
      <c r="L1053" s="19" t="s">
        <v>35</v>
      </c>
      <c r="M1053" s="19" t="s">
        <v>165</v>
      </c>
      <c r="N1053" s="19">
        <v>0</v>
      </c>
      <c r="O1053" s="19">
        <v>0</v>
      </c>
      <c r="P1053" s="19">
        <v>0</v>
      </c>
      <c r="Q1053" s="19">
        <v>0</v>
      </c>
      <c r="R1053" s="19" t="s">
        <v>1075</v>
      </c>
      <c r="S1053" s="19">
        <v>1</v>
      </c>
      <c r="T1053" s="19">
        <v>1</v>
      </c>
      <c r="U1053" s="19">
        <v>0</v>
      </c>
      <c r="W1053" s="19">
        <v>0</v>
      </c>
      <c r="X1053" s="19">
        <v>0</v>
      </c>
      <c r="Z1053" s="19">
        <v>0</v>
      </c>
      <c r="AA1053" s="19">
        <v>0</v>
      </c>
    </row>
    <row r="1054" spans="1:27" x14ac:dyDescent="0.25">
      <c r="A1054" s="19" t="s">
        <v>2705</v>
      </c>
      <c r="B1054" s="19" t="s">
        <v>2666</v>
      </c>
      <c r="C1054" s="19" t="s">
        <v>2667</v>
      </c>
      <c r="D1054" s="19">
        <v>1.0323</v>
      </c>
      <c r="E1054" s="19" t="s">
        <v>170</v>
      </c>
      <c r="F1054" s="19" t="s">
        <v>171</v>
      </c>
      <c r="G1054" s="19" t="s">
        <v>163</v>
      </c>
      <c r="I1054" s="19" t="s">
        <v>164</v>
      </c>
      <c r="J1054" s="19">
        <v>2</v>
      </c>
      <c r="K1054" s="19">
        <v>3.3300000000000003E-2</v>
      </c>
      <c r="L1054" s="19" t="s">
        <v>35</v>
      </c>
      <c r="M1054" s="19" t="s">
        <v>165</v>
      </c>
      <c r="N1054" s="19">
        <v>31</v>
      </c>
      <c r="O1054" s="19">
        <v>31</v>
      </c>
      <c r="P1054" s="19">
        <v>0</v>
      </c>
      <c r="Q1054" s="19">
        <v>0</v>
      </c>
      <c r="R1054" s="19" t="s">
        <v>1075</v>
      </c>
      <c r="S1054" s="19">
        <v>1</v>
      </c>
      <c r="T1054" s="19">
        <v>1</v>
      </c>
      <c r="U1054" s="19">
        <v>0</v>
      </c>
      <c r="W1054" s="19">
        <v>0</v>
      </c>
      <c r="X1054" s="19">
        <v>31</v>
      </c>
      <c r="Z1054" s="19">
        <v>0</v>
      </c>
      <c r="AA1054" s="19">
        <v>31</v>
      </c>
    </row>
    <row r="1055" spans="1:27" x14ac:dyDescent="0.25">
      <c r="A1055" s="19" t="s">
        <v>2479</v>
      </c>
      <c r="B1055" s="19" t="s">
        <v>2462</v>
      </c>
      <c r="C1055" s="19" t="s">
        <v>2463</v>
      </c>
      <c r="D1055" s="19">
        <v>4.17</v>
      </c>
      <c r="E1055" s="19" t="s">
        <v>132</v>
      </c>
      <c r="F1055" s="19" t="s">
        <v>133</v>
      </c>
      <c r="G1055" s="19" t="s">
        <v>134</v>
      </c>
      <c r="H1055" s="19" t="s">
        <v>87</v>
      </c>
      <c r="I1055" s="19" t="s">
        <v>135</v>
      </c>
      <c r="J1055" s="19">
        <v>11</v>
      </c>
      <c r="K1055" s="19">
        <v>4.1700000000000001E-2</v>
      </c>
      <c r="L1055" s="19" t="s">
        <v>541</v>
      </c>
      <c r="M1055" s="19" t="s">
        <v>541</v>
      </c>
      <c r="N1055" s="19">
        <v>50</v>
      </c>
      <c r="O1055" s="19">
        <v>100</v>
      </c>
      <c r="P1055" s="19">
        <v>100</v>
      </c>
      <c r="Q1055" s="19">
        <v>50</v>
      </c>
      <c r="R1055" s="19" t="s">
        <v>870</v>
      </c>
      <c r="S1055" s="19">
        <v>0.9</v>
      </c>
      <c r="T1055" s="19">
        <v>1</v>
      </c>
      <c r="U1055" s="19">
        <v>50</v>
      </c>
      <c r="AA1055" s="19">
        <v>0</v>
      </c>
    </row>
    <row r="1056" spans="1:27" x14ac:dyDescent="0.25">
      <c r="A1056" s="19" t="s">
        <v>2482</v>
      </c>
      <c r="B1056" s="19" t="s">
        <v>2462</v>
      </c>
      <c r="C1056" s="19" t="s">
        <v>2463</v>
      </c>
      <c r="D1056" s="19">
        <v>2.5</v>
      </c>
      <c r="E1056" s="19" t="s">
        <v>144</v>
      </c>
      <c r="F1056" s="19" t="s">
        <v>145</v>
      </c>
      <c r="G1056" s="19" t="s">
        <v>134</v>
      </c>
      <c r="H1056" s="19" t="s">
        <v>146</v>
      </c>
      <c r="I1056" s="19" t="s">
        <v>147</v>
      </c>
      <c r="J1056" s="19">
        <v>4</v>
      </c>
      <c r="K1056" s="19">
        <v>2.5000000000000001E-2</v>
      </c>
      <c r="L1056" s="19" t="s">
        <v>541</v>
      </c>
      <c r="M1056" s="19" t="s">
        <v>541</v>
      </c>
      <c r="N1056" s="19">
        <v>50</v>
      </c>
      <c r="O1056" s="19">
        <v>100</v>
      </c>
      <c r="P1056" s="19">
        <v>100</v>
      </c>
      <c r="Q1056" s="19">
        <v>50</v>
      </c>
      <c r="R1056" s="19" t="s">
        <v>870</v>
      </c>
      <c r="S1056" s="19">
        <v>0.9</v>
      </c>
      <c r="T1056" s="19">
        <v>1</v>
      </c>
      <c r="U1056" s="19">
        <v>50</v>
      </c>
      <c r="AA1056" s="19">
        <v>0</v>
      </c>
    </row>
    <row r="1057" spans="1:27" x14ac:dyDescent="0.25">
      <c r="A1057" s="19" t="s">
        <v>2461</v>
      </c>
      <c r="B1057" s="19" t="s">
        <v>2462</v>
      </c>
      <c r="C1057" s="19" t="s">
        <v>2463</v>
      </c>
      <c r="D1057" s="19">
        <v>1.23970146726862</v>
      </c>
      <c r="E1057" s="19" t="s">
        <v>30</v>
      </c>
      <c r="F1057" s="19" t="s">
        <v>31</v>
      </c>
      <c r="G1057" s="19" t="s">
        <v>32</v>
      </c>
      <c r="H1057" s="19" t="s">
        <v>33</v>
      </c>
      <c r="I1057" s="19" t="s">
        <v>34</v>
      </c>
      <c r="J1057" s="19">
        <v>17</v>
      </c>
      <c r="K1057" s="19">
        <v>1.6299999999999999E-2</v>
      </c>
      <c r="L1057" s="19" t="s">
        <v>541</v>
      </c>
      <c r="M1057" s="19" t="s">
        <v>541</v>
      </c>
      <c r="N1057" s="19">
        <v>50</v>
      </c>
      <c r="O1057" s="19">
        <v>76.055304740400004</v>
      </c>
      <c r="P1057" s="19">
        <v>57.900677200899999</v>
      </c>
      <c r="Q1057" s="19">
        <v>28.9503386005</v>
      </c>
      <c r="R1057" s="19" t="s">
        <v>870</v>
      </c>
      <c r="S1057" s="19">
        <v>0.9</v>
      </c>
      <c r="T1057" s="19">
        <v>0.9</v>
      </c>
      <c r="U1057" s="19">
        <v>26.0553047404</v>
      </c>
      <c r="AA1057" s="19">
        <v>0</v>
      </c>
    </row>
    <row r="1058" spans="1:27" x14ac:dyDescent="0.25">
      <c r="A1058" s="19" t="s">
        <v>2464</v>
      </c>
      <c r="B1058" s="19" t="s">
        <v>2462</v>
      </c>
      <c r="C1058" s="19" t="s">
        <v>2463</v>
      </c>
      <c r="D1058" s="19">
        <v>1.54849999999999</v>
      </c>
      <c r="E1058" s="19" t="s">
        <v>38</v>
      </c>
      <c r="F1058" s="19" t="s">
        <v>39</v>
      </c>
      <c r="G1058" s="19" t="s">
        <v>32</v>
      </c>
      <c r="H1058" s="19" t="s">
        <v>33</v>
      </c>
      <c r="I1058" s="19" t="s">
        <v>34</v>
      </c>
      <c r="J1058" s="19">
        <v>19</v>
      </c>
      <c r="K1058" s="19">
        <v>1.6299999999999999E-2</v>
      </c>
      <c r="L1058" s="19" t="s">
        <v>541</v>
      </c>
      <c r="M1058" s="19" t="s">
        <v>541</v>
      </c>
      <c r="N1058" s="19">
        <v>50</v>
      </c>
      <c r="O1058" s="19">
        <v>95</v>
      </c>
      <c r="P1058" s="19">
        <v>100</v>
      </c>
      <c r="Q1058" s="19">
        <v>50</v>
      </c>
      <c r="R1058" s="19" t="s">
        <v>870</v>
      </c>
      <c r="S1058" s="19">
        <v>0.9</v>
      </c>
      <c r="T1058" s="19">
        <v>0.9</v>
      </c>
      <c r="U1058" s="19">
        <v>45</v>
      </c>
      <c r="AA1058" s="19">
        <v>0</v>
      </c>
    </row>
    <row r="1059" spans="1:27" x14ac:dyDescent="0.25">
      <c r="A1059" s="19" t="s">
        <v>2485</v>
      </c>
      <c r="B1059" s="19" t="s">
        <v>2462</v>
      </c>
      <c r="C1059" s="19" t="s">
        <v>2463</v>
      </c>
      <c r="D1059" s="19">
        <v>2.5</v>
      </c>
      <c r="E1059" s="19" t="s">
        <v>155</v>
      </c>
      <c r="F1059" s="19" t="s">
        <v>156</v>
      </c>
      <c r="G1059" s="19" t="s">
        <v>134</v>
      </c>
      <c r="H1059" s="19" t="s">
        <v>146</v>
      </c>
      <c r="I1059" s="19" t="s">
        <v>147</v>
      </c>
      <c r="J1059" s="19">
        <v>7</v>
      </c>
      <c r="K1059" s="19">
        <v>2.5000000000000001E-2</v>
      </c>
      <c r="L1059" s="19" t="s">
        <v>541</v>
      </c>
      <c r="M1059" s="19" t="s">
        <v>541</v>
      </c>
      <c r="N1059" s="19">
        <v>50</v>
      </c>
      <c r="O1059" s="19">
        <v>100</v>
      </c>
      <c r="P1059" s="19">
        <v>100</v>
      </c>
      <c r="Q1059" s="19">
        <v>50</v>
      </c>
      <c r="R1059" s="19" t="s">
        <v>870</v>
      </c>
      <c r="S1059" s="19">
        <v>0.9</v>
      </c>
      <c r="T1059" s="19">
        <v>1</v>
      </c>
      <c r="U1059" s="19">
        <v>50</v>
      </c>
      <c r="AA1059" s="19">
        <v>0</v>
      </c>
    </row>
    <row r="1060" spans="1:27" x14ac:dyDescent="0.25">
      <c r="A1060" s="19" t="s">
        <v>2466</v>
      </c>
      <c r="B1060" s="19" t="s">
        <v>2462</v>
      </c>
      <c r="C1060" s="19" t="s">
        <v>2463</v>
      </c>
      <c r="D1060" s="19">
        <v>1.44335948081264</v>
      </c>
      <c r="E1060" s="19" t="s">
        <v>46</v>
      </c>
      <c r="F1060" s="19" t="s">
        <v>47</v>
      </c>
      <c r="G1060" s="19" t="s">
        <v>32</v>
      </c>
      <c r="H1060" s="19" t="s">
        <v>33</v>
      </c>
      <c r="I1060" s="19" t="s">
        <v>34</v>
      </c>
      <c r="J1060" s="19">
        <v>15</v>
      </c>
      <c r="K1060" s="19">
        <v>1.6299999999999999E-2</v>
      </c>
      <c r="L1060" s="19" t="s">
        <v>541</v>
      </c>
      <c r="M1060" s="19" t="s">
        <v>541</v>
      </c>
      <c r="N1060" s="19">
        <v>50</v>
      </c>
      <c r="O1060" s="19">
        <v>88.549661399499996</v>
      </c>
      <c r="P1060" s="19">
        <v>85.665914221199998</v>
      </c>
      <c r="Q1060" s="19">
        <v>42.832957110599999</v>
      </c>
      <c r="R1060" s="19" t="s">
        <v>870</v>
      </c>
      <c r="S1060" s="19">
        <v>0.9</v>
      </c>
      <c r="T1060" s="19">
        <v>0.9</v>
      </c>
      <c r="U1060" s="19">
        <v>38.549661399500003</v>
      </c>
      <c r="AA1060" s="19">
        <v>0</v>
      </c>
    </row>
    <row r="1061" spans="1:27" x14ac:dyDescent="0.25">
      <c r="A1061" s="19" t="s">
        <v>2467</v>
      </c>
      <c r="B1061" s="19" t="s">
        <v>2462</v>
      </c>
      <c r="C1061" s="19" t="s">
        <v>2463</v>
      </c>
      <c r="D1061" s="19">
        <v>1.54849999999999</v>
      </c>
      <c r="E1061" s="19" t="s">
        <v>49</v>
      </c>
      <c r="F1061" s="19" t="s">
        <v>50</v>
      </c>
      <c r="G1061" s="19" t="s">
        <v>32</v>
      </c>
      <c r="H1061" s="19" t="s">
        <v>33</v>
      </c>
      <c r="I1061" s="19" t="s">
        <v>34</v>
      </c>
      <c r="J1061" s="19">
        <v>12</v>
      </c>
      <c r="K1061" s="19">
        <v>1.6299999999999999E-2</v>
      </c>
      <c r="L1061" s="19" t="s">
        <v>541</v>
      </c>
      <c r="M1061" s="19" t="s">
        <v>541</v>
      </c>
      <c r="N1061" s="19">
        <v>50</v>
      </c>
      <c r="O1061" s="19">
        <v>95</v>
      </c>
      <c r="P1061" s="19">
        <v>100</v>
      </c>
      <c r="Q1061" s="19">
        <v>50</v>
      </c>
      <c r="R1061" s="19" t="s">
        <v>870</v>
      </c>
      <c r="S1061" s="19">
        <v>0.9</v>
      </c>
      <c r="T1061" s="19">
        <v>0.9</v>
      </c>
      <c r="U1061" s="19">
        <v>45</v>
      </c>
      <c r="AA1061" s="19">
        <v>0</v>
      </c>
    </row>
    <row r="1062" spans="1:27" x14ac:dyDescent="0.25">
      <c r="A1062" s="19" t="s">
        <v>2468</v>
      </c>
      <c r="B1062" s="19" t="s">
        <v>2462</v>
      </c>
      <c r="C1062" s="19" t="s">
        <v>2463</v>
      </c>
      <c r="D1062" s="19">
        <v>1.4789582392776499</v>
      </c>
      <c r="E1062" s="19" t="s">
        <v>52</v>
      </c>
      <c r="F1062" s="19" t="s">
        <v>53</v>
      </c>
      <c r="G1062" s="19" t="s">
        <v>32</v>
      </c>
      <c r="H1062" s="19" t="s">
        <v>33</v>
      </c>
      <c r="I1062" s="19" t="s">
        <v>34</v>
      </c>
      <c r="J1062" s="19">
        <v>16</v>
      </c>
      <c r="K1062" s="19">
        <v>1.6299999999999999E-2</v>
      </c>
      <c r="L1062" s="19" t="s">
        <v>541</v>
      </c>
      <c r="M1062" s="19" t="s">
        <v>541</v>
      </c>
      <c r="N1062" s="19">
        <v>50</v>
      </c>
      <c r="O1062" s="19">
        <v>90.733634311499998</v>
      </c>
      <c r="P1062" s="19">
        <v>90.519187358899998</v>
      </c>
      <c r="Q1062" s="19">
        <v>45.2595936795</v>
      </c>
      <c r="R1062" s="19" t="s">
        <v>870</v>
      </c>
      <c r="S1062" s="19">
        <v>0.9</v>
      </c>
      <c r="T1062" s="19">
        <v>0.9</v>
      </c>
      <c r="U1062" s="19">
        <v>40.733634311499998</v>
      </c>
      <c r="AA1062" s="19">
        <v>0</v>
      </c>
    </row>
    <row r="1063" spans="1:27" x14ac:dyDescent="0.25">
      <c r="A1063" s="19" t="s">
        <v>2469</v>
      </c>
      <c r="B1063" s="19" t="s">
        <v>2462</v>
      </c>
      <c r="C1063" s="19" t="s">
        <v>2463</v>
      </c>
      <c r="D1063" s="19">
        <v>1.54849999999999</v>
      </c>
      <c r="E1063" s="19" t="s">
        <v>55</v>
      </c>
      <c r="F1063" s="19" t="s">
        <v>56</v>
      </c>
      <c r="G1063" s="19" t="s">
        <v>32</v>
      </c>
      <c r="H1063" s="19" t="s">
        <v>33</v>
      </c>
      <c r="I1063" s="19" t="s">
        <v>34</v>
      </c>
      <c r="J1063" s="19">
        <v>14</v>
      </c>
      <c r="K1063" s="19">
        <v>1.6299999999999999E-2</v>
      </c>
      <c r="L1063" s="19" t="s">
        <v>541</v>
      </c>
      <c r="M1063" s="19" t="s">
        <v>541</v>
      </c>
      <c r="N1063" s="19">
        <v>50</v>
      </c>
      <c r="O1063" s="19">
        <v>95</v>
      </c>
      <c r="P1063" s="19">
        <v>100</v>
      </c>
      <c r="Q1063" s="19">
        <v>50</v>
      </c>
      <c r="R1063" s="19" t="s">
        <v>870</v>
      </c>
      <c r="S1063" s="19">
        <v>0.9</v>
      </c>
      <c r="T1063" s="19">
        <v>0.9</v>
      </c>
      <c r="U1063" s="19">
        <v>45</v>
      </c>
      <c r="AA1063" s="19">
        <v>0</v>
      </c>
    </row>
    <row r="1064" spans="1:27" x14ac:dyDescent="0.25">
      <c r="A1064" s="19" t="s">
        <v>2470</v>
      </c>
      <c r="B1064" s="19" t="s">
        <v>2462</v>
      </c>
      <c r="C1064" s="19" t="s">
        <v>2463</v>
      </c>
      <c r="D1064" s="19">
        <v>1.54849999999999</v>
      </c>
      <c r="E1064" s="19" t="s">
        <v>58</v>
      </c>
      <c r="F1064" s="19" t="s">
        <v>59</v>
      </c>
      <c r="G1064" s="19" t="s">
        <v>32</v>
      </c>
      <c r="H1064" s="19" t="s">
        <v>33</v>
      </c>
      <c r="I1064" s="19" t="s">
        <v>34</v>
      </c>
      <c r="J1064" s="19">
        <v>13</v>
      </c>
      <c r="K1064" s="19">
        <v>1.6299999999999999E-2</v>
      </c>
      <c r="L1064" s="19" t="s">
        <v>541</v>
      </c>
      <c r="M1064" s="19" t="s">
        <v>541</v>
      </c>
      <c r="N1064" s="19">
        <v>50</v>
      </c>
      <c r="O1064" s="19">
        <v>95</v>
      </c>
      <c r="P1064" s="19">
        <v>100</v>
      </c>
      <c r="Q1064" s="19">
        <v>50</v>
      </c>
      <c r="R1064" s="19" t="s">
        <v>870</v>
      </c>
      <c r="S1064" s="19">
        <v>0.9</v>
      </c>
      <c r="T1064" s="19">
        <v>0.9</v>
      </c>
      <c r="U1064" s="19">
        <v>45</v>
      </c>
      <c r="AA1064" s="19">
        <v>0</v>
      </c>
    </row>
    <row r="1065" spans="1:27" x14ac:dyDescent="0.25">
      <c r="A1065" s="19" t="s">
        <v>2471</v>
      </c>
      <c r="B1065" s="19" t="s">
        <v>2462</v>
      </c>
      <c r="C1065" s="19" t="s">
        <v>2463</v>
      </c>
      <c r="D1065" s="19">
        <v>1.6876455981941301</v>
      </c>
      <c r="E1065" s="19" t="s">
        <v>61</v>
      </c>
      <c r="F1065" s="19" t="s">
        <v>62</v>
      </c>
      <c r="G1065" s="19" t="s">
        <v>32</v>
      </c>
      <c r="H1065" s="19" t="s">
        <v>63</v>
      </c>
      <c r="I1065" s="19" t="s">
        <v>64</v>
      </c>
      <c r="J1065" s="19">
        <v>22</v>
      </c>
      <c r="K1065" s="19">
        <v>1.8599999999999998E-2</v>
      </c>
      <c r="L1065" s="19" t="s">
        <v>541</v>
      </c>
      <c r="M1065" s="19" t="s">
        <v>541</v>
      </c>
      <c r="N1065" s="19">
        <v>50</v>
      </c>
      <c r="O1065" s="19">
        <v>90.733634311499998</v>
      </c>
      <c r="P1065" s="19">
        <v>90.519187358899998</v>
      </c>
      <c r="Q1065" s="19">
        <v>45.2595936795</v>
      </c>
      <c r="R1065" s="19" t="s">
        <v>870</v>
      </c>
      <c r="S1065" s="19">
        <v>0.9</v>
      </c>
      <c r="T1065" s="19">
        <v>0.9</v>
      </c>
      <c r="U1065" s="19">
        <v>40.733634311499998</v>
      </c>
      <c r="AA1065" s="19">
        <v>0</v>
      </c>
    </row>
    <row r="1066" spans="1:27" x14ac:dyDescent="0.25">
      <c r="A1066" s="19" t="s">
        <v>2472</v>
      </c>
      <c r="B1066" s="19" t="s">
        <v>2462</v>
      </c>
      <c r="C1066" s="19" t="s">
        <v>2463</v>
      </c>
      <c r="D1066" s="19">
        <v>1.7669999999999999</v>
      </c>
      <c r="E1066" s="19" t="s">
        <v>66</v>
      </c>
      <c r="F1066" s="19" t="s">
        <v>67</v>
      </c>
      <c r="G1066" s="19" t="s">
        <v>32</v>
      </c>
      <c r="H1066" s="19" t="s">
        <v>63</v>
      </c>
      <c r="I1066" s="19" t="s">
        <v>64</v>
      </c>
      <c r="J1066" s="19">
        <v>20</v>
      </c>
      <c r="K1066" s="19">
        <v>1.8599999999999998E-2</v>
      </c>
      <c r="L1066" s="19" t="s">
        <v>541</v>
      </c>
      <c r="M1066" s="19" t="s">
        <v>541</v>
      </c>
      <c r="N1066" s="19">
        <v>50</v>
      </c>
      <c r="O1066" s="19">
        <v>95</v>
      </c>
      <c r="P1066" s="19">
        <v>100</v>
      </c>
      <c r="Q1066" s="19">
        <v>50</v>
      </c>
      <c r="R1066" s="19" t="s">
        <v>870</v>
      </c>
      <c r="S1066" s="19">
        <v>0.9</v>
      </c>
      <c r="T1066" s="19">
        <v>0.9</v>
      </c>
      <c r="U1066" s="19">
        <v>45</v>
      </c>
      <c r="AA1066" s="19">
        <v>0</v>
      </c>
    </row>
    <row r="1067" spans="1:27" x14ac:dyDescent="0.25">
      <c r="A1067" s="19" t="s">
        <v>2473</v>
      </c>
      <c r="B1067" s="19" t="s">
        <v>2462</v>
      </c>
      <c r="C1067" s="19" t="s">
        <v>2463</v>
      </c>
      <c r="D1067" s="19">
        <v>1.6876455981941301</v>
      </c>
      <c r="E1067" s="19" t="s">
        <v>69</v>
      </c>
      <c r="F1067" s="19" t="s">
        <v>70</v>
      </c>
      <c r="G1067" s="19" t="s">
        <v>32</v>
      </c>
      <c r="H1067" s="19" t="s">
        <v>63</v>
      </c>
      <c r="I1067" s="19" t="s">
        <v>64</v>
      </c>
      <c r="J1067" s="19">
        <v>23</v>
      </c>
      <c r="K1067" s="19">
        <v>1.8599999999999998E-2</v>
      </c>
      <c r="L1067" s="19" t="s">
        <v>541</v>
      </c>
      <c r="M1067" s="19" t="s">
        <v>541</v>
      </c>
      <c r="N1067" s="19">
        <v>50</v>
      </c>
      <c r="O1067" s="19">
        <v>90.733634311499998</v>
      </c>
      <c r="P1067" s="19">
        <v>90.519187358899998</v>
      </c>
      <c r="Q1067" s="19">
        <v>45.2595936795</v>
      </c>
      <c r="R1067" s="19" t="s">
        <v>870</v>
      </c>
      <c r="S1067" s="19">
        <v>0.9</v>
      </c>
      <c r="T1067" s="19">
        <v>0.9</v>
      </c>
      <c r="U1067" s="19">
        <v>40.733634311499998</v>
      </c>
      <c r="AA1067" s="19">
        <v>0</v>
      </c>
    </row>
    <row r="1068" spans="1:27" x14ac:dyDescent="0.25">
      <c r="A1068" s="19" t="s">
        <v>2474</v>
      </c>
      <c r="B1068" s="19" t="s">
        <v>2462</v>
      </c>
      <c r="C1068" s="19" t="s">
        <v>2463</v>
      </c>
      <c r="D1068" s="19">
        <v>1.7669999999999999</v>
      </c>
      <c r="E1068" s="19" t="s">
        <v>72</v>
      </c>
      <c r="F1068" s="19" t="s">
        <v>73</v>
      </c>
      <c r="G1068" s="19" t="s">
        <v>32</v>
      </c>
      <c r="H1068" s="19" t="s">
        <v>63</v>
      </c>
      <c r="I1068" s="19" t="s">
        <v>64</v>
      </c>
      <c r="J1068" s="19">
        <v>21</v>
      </c>
      <c r="K1068" s="19">
        <v>1.8599999999999998E-2</v>
      </c>
      <c r="L1068" s="19" t="s">
        <v>541</v>
      </c>
      <c r="M1068" s="19" t="s">
        <v>541</v>
      </c>
      <c r="N1068" s="19">
        <v>50</v>
      </c>
      <c r="O1068" s="19">
        <v>95</v>
      </c>
      <c r="P1068" s="19">
        <v>100</v>
      </c>
      <c r="Q1068" s="19">
        <v>50</v>
      </c>
      <c r="R1068" s="19" t="s">
        <v>870</v>
      </c>
      <c r="S1068" s="19">
        <v>0.9</v>
      </c>
      <c r="T1068" s="19">
        <v>0.9</v>
      </c>
      <c r="U1068" s="19">
        <v>45</v>
      </c>
      <c r="AA1068" s="19">
        <v>0</v>
      </c>
    </row>
    <row r="1069" spans="1:27" x14ac:dyDescent="0.25">
      <c r="A1069" s="19" t="s">
        <v>2475</v>
      </c>
      <c r="B1069" s="19" t="s">
        <v>2462</v>
      </c>
      <c r="C1069" s="19" t="s">
        <v>2463</v>
      </c>
      <c r="D1069" s="19">
        <v>1.7669999999999999</v>
      </c>
      <c r="E1069" s="19" t="s">
        <v>75</v>
      </c>
      <c r="F1069" s="19" t="s">
        <v>76</v>
      </c>
      <c r="G1069" s="19" t="s">
        <v>32</v>
      </c>
      <c r="H1069" s="19" t="s">
        <v>63</v>
      </c>
      <c r="I1069" s="19" t="s">
        <v>64</v>
      </c>
      <c r="J1069" s="19">
        <v>24</v>
      </c>
      <c r="K1069" s="19">
        <v>1.8599999999999998E-2</v>
      </c>
      <c r="L1069" s="19" t="s">
        <v>541</v>
      </c>
      <c r="M1069" s="19" t="s">
        <v>541</v>
      </c>
      <c r="N1069" s="19">
        <v>50</v>
      </c>
      <c r="O1069" s="19">
        <v>95</v>
      </c>
      <c r="P1069" s="19">
        <v>100</v>
      </c>
      <c r="Q1069" s="19">
        <v>50</v>
      </c>
      <c r="R1069" s="19" t="s">
        <v>870</v>
      </c>
      <c r="S1069" s="19">
        <v>0.9</v>
      </c>
      <c r="T1069" s="19">
        <v>0.9</v>
      </c>
      <c r="U1069" s="19">
        <v>45</v>
      </c>
      <c r="AA1069" s="19">
        <v>0</v>
      </c>
    </row>
    <row r="1070" spans="1:27" x14ac:dyDescent="0.25">
      <c r="A1070" s="19" t="s">
        <v>2476</v>
      </c>
      <c r="B1070" s="19" t="s">
        <v>2462</v>
      </c>
      <c r="C1070" s="19" t="s">
        <v>2463</v>
      </c>
      <c r="D1070" s="19">
        <v>3.0874999999999999</v>
      </c>
      <c r="E1070" s="19" t="s">
        <v>85</v>
      </c>
      <c r="F1070" s="19" t="s">
        <v>86</v>
      </c>
      <c r="G1070" s="19" t="s">
        <v>32</v>
      </c>
      <c r="H1070" s="19" t="s">
        <v>87</v>
      </c>
      <c r="I1070" s="19" t="s">
        <v>88</v>
      </c>
      <c r="J1070" s="19">
        <v>35</v>
      </c>
      <c r="K1070" s="19">
        <v>3.2500000000000001E-2</v>
      </c>
      <c r="L1070" s="19" t="s">
        <v>541</v>
      </c>
      <c r="M1070" s="19" t="s">
        <v>541</v>
      </c>
      <c r="N1070" s="19">
        <v>50</v>
      </c>
      <c r="O1070" s="19">
        <v>95</v>
      </c>
      <c r="P1070" s="19">
        <v>100</v>
      </c>
      <c r="Q1070" s="19">
        <v>50</v>
      </c>
      <c r="R1070" s="19" t="s">
        <v>870</v>
      </c>
      <c r="S1070" s="19">
        <v>0.9</v>
      </c>
      <c r="T1070" s="19">
        <v>0.9</v>
      </c>
      <c r="U1070" s="19">
        <v>45</v>
      </c>
      <c r="AA1070" s="19">
        <v>0</v>
      </c>
    </row>
    <row r="1071" spans="1:27" x14ac:dyDescent="0.25">
      <c r="A1071" s="19" t="s">
        <v>2477</v>
      </c>
      <c r="B1071" s="19" t="s">
        <v>2462</v>
      </c>
      <c r="C1071" s="19" t="s">
        <v>2463</v>
      </c>
      <c r="D1071" s="19">
        <v>3.0874999999999999</v>
      </c>
      <c r="E1071" s="19" t="s">
        <v>93</v>
      </c>
      <c r="F1071" s="19" t="s">
        <v>94</v>
      </c>
      <c r="G1071" s="19" t="s">
        <v>32</v>
      </c>
      <c r="H1071" s="19" t="s">
        <v>87</v>
      </c>
      <c r="I1071" s="19" t="s">
        <v>88</v>
      </c>
      <c r="J1071" s="19">
        <v>34</v>
      </c>
      <c r="K1071" s="19">
        <v>3.2500000000000001E-2</v>
      </c>
      <c r="L1071" s="19" t="s">
        <v>541</v>
      </c>
      <c r="M1071" s="19" t="s">
        <v>541</v>
      </c>
      <c r="N1071" s="19">
        <v>50</v>
      </c>
      <c r="O1071" s="19">
        <v>95</v>
      </c>
      <c r="P1071" s="19">
        <v>100</v>
      </c>
      <c r="Q1071" s="19">
        <v>50</v>
      </c>
      <c r="R1071" s="19" t="s">
        <v>870</v>
      </c>
      <c r="S1071" s="19">
        <v>0.9</v>
      </c>
      <c r="T1071" s="19">
        <v>0.9</v>
      </c>
      <c r="U1071" s="19">
        <v>45</v>
      </c>
      <c r="AA1071" s="19">
        <v>0</v>
      </c>
    </row>
    <row r="1072" spans="1:27" x14ac:dyDescent="0.25">
      <c r="A1072" s="19" t="s">
        <v>2478</v>
      </c>
      <c r="B1072" s="19" t="s">
        <v>2462</v>
      </c>
      <c r="C1072" s="19" t="s">
        <v>2463</v>
      </c>
      <c r="D1072" s="19">
        <v>2.16939841986455</v>
      </c>
      <c r="E1072" s="19" t="s">
        <v>99</v>
      </c>
      <c r="F1072" s="19" t="s">
        <v>100</v>
      </c>
      <c r="G1072" s="19" t="s">
        <v>32</v>
      </c>
      <c r="H1072" s="19" t="s">
        <v>101</v>
      </c>
      <c r="I1072" s="19" t="s">
        <v>102</v>
      </c>
      <c r="J1072" s="19">
        <v>39</v>
      </c>
      <c r="K1072" s="19">
        <v>4.3299999999999998E-2</v>
      </c>
      <c r="L1072" s="19" t="s">
        <v>541</v>
      </c>
      <c r="M1072" s="19" t="s">
        <v>541</v>
      </c>
      <c r="N1072" s="19">
        <v>50</v>
      </c>
      <c r="O1072" s="19">
        <v>50.101580135399999</v>
      </c>
      <c r="P1072" s="19">
        <v>0.225733634312</v>
      </c>
      <c r="Q1072" s="19">
        <v>0.112866817156</v>
      </c>
      <c r="R1072" s="19" t="s">
        <v>870</v>
      </c>
      <c r="S1072" s="19">
        <v>0.9</v>
      </c>
      <c r="T1072" s="19">
        <v>0.9</v>
      </c>
      <c r="U1072" s="19">
        <v>0.10158013544</v>
      </c>
      <c r="AA1072" s="19">
        <v>0</v>
      </c>
    </row>
    <row r="1073" spans="1:27" x14ac:dyDescent="0.25">
      <c r="A1073" s="19" t="s">
        <v>2483</v>
      </c>
      <c r="B1073" s="19" t="s">
        <v>2462</v>
      </c>
      <c r="C1073" s="19" t="s">
        <v>2463</v>
      </c>
      <c r="D1073" s="19">
        <v>2.5</v>
      </c>
      <c r="E1073" s="19" t="s">
        <v>149</v>
      </c>
      <c r="F1073" s="19" t="s">
        <v>150</v>
      </c>
      <c r="G1073" s="19" t="s">
        <v>134</v>
      </c>
      <c r="H1073" s="19" t="s">
        <v>146</v>
      </c>
      <c r="I1073" s="19" t="s">
        <v>147</v>
      </c>
      <c r="J1073" s="19">
        <v>5</v>
      </c>
      <c r="K1073" s="19">
        <v>2.5000000000000001E-2</v>
      </c>
      <c r="L1073" s="19" t="s">
        <v>541</v>
      </c>
      <c r="M1073" s="19" t="s">
        <v>541</v>
      </c>
      <c r="N1073" s="19">
        <v>50</v>
      </c>
      <c r="O1073" s="19">
        <v>100</v>
      </c>
      <c r="P1073" s="19">
        <v>100</v>
      </c>
      <c r="Q1073" s="19">
        <v>50</v>
      </c>
      <c r="R1073" s="19" t="s">
        <v>870</v>
      </c>
      <c r="S1073" s="19">
        <v>0.9</v>
      </c>
      <c r="T1073" s="19">
        <v>1</v>
      </c>
      <c r="U1073" s="19">
        <v>50</v>
      </c>
      <c r="AA1073" s="19">
        <v>0</v>
      </c>
    </row>
    <row r="1074" spans="1:27" x14ac:dyDescent="0.25">
      <c r="A1074" s="19" t="s">
        <v>2486</v>
      </c>
      <c r="B1074" s="19" t="s">
        <v>2462</v>
      </c>
      <c r="C1074" s="19" t="s">
        <v>2463</v>
      </c>
      <c r="D1074" s="19">
        <v>1.30040322580645</v>
      </c>
      <c r="E1074" s="19" t="s">
        <v>158</v>
      </c>
      <c r="F1074" s="19" t="s">
        <v>159</v>
      </c>
      <c r="G1074" s="19" t="s">
        <v>134</v>
      </c>
      <c r="H1074" s="19" t="s">
        <v>146</v>
      </c>
      <c r="I1074" s="19" t="s">
        <v>147</v>
      </c>
      <c r="J1074" s="19">
        <v>8</v>
      </c>
      <c r="K1074" s="19">
        <v>2.5000000000000001E-2</v>
      </c>
      <c r="L1074" s="19" t="s">
        <v>541</v>
      </c>
      <c r="M1074" s="19" t="s">
        <v>541</v>
      </c>
      <c r="N1074" s="19">
        <v>50</v>
      </c>
      <c r="O1074" s="19">
        <v>52.0161290323</v>
      </c>
      <c r="P1074" s="19">
        <v>4.0322580645199997</v>
      </c>
      <c r="Q1074" s="19">
        <v>2.0161290322599998</v>
      </c>
      <c r="R1074" s="19" t="s">
        <v>870</v>
      </c>
      <c r="S1074" s="19">
        <v>0.9</v>
      </c>
      <c r="T1074" s="19">
        <v>1</v>
      </c>
      <c r="U1074" s="19">
        <v>2.0161290322599998</v>
      </c>
      <c r="AA1074" s="19">
        <v>0</v>
      </c>
    </row>
    <row r="1075" spans="1:27" x14ac:dyDescent="0.25">
      <c r="A1075" s="19" t="s">
        <v>2480</v>
      </c>
      <c r="B1075" s="19" t="s">
        <v>2462</v>
      </c>
      <c r="C1075" s="19" t="s">
        <v>2463</v>
      </c>
      <c r="D1075" s="19">
        <v>0.69493050000000001</v>
      </c>
      <c r="E1075" s="19" t="s">
        <v>137</v>
      </c>
      <c r="F1075" s="19" t="s">
        <v>138</v>
      </c>
      <c r="G1075" s="19" t="s">
        <v>134</v>
      </c>
      <c r="H1075" s="19" t="s">
        <v>87</v>
      </c>
      <c r="I1075" s="19" t="s">
        <v>135</v>
      </c>
      <c r="J1075" s="19">
        <v>9</v>
      </c>
      <c r="K1075" s="19">
        <v>4.1700000000000001E-2</v>
      </c>
      <c r="L1075" s="19" t="s">
        <v>35</v>
      </c>
      <c r="M1075" s="19" t="s">
        <v>110</v>
      </c>
      <c r="N1075" s="19">
        <v>16.664999999999999</v>
      </c>
      <c r="O1075" s="19">
        <v>16.664999999999999</v>
      </c>
      <c r="P1075" s="19">
        <v>0</v>
      </c>
      <c r="Q1075" s="19">
        <v>0</v>
      </c>
      <c r="R1075" s="19" t="s">
        <v>870</v>
      </c>
      <c r="S1075" s="19">
        <v>0.9</v>
      </c>
      <c r="T1075" s="19">
        <v>1</v>
      </c>
      <c r="U1075" s="19">
        <v>0</v>
      </c>
      <c r="W1075" s="19">
        <v>0</v>
      </c>
      <c r="X1075" s="19">
        <v>3</v>
      </c>
      <c r="Y1075" s="19" t="s">
        <v>110</v>
      </c>
      <c r="Z1075" s="19">
        <v>16.664999999999999</v>
      </c>
      <c r="AA1075" s="19">
        <v>16.664999999999999</v>
      </c>
    </row>
    <row r="1076" spans="1:27" x14ac:dyDescent="0.25">
      <c r="A1076" s="19" t="s">
        <v>2481</v>
      </c>
      <c r="B1076" s="19" t="s">
        <v>2462</v>
      </c>
      <c r="C1076" s="19" t="s">
        <v>2463</v>
      </c>
      <c r="D1076" s="19">
        <v>2.085</v>
      </c>
      <c r="E1076" s="19" t="s">
        <v>140</v>
      </c>
      <c r="F1076" s="19" t="s">
        <v>141</v>
      </c>
      <c r="G1076" s="19" t="s">
        <v>134</v>
      </c>
      <c r="H1076" s="19" t="s">
        <v>87</v>
      </c>
      <c r="I1076" s="19" t="s">
        <v>135</v>
      </c>
      <c r="J1076" s="19">
        <v>10</v>
      </c>
      <c r="K1076" s="19">
        <v>4.1700000000000001E-2</v>
      </c>
      <c r="L1076" s="19" t="s">
        <v>35</v>
      </c>
      <c r="M1076" s="19" t="s">
        <v>142</v>
      </c>
      <c r="N1076" s="19">
        <v>50</v>
      </c>
      <c r="O1076" s="19">
        <v>50</v>
      </c>
      <c r="P1076" s="19">
        <v>0</v>
      </c>
      <c r="Q1076" s="19">
        <v>0</v>
      </c>
      <c r="R1076" s="19" t="s">
        <v>870</v>
      </c>
      <c r="S1076" s="19">
        <v>0.9</v>
      </c>
      <c r="T1076" s="19">
        <v>1</v>
      </c>
      <c r="U1076" s="19">
        <v>0</v>
      </c>
      <c r="W1076" s="19">
        <v>0</v>
      </c>
      <c r="X1076" s="19">
        <v>3</v>
      </c>
      <c r="Y1076" s="19" t="s">
        <v>142</v>
      </c>
      <c r="Z1076" s="19">
        <v>50</v>
      </c>
      <c r="AA1076" s="19">
        <v>50</v>
      </c>
    </row>
    <row r="1077" spans="1:27" x14ac:dyDescent="0.25">
      <c r="A1077" s="19" t="s">
        <v>2484</v>
      </c>
      <c r="B1077" s="19" t="s">
        <v>2462</v>
      </c>
      <c r="C1077" s="19" t="s">
        <v>2463</v>
      </c>
      <c r="D1077" s="19">
        <v>1.25</v>
      </c>
      <c r="E1077" s="19" t="s">
        <v>152</v>
      </c>
      <c r="F1077" s="19" t="s">
        <v>153</v>
      </c>
      <c r="G1077" s="19" t="s">
        <v>134</v>
      </c>
      <c r="H1077" s="19" t="s">
        <v>146</v>
      </c>
      <c r="I1077" s="19" t="s">
        <v>147</v>
      </c>
      <c r="J1077" s="19">
        <v>6</v>
      </c>
      <c r="K1077" s="19">
        <v>2.5000000000000001E-2</v>
      </c>
      <c r="L1077" s="19" t="s">
        <v>35</v>
      </c>
      <c r="M1077" s="19" t="s">
        <v>103</v>
      </c>
      <c r="N1077" s="19">
        <v>50</v>
      </c>
      <c r="O1077" s="19">
        <v>50</v>
      </c>
      <c r="P1077" s="19">
        <v>0</v>
      </c>
      <c r="Q1077" s="19">
        <v>0</v>
      </c>
      <c r="R1077" s="19" t="s">
        <v>870</v>
      </c>
      <c r="S1077" s="19">
        <v>0.9</v>
      </c>
      <c r="T1077" s="19">
        <v>1</v>
      </c>
      <c r="U1077" s="19">
        <v>0</v>
      </c>
      <c r="V1077" s="19" t="s">
        <v>41</v>
      </c>
      <c r="W1077" s="19">
        <v>1</v>
      </c>
      <c r="Y1077" s="19" t="s">
        <v>103</v>
      </c>
      <c r="Z1077" s="19">
        <v>50</v>
      </c>
      <c r="AA1077" s="19">
        <v>50</v>
      </c>
    </row>
    <row r="1078" spans="1:27" x14ac:dyDescent="0.25">
      <c r="A1078" s="19" t="s">
        <v>2465</v>
      </c>
      <c r="B1078" s="19" t="s">
        <v>2462</v>
      </c>
      <c r="C1078" s="19" t="s">
        <v>2463</v>
      </c>
      <c r="D1078" s="19">
        <v>0.81499999999999995</v>
      </c>
      <c r="E1078" s="19" t="s">
        <v>43</v>
      </c>
      <c r="F1078" s="19" t="s">
        <v>44</v>
      </c>
      <c r="G1078" s="19" t="s">
        <v>32</v>
      </c>
      <c r="H1078" s="19" t="s">
        <v>33</v>
      </c>
      <c r="I1078" s="19" t="s">
        <v>34</v>
      </c>
      <c r="J1078" s="19">
        <v>18</v>
      </c>
      <c r="K1078" s="19">
        <v>1.6299999999999999E-2</v>
      </c>
      <c r="L1078" s="19" t="s">
        <v>35</v>
      </c>
      <c r="M1078" s="19" t="s">
        <v>142</v>
      </c>
      <c r="N1078" s="19">
        <v>50</v>
      </c>
      <c r="O1078" s="19">
        <v>50</v>
      </c>
      <c r="P1078" s="19">
        <v>0</v>
      </c>
      <c r="Q1078" s="19">
        <v>0</v>
      </c>
      <c r="R1078" s="19" t="s">
        <v>870</v>
      </c>
      <c r="S1078" s="19">
        <v>0.9</v>
      </c>
      <c r="T1078" s="19">
        <v>1</v>
      </c>
      <c r="U1078" s="19">
        <v>0</v>
      </c>
      <c r="V1078" s="19" t="s">
        <v>41</v>
      </c>
      <c r="W1078" s="19">
        <v>1</v>
      </c>
      <c r="Y1078" s="19" t="s">
        <v>142</v>
      </c>
      <c r="Z1078" s="19">
        <v>50</v>
      </c>
      <c r="AA1078" s="19">
        <v>50</v>
      </c>
    </row>
    <row r="1079" spans="1:27" x14ac:dyDescent="0.25">
      <c r="A1079" s="19" t="s">
        <v>2487</v>
      </c>
      <c r="B1079" s="19" t="s">
        <v>2462</v>
      </c>
      <c r="C1079" s="19" t="s">
        <v>2463</v>
      </c>
      <c r="D1079" s="19">
        <v>0</v>
      </c>
      <c r="E1079" s="19" t="s">
        <v>78</v>
      </c>
      <c r="F1079" s="19" t="s">
        <v>79</v>
      </c>
      <c r="G1079" s="19" t="s">
        <v>32</v>
      </c>
      <c r="H1079" s="19" t="s">
        <v>63</v>
      </c>
      <c r="I1079" s="19" t="s">
        <v>64</v>
      </c>
      <c r="J1079" s="19">
        <v>25</v>
      </c>
      <c r="K1079" s="19">
        <v>1.8599999999999998E-2</v>
      </c>
      <c r="L1079" s="19" t="s">
        <v>35</v>
      </c>
      <c r="M1079" s="19" t="s">
        <v>40</v>
      </c>
      <c r="N1079" s="19">
        <v>0</v>
      </c>
      <c r="O1079" s="19">
        <v>0</v>
      </c>
      <c r="P1079" s="19">
        <v>0</v>
      </c>
      <c r="Q1079" s="19">
        <v>0</v>
      </c>
      <c r="R1079" s="19" t="s">
        <v>870</v>
      </c>
      <c r="S1079" s="19">
        <v>0.9</v>
      </c>
      <c r="T1079" s="19">
        <v>1</v>
      </c>
      <c r="U1079" s="19">
        <v>0</v>
      </c>
      <c r="V1079" s="19" t="s">
        <v>80</v>
      </c>
      <c r="W1079" s="19">
        <v>0</v>
      </c>
      <c r="Y1079" s="19" t="s">
        <v>40</v>
      </c>
      <c r="Z1079" s="19">
        <v>33.33</v>
      </c>
      <c r="AA1079" s="19">
        <v>0</v>
      </c>
    </row>
    <row r="1080" spans="1:27" x14ac:dyDescent="0.25">
      <c r="A1080" s="19" t="s">
        <v>2488</v>
      </c>
      <c r="B1080" s="19" t="s">
        <v>2462</v>
      </c>
      <c r="C1080" s="19" t="s">
        <v>2463</v>
      </c>
      <c r="D1080" s="19">
        <v>0.309968999999999</v>
      </c>
      <c r="E1080" s="19" t="s">
        <v>82</v>
      </c>
      <c r="F1080" s="19" t="s">
        <v>83</v>
      </c>
      <c r="G1080" s="19" t="s">
        <v>32</v>
      </c>
      <c r="H1080" s="19" t="s">
        <v>63</v>
      </c>
      <c r="I1080" s="19" t="s">
        <v>64</v>
      </c>
      <c r="J1080" s="19">
        <v>26</v>
      </c>
      <c r="K1080" s="19">
        <v>1.8599999999999998E-2</v>
      </c>
      <c r="L1080" s="19" t="s">
        <v>35</v>
      </c>
      <c r="M1080" s="19" t="s">
        <v>110</v>
      </c>
      <c r="N1080" s="19">
        <v>16.664999999999999</v>
      </c>
      <c r="O1080" s="19">
        <v>16.664999999999999</v>
      </c>
      <c r="P1080" s="19">
        <v>0</v>
      </c>
      <c r="Q1080" s="19">
        <v>0</v>
      </c>
      <c r="R1080" s="19" t="s">
        <v>870</v>
      </c>
      <c r="S1080" s="19">
        <v>0.9</v>
      </c>
      <c r="T1080" s="19">
        <v>1</v>
      </c>
      <c r="U1080" s="19">
        <v>0</v>
      </c>
      <c r="V1080" s="19" t="s">
        <v>41</v>
      </c>
      <c r="W1080" s="19">
        <v>1</v>
      </c>
      <c r="Y1080" s="19" t="s">
        <v>110</v>
      </c>
      <c r="Z1080" s="19">
        <v>16.664999999999999</v>
      </c>
      <c r="AA1080" s="19">
        <v>16.664999999999999</v>
      </c>
    </row>
    <row r="1081" spans="1:27" x14ac:dyDescent="0.25">
      <c r="A1081" s="19" t="s">
        <v>2489</v>
      </c>
      <c r="B1081" s="19" t="s">
        <v>2462</v>
      </c>
      <c r="C1081" s="19" t="s">
        <v>2463</v>
      </c>
      <c r="D1081" s="19">
        <v>0</v>
      </c>
      <c r="E1081" s="19" t="s">
        <v>90</v>
      </c>
      <c r="F1081" s="19" t="s">
        <v>91</v>
      </c>
      <c r="G1081" s="19" t="s">
        <v>32</v>
      </c>
      <c r="H1081" s="19" t="s">
        <v>87</v>
      </c>
      <c r="I1081" s="19" t="s">
        <v>88</v>
      </c>
      <c r="J1081" s="19">
        <v>33</v>
      </c>
      <c r="K1081" s="19">
        <v>3.2500000000000001E-2</v>
      </c>
      <c r="L1081" s="19" t="s">
        <v>35</v>
      </c>
      <c r="N1081" s="19">
        <v>0</v>
      </c>
      <c r="O1081" s="19">
        <v>0</v>
      </c>
      <c r="P1081" s="19">
        <v>0</v>
      </c>
      <c r="Q1081" s="19">
        <v>0</v>
      </c>
      <c r="R1081" s="19" t="s">
        <v>870</v>
      </c>
      <c r="S1081" s="19">
        <v>0.9</v>
      </c>
      <c r="T1081" s="19">
        <v>1</v>
      </c>
      <c r="U1081" s="19">
        <v>0</v>
      </c>
      <c r="V1081" s="19" t="s">
        <v>36</v>
      </c>
      <c r="W1081" s="19">
        <v>0</v>
      </c>
      <c r="Z1081" s="19">
        <v>0</v>
      </c>
      <c r="AA1081" s="19">
        <v>0</v>
      </c>
    </row>
    <row r="1082" spans="1:27" x14ac:dyDescent="0.25">
      <c r="A1082" s="19" t="s">
        <v>2490</v>
      </c>
      <c r="B1082" s="19" t="s">
        <v>2462</v>
      </c>
      <c r="C1082" s="19" t="s">
        <v>2463</v>
      </c>
      <c r="D1082" s="19">
        <v>0</v>
      </c>
      <c r="E1082" s="19" t="s">
        <v>96</v>
      </c>
      <c r="F1082" s="19" t="s">
        <v>97</v>
      </c>
      <c r="G1082" s="19" t="s">
        <v>32</v>
      </c>
      <c r="H1082" s="19" t="s">
        <v>87</v>
      </c>
      <c r="I1082" s="19" t="s">
        <v>88</v>
      </c>
      <c r="J1082" s="19">
        <v>36</v>
      </c>
      <c r="K1082" s="19">
        <v>3.2500000000000001E-2</v>
      </c>
      <c r="L1082" s="19" t="s">
        <v>35</v>
      </c>
      <c r="N1082" s="19">
        <v>0</v>
      </c>
      <c r="O1082" s="19">
        <v>0</v>
      </c>
      <c r="P1082" s="19">
        <v>0</v>
      </c>
      <c r="Q1082" s="19">
        <v>0</v>
      </c>
      <c r="R1082" s="19" t="s">
        <v>870</v>
      </c>
      <c r="S1082" s="19">
        <v>0.9</v>
      </c>
      <c r="T1082" s="19">
        <v>1</v>
      </c>
      <c r="U1082" s="19">
        <v>0</v>
      </c>
      <c r="V1082" s="19" t="s">
        <v>36</v>
      </c>
      <c r="W1082" s="19">
        <v>0</v>
      </c>
      <c r="Z1082" s="19">
        <v>0</v>
      </c>
      <c r="AA1082" s="19">
        <v>0</v>
      </c>
    </row>
    <row r="1083" spans="1:27" x14ac:dyDescent="0.25">
      <c r="A1083" s="19" t="s">
        <v>2491</v>
      </c>
      <c r="B1083" s="19" t="s">
        <v>2462</v>
      </c>
      <c r="C1083" s="19" t="s">
        <v>2463</v>
      </c>
      <c r="D1083" s="19">
        <v>0</v>
      </c>
      <c r="E1083" s="19" t="s">
        <v>105</v>
      </c>
      <c r="F1083" s="19" t="s">
        <v>106</v>
      </c>
      <c r="G1083" s="19" t="s">
        <v>32</v>
      </c>
      <c r="H1083" s="19" t="s">
        <v>101</v>
      </c>
      <c r="I1083" s="19" t="s">
        <v>102</v>
      </c>
      <c r="J1083" s="19">
        <v>38</v>
      </c>
      <c r="K1083" s="19">
        <v>4.3299999999999998E-2</v>
      </c>
      <c r="L1083" s="19" t="s">
        <v>35</v>
      </c>
      <c r="M1083" s="19" t="s">
        <v>103</v>
      </c>
      <c r="N1083" s="19">
        <v>0</v>
      </c>
      <c r="O1083" s="19">
        <v>0</v>
      </c>
      <c r="P1083" s="19">
        <v>0</v>
      </c>
      <c r="Q1083" s="19">
        <v>0</v>
      </c>
      <c r="R1083" s="19" t="s">
        <v>870</v>
      </c>
      <c r="S1083" s="19">
        <v>0.9</v>
      </c>
      <c r="T1083" s="19">
        <v>1</v>
      </c>
      <c r="U1083" s="19">
        <v>0</v>
      </c>
      <c r="V1083" s="19" t="s">
        <v>36</v>
      </c>
      <c r="W1083" s="19">
        <v>0</v>
      </c>
      <c r="Y1083" s="19" t="s">
        <v>103</v>
      </c>
      <c r="Z1083" s="19">
        <v>50</v>
      </c>
      <c r="AA1083" s="19">
        <v>0</v>
      </c>
    </row>
    <row r="1084" spans="1:27" x14ac:dyDescent="0.25">
      <c r="A1084" s="19" t="s">
        <v>2492</v>
      </c>
      <c r="B1084" s="19" t="s">
        <v>2462</v>
      </c>
      <c r="C1084" s="19" t="s">
        <v>2463</v>
      </c>
      <c r="D1084" s="19">
        <v>0</v>
      </c>
      <c r="E1084" s="19" t="s">
        <v>108</v>
      </c>
      <c r="F1084" s="19" t="s">
        <v>109</v>
      </c>
      <c r="G1084" s="19" t="s">
        <v>32</v>
      </c>
      <c r="H1084" s="19" t="s">
        <v>101</v>
      </c>
      <c r="I1084" s="19" t="s">
        <v>102</v>
      </c>
      <c r="J1084" s="19">
        <v>37</v>
      </c>
      <c r="K1084" s="19">
        <v>4.3299999999999998E-2</v>
      </c>
      <c r="L1084" s="19" t="s">
        <v>35</v>
      </c>
      <c r="M1084" s="19" t="s">
        <v>110</v>
      </c>
      <c r="N1084" s="19">
        <v>0</v>
      </c>
      <c r="O1084" s="19">
        <v>0</v>
      </c>
      <c r="P1084" s="19">
        <v>0</v>
      </c>
      <c r="Q1084" s="19">
        <v>0</v>
      </c>
      <c r="R1084" s="19" t="s">
        <v>870</v>
      </c>
      <c r="S1084" s="19">
        <v>0.9</v>
      </c>
      <c r="T1084" s="19">
        <v>1</v>
      </c>
      <c r="U1084" s="19">
        <v>0</v>
      </c>
      <c r="V1084" s="19" t="s">
        <v>80</v>
      </c>
      <c r="W1084" s="19">
        <v>0</v>
      </c>
      <c r="Y1084" s="19" t="s">
        <v>110</v>
      </c>
      <c r="Z1084" s="19">
        <v>16.664999999999999</v>
      </c>
      <c r="AA1084" s="19">
        <v>0</v>
      </c>
    </row>
    <row r="1085" spans="1:27" x14ac:dyDescent="0.25">
      <c r="A1085" s="19" t="s">
        <v>2493</v>
      </c>
      <c r="B1085" s="19" t="s">
        <v>2462</v>
      </c>
      <c r="C1085" s="19" t="s">
        <v>2463</v>
      </c>
      <c r="D1085" s="19">
        <v>0</v>
      </c>
      <c r="E1085" s="19" t="s">
        <v>112</v>
      </c>
      <c r="F1085" s="19" t="s">
        <v>113</v>
      </c>
      <c r="G1085" s="19" t="s">
        <v>32</v>
      </c>
      <c r="H1085" s="19" t="s">
        <v>114</v>
      </c>
      <c r="I1085" s="19" t="s">
        <v>115</v>
      </c>
      <c r="J1085" s="19">
        <v>30</v>
      </c>
      <c r="K1085" s="19">
        <v>2.1700000000000001E-2</v>
      </c>
      <c r="L1085" s="19" t="s">
        <v>35</v>
      </c>
      <c r="M1085" s="19" t="s">
        <v>103</v>
      </c>
      <c r="N1085" s="19">
        <v>0</v>
      </c>
      <c r="O1085" s="19">
        <v>0</v>
      </c>
      <c r="P1085" s="19">
        <v>0</v>
      </c>
      <c r="Q1085" s="19">
        <v>0</v>
      </c>
      <c r="R1085" s="19" t="s">
        <v>870</v>
      </c>
      <c r="S1085" s="19">
        <v>0.9</v>
      </c>
      <c r="T1085" s="19">
        <v>1</v>
      </c>
      <c r="U1085" s="19">
        <v>0</v>
      </c>
      <c r="V1085" s="19" t="s">
        <v>36</v>
      </c>
      <c r="W1085" s="19">
        <v>0</v>
      </c>
      <c r="Y1085" s="19" t="s">
        <v>103</v>
      </c>
      <c r="Z1085" s="19">
        <v>50</v>
      </c>
      <c r="AA1085" s="19">
        <v>0</v>
      </c>
    </row>
    <row r="1086" spans="1:27" x14ac:dyDescent="0.25">
      <c r="A1086" s="19" t="s">
        <v>2494</v>
      </c>
      <c r="B1086" s="19" t="s">
        <v>2462</v>
      </c>
      <c r="C1086" s="19" t="s">
        <v>2463</v>
      </c>
      <c r="D1086" s="19">
        <v>0</v>
      </c>
      <c r="E1086" s="19" t="s">
        <v>117</v>
      </c>
      <c r="F1086" s="19" t="s">
        <v>118</v>
      </c>
      <c r="G1086" s="19" t="s">
        <v>32</v>
      </c>
      <c r="H1086" s="19" t="s">
        <v>114</v>
      </c>
      <c r="I1086" s="19" t="s">
        <v>115</v>
      </c>
      <c r="J1086" s="19">
        <v>31</v>
      </c>
      <c r="K1086" s="19">
        <v>2.1700000000000001E-2</v>
      </c>
      <c r="L1086" s="19" t="s">
        <v>35</v>
      </c>
      <c r="M1086" s="19" t="s">
        <v>103</v>
      </c>
      <c r="N1086" s="19">
        <v>0</v>
      </c>
      <c r="O1086" s="19">
        <v>0</v>
      </c>
      <c r="P1086" s="19">
        <v>0</v>
      </c>
      <c r="Q1086" s="19">
        <v>0</v>
      </c>
      <c r="R1086" s="19" t="s">
        <v>870</v>
      </c>
      <c r="S1086" s="19">
        <v>0.9</v>
      </c>
      <c r="T1086" s="19">
        <v>1</v>
      </c>
      <c r="U1086" s="19">
        <v>0</v>
      </c>
      <c r="V1086" s="19" t="s">
        <v>36</v>
      </c>
      <c r="W1086" s="19">
        <v>0</v>
      </c>
      <c r="Y1086" s="19" t="s">
        <v>103</v>
      </c>
      <c r="Z1086" s="19">
        <v>50</v>
      </c>
      <c r="AA1086" s="19">
        <v>0</v>
      </c>
    </row>
    <row r="1087" spans="1:27" x14ac:dyDescent="0.25">
      <c r="A1087" s="19" t="s">
        <v>2495</v>
      </c>
      <c r="B1087" s="19" t="s">
        <v>2462</v>
      </c>
      <c r="C1087" s="19" t="s">
        <v>2463</v>
      </c>
      <c r="D1087" s="19">
        <v>1.085</v>
      </c>
      <c r="E1087" s="19" t="s">
        <v>120</v>
      </c>
      <c r="F1087" s="19" t="s">
        <v>121</v>
      </c>
      <c r="G1087" s="19" t="s">
        <v>32</v>
      </c>
      <c r="H1087" s="19" t="s">
        <v>114</v>
      </c>
      <c r="I1087" s="19" t="s">
        <v>115</v>
      </c>
      <c r="J1087" s="19">
        <v>28</v>
      </c>
      <c r="K1087" s="19">
        <v>2.1700000000000001E-2</v>
      </c>
      <c r="L1087" s="19" t="s">
        <v>35</v>
      </c>
      <c r="M1087" s="19" t="s">
        <v>103</v>
      </c>
      <c r="N1087" s="19">
        <v>50</v>
      </c>
      <c r="O1087" s="19">
        <v>50</v>
      </c>
      <c r="P1087" s="19">
        <v>0</v>
      </c>
      <c r="Q1087" s="19">
        <v>0</v>
      </c>
      <c r="R1087" s="19" t="s">
        <v>870</v>
      </c>
      <c r="S1087" s="19">
        <v>0.9</v>
      </c>
      <c r="T1087" s="19">
        <v>1</v>
      </c>
      <c r="U1087" s="19">
        <v>0</v>
      </c>
      <c r="V1087" s="19" t="s">
        <v>41</v>
      </c>
      <c r="W1087" s="19">
        <v>1</v>
      </c>
      <c r="Y1087" s="19" t="s">
        <v>103</v>
      </c>
      <c r="Z1087" s="19">
        <v>50</v>
      </c>
      <c r="AA1087" s="19">
        <v>50</v>
      </c>
    </row>
    <row r="1088" spans="1:27" x14ac:dyDescent="0.25">
      <c r="A1088" s="19" t="s">
        <v>2496</v>
      </c>
      <c r="B1088" s="19" t="s">
        <v>2462</v>
      </c>
      <c r="C1088" s="19" t="s">
        <v>2463</v>
      </c>
      <c r="D1088" s="19">
        <v>0</v>
      </c>
      <c r="E1088" s="19" t="s">
        <v>123</v>
      </c>
      <c r="F1088" s="19" t="s">
        <v>124</v>
      </c>
      <c r="G1088" s="19" t="s">
        <v>32</v>
      </c>
      <c r="H1088" s="19" t="s">
        <v>114</v>
      </c>
      <c r="I1088" s="19" t="s">
        <v>115</v>
      </c>
      <c r="J1088" s="19">
        <v>27</v>
      </c>
      <c r="K1088" s="19">
        <v>2.1700000000000001E-2</v>
      </c>
      <c r="L1088" s="19" t="s">
        <v>35</v>
      </c>
      <c r="M1088" s="19" t="s">
        <v>103</v>
      </c>
      <c r="N1088" s="19">
        <v>0</v>
      </c>
      <c r="O1088" s="19">
        <v>0</v>
      </c>
      <c r="P1088" s="19">
        <v>0</v>
      </c>
      <c r="Q1088" s="19">
        <v>0</v>
      </c>
      <c r="R1088" s="19" t="s">
        <v>870</v>
      </c>
      <c r="S1088" s="19">
        <v>0.9</v>
      </c>
      <c r="T1088" s="19">
        <v>1</v>
      </c>
      <c r="U1088" s="19">
        <v>0</v>
      </c>
      <c r="V1088" s="19" t="s">
        <v>36</v>
      </c>
      <c r="W1088" s="19">
        <v>0</v>
      </c>
      <c r="Y1088" s="19" t="s">
        <v>103</v>
      </c>
      <c r="Z1088" s="19">
        <v>50</v>
      </c>
      <c r="AA1088" s="19">
        <v>0</v>
      </c>
    </row>
    <row r="1089" spans="1:27" x14ac:dyDescent="0.25">
      <c r="A1089" s="19" t="s">
        <v>2497</v>
      </c>
      <c r="B1089" s="19" t="s">
        <v>2462</v>
      </c>
      <c r="C1089" s="19" t="s">
        <v>2463</v>
      </c>
      <c r="D1089" s="19">
        <v>0</v>
      </c>
      <c r="E1089" s="19" t="s">
        <v>126</v>
      </c>
      <c r="F1089" s="19" t="s">
        <v>127</v>
      </c>
      <c r="G1089" s="19" t="s">
        <v>32</v>
      </c>
      <c r="H1089" s="19" t="s">
        <v>114</v>
      </c>
      <c r="I1089" s="19" t="s">
        <v>115</v>
      </c>
      <c r="J1089" s="19">
        <v>29</v>
      </c>
      <c r="K1089" s="19">
        <v>2.1700000000000001E-2</v>
      </c>
      <c r="L1089" s="19" t="s">
        <v>35</v>
      </c>
      <c r="M1089" s="19" t="s">
        <v>103</v>
      </c>
      <c r="N1089" s="19">
        <v>0</v>
      </c>
      <c r="O1089" s="19">
        <v>0</v>
      </c>
      <c r="P1089" s="19">
        <v>0</v>
      </c>
      <c r="Q1089" s="19">
        <v>0</v>
      </c>
      <c r="R1089" s="19" t="s">
        <v>870</v>
      </c>
      <c r="S1089" s="19">
        <v>0.9</v>
      </c>
      <c r="T1089" s="19">
        <v>1</v>
      </c>
      <c r="U1089" s="19">
        <v>0</v>
      </c>
      <c r="V1089" s="19" t="s">
        <v>80</v>
      </c>
      <c r="W1089" s="19">
        <v>0</v>
      </c>
      <c r="Y1089" s="19" t="s">
        <v>103</v>
      </c>
      <c r="Z1089" s="19">
        <v>50</v>
      </c>
      <c r="AA1089" s="19">
        <v>0</v>
      </c>
    </row>
    <row r="1090" spans="1:27" x14ac:dyDescent="0.25">
      <c r="A1090" s="19" t="s">
        <v>2498</v>
      </c>
      <c r="B1090" s="19" t="s">
        <v>2462</v>
      </c>
      <c r="C1090" s="19" t="s">
        <v>2463</v>
      </c>
      <c r="D1090" s="19">
        <v>1.085</v>
      </c>
      <c r="E1090" s="19" t="s">
        <v>129</v>
      </c>
      <c r="F1090" s="19" t="s">
        <v>130</v>
      </c>
      <c r="G1090" s="19" t="s">
        <v>32</v>
      </c>
      <c r="H1090" s="19" t="s">
        <v>114</v>
      </c>
      <c r="I1090" s="19" t="s">
        <v>115</v>
      </c>
      <c r="J1090" s="19">
        <v>32</v>
      </c>
      <c r="K1090" s="19">
        <v>2.1700000000000001E-2</v>
      </c>
      <c r="L1090" s="19" t="s">
        <v>35</v>
      </c>
      <c r="M1090" s="19" t="s">
        <v>103</v>
      </c>
      <c r="N1090" s="19">
        <v>50</v>
      </c>
      <c r="O1090" s="19">
        <v>50</v>
      </c>
      <c r="P1090" s="19">
        <v>0</v>
      </c>
      <c r="Q1090" s="19">
        <v>0</v>
      </c>
      <c r="R1090" s="19" t="s">
        <v>870</v>
      </c>
      <c r="S1090" s="19">
        <v>0.9</v>
      </c>
      <c r="T1090" s="19">
        <v>1</v>
      </c>
      <c r="U1090" s="19">
        <v>0</v>
      </c>
      <c r="V1090" s="19" t="s">
        <v>41</v>
      </c>
      <c r="W1090" s="19">
        <v>1</v>
      </c>
      <c r="Y1090" s="19" t="s">
        <v>103</v>
      </c>
      <c r="Z1090" s="19">
        <v>50</v>
      </c>
      <c r="AA1090" s="19">
        <v>50</v>
      </c>
    </row>
    <row r="1091" spans="1:27" x14ac:dyDescent="0.25">
      <c r="A1091" s="19" t="s">
        <v>2499</v>
      </c>
      <c r="B1091" s="19" t="s">
        <v>2462</v>
      </c>
      <c r="C1091" s="19" t="s">
        <v>2463</v>
      </c>
      <c r="D1091" s="19">
        <v>1.1098889999999999</v>
      </c>
      <c r="E1091" s="19" t="s">
        <v>161</v>
      </c>
      <c r="F1091" s="19" t="s">
        <v>162</v>
      </c>
      <c r="G1091" s="19" t="s">
        <v>163</v>
      </c>
      <c r="I1091" s="19" t="s">
        <v>164</v>
      </c>
      <c r="J1091" s="19">
        <v>1</v>
      </c>
      <c r="K1091" s="19">
        <v>3.3300000000000003E-2</v>
      </c>
      <c r="L1091" s="19" t="s">
        <v>35</v>
      </c>
      <c r="M1091" s="19" t="s">
        <v>165</v>
      </c>
      <c r="N1091" s="19">
        <v>33.33</v>
      </c>
      <c r="O1091" s="19">
        <v>33.33</v>
      </c>
      <c r="P1091" s="19">
        <v>0</v>
      </c>
      <c r="Q1091" s="19">
        <v>0</v>
      </c>
      <c r="R1091" s="19" t="s">
        <v>870</v>
      </c>
      <c r="S1091" s="19">
        <v>0.9</v>
      </c>
      <c r="T1091" s="19">
        <v>1</v>
      </c>
      <c r="U1091" s="19">
        <v>0</v>
      </c>
      <c r="W1091" s="19">
        <v>0</v>
      </c>
      <c r="X1091" s="19">
        <v>33.33</v>
      </c>
      <c r="Z1091" s="19">
        <v>0</v>
      </c>
      <c r="AA1091" s="19">
        <v>33.33</v>
      </c>
    </row>
    <row r="1092" spans="1:27" x14ac:dyDescent="0.25">
      <c r="A1092" s="19" t="s">
        <v>2500</v>
      </c>
      <c r="B1092" s="19" t="s">
        <v>2462</v>
      </c>
      <c r="C1092" s="19" t="s">
        <v>2463</v>
      </c>
      <c r="D1092" s="19">
        <v>1.1098889999999999</v>
      </c>
      <c r="E1092" s="19" t="s">
        <v>167</v>
      </c>
      <c r="F1092" s="19" t="s">
        <v>168</v>
      </c>
      <c r="G1092" s="19" t="s">
        <v>163</v>
      </c>
      <c r="I1092" s="19" t="s">
        <v>164</v>
      </c>
      <c r="J1092" s="19">
        <v>3</v>
      </c>
      <c r="K1092" s="19">
        <v>3.3300000000000003E-2</v>
      </c>
      <c r="L1092" s="19" t="s">
        <v>35</v>
      </c>
      <c r="M1092" s="19" t="s">
        <v>165</v>
      </c>
      <c r="N1092" s="19">
        <v>33.33</v>
      </c>
      <c r="O1092" s="19">
        <v>33.33</v>
      </c>
      <c r="P1092" s="19">
        <v>0</v>
      </c>
      <c r="Q1092" s="19">
        <v>0</v>
      </c>
      <c r="R1092" s="19" t="s">
        <v>870</v>
      </c>
      <c r="S1092" s="19">
        <v>0.9</v>
      </c>
      <c r="T1092" s="19">
        <v>1</v>
      </c>
      <c r="U1092" s="19">
        <v>0</v>
      </c>
      <c r="W1092" s="19">
        <v>0</v>
      </c>
      <c r="X1092" s="19">
        <v>33.33</v>
      </c>
      <c r="Z1092" s="19">
        <v>0</v>
      </c>
      <c r="AA1092" s="19">
        <v>33.33</v>
      </c>
    </row>
    <row r="1093" spans="1:27" x14ac:dyDescent="0.25">
      <c r="A1093" s="19" t="s">
        <v>2501</v>
      </c>
      <c r="B1093" s="19" t="s">
        <v>2462</v>
      </c>
      <c r="C1093" s="19" t="s">
        <v>2463</v>
      </c>
      <c r="D1093" s="19">
        <v>0.93240000000000001</v>
      </c>
      <c r="E1093" s="19" t="s">
        <v>170</v>
      </c>
      <c r="F1093" s="19" t="s">
        <v>171</v>
      </c>
      <c r="G1093" s="19" t="s">
        <v>163</v>
      </c>
      <c r="I1093" s="19" t="s">
        <v>164</v>
      </c>
      <c r="J1093" s="19">
        <v>2</v>
      </c>
      <c r="K1093" s="19">
        <v>3.3300000000000003E-2</v>
      </c>
      <c r="L1093" s="19" t="s">
        <v>35</v>
      </c>
      <c r="M1093" s="19" t="s">
        <v>165</v>
      </c>
      <c r="N1093" s="19">
        <v>28</v>
      </c>
      <c r="O1093" s="19">
        <v>28</v>
      </c>
      <c r="P1093" s="19">
        <v>0</v>
      </c>
      <c r="Q1093" s="19">
        <v>0</v>
      </c>
      <c r="R1093" s="19" t="s">
        <v>870</v>
      </c>
      <c r="S1093" s="19">
        <v>0.9</v>
      </c>
      <c r="T1093" s="19">
        <v>1</v>
      </c>
      <c r="U1093" s="19">
        <v>0</v>
      </c>
      <c r="W1093" s="19">
        <v>0</v>
      </c>
      <c r="X1093" s="19">
        <v>28</v>
      </c>
      <c r="Z1093" s="19">
        <v>0</v>
      </c>
      <c r="AA1093" s="19">
        <v>28</v>
      </c>
    </row>
    <row r="1094" spans="1:27" x14ac:dyDescent="0.25">
      <c r="A1094" s="19" t="s">
        <v>1277</v>
      </c>
      <c r="B1094" s="19" t="s">
        <v>1278</v>
      </c>
      <c r="C1094" s="19" t="s">
        <v>1279</v>
      </c>
      <c r="D1094" s="19">
        <v>1.62871938146146</v>
      </c>
      <c r="E1094" s="19" t="s">
        <v>30</v>
      </c>
      <c r="F1094" s="19" t="s">
        <v>31</v>
      </c>
      <c r="G1094" s="19" t="s">
        <v>32</v>
      </c>
      <c r="H1094" s="19" t="s">
        <v>33</v>
      </c>
      <c r="I1094" s="19" t="s">
        <v>34</v>
      </c>
      <c r="J1094" s="19">
        <v>17</v>
      </c>
      <c r="K1094" s="19">
        <v>1.6299999999999999E-2</v>
      </c>
      <c r="L1094" s="19" t="s">
        <v>541</v>
      </c>
      <c r="M1094" s="19" t="s">
        <v>541</v>
      </c>
      <c r="N1094" s="19">
        <v>50</v>
      </c>
      <c r="O1094" s="19">
        <v>99.921434445499997</v>
      </c>
      <c r="P1094" s="19">
        <v>99.842868890999995</v>
      </c>
      <c r="Q1094" s="19">
        <v>49.921434445499997</v>
      </c>
      <c r="R1094" s="19" t="s">
        <v>1075</v>
      </c>
      <c r="S1094" s="19">
        <v>1</v>
      </c>
      <c r="T1094" s="19">
        <v>1</v>
      </c>
      <c r="U1094" s="19">
        <v>49.921434445499997</v>
      </c>
      <c r="AA1094" s="19">
        <v>0</v>
      </c>
    </row>
    <row r="1095" spans="1:27" x14ac:dyDescent="0.25">
      <c r="A1095" s="19" t="s">
        <v>1280</v>
      </c>
      <c r="B1095" s="19" t="s">
        <v>1278</v>
      </c>
      <c r="C1095" s="19" t="s">
        <v>1279</v>
      </c>
      <c r="D1095" s="19">
        <v>1.63</v>
      </c>
      <c r="E1095" s="19" t="s">
        <v>38</v>
      </c>
      <c r="F1095" s="19" t="s">
        <v>39</v>
      </c>
      <c r="G1095" s="19" t="s">
        <v>32</v>
      </c>
      <c r="H1095" s="19" t="s">
        <v>33</v>
      </c>
      <c r="I1095" s="19" t="s">
        <v>34</v>
      </c>
      <c r="J1095" s="19">
        <v>19</v>
      </c>
      <c r="K1095" s="19">
        <v>1.6299999999999999E-2</v>
      </c>
      <c r="L1095" s="19" t="s">
        <v>541</v>
      </c>
      <c r="M1095" s="19" t="s">
        <v>541</v>
      </c>
      <c r="N1095" s="19">
        <v>50</v>
      </c>
      <c r="O1095" s="19">
        <v>100</v>
      </c>
      <c r="P1095" s="19">
        <v>100</v>
      </c>
      <c r="Q1095" s="19">
        <v>50</v>
      </c>
      <c r="R1095" s="19" t="s">
        <v>1075</v>
      </c>
      <c r="S1095" s="19">
        <v>1</v>
      </c>
      <c r="T1095" s="19">
        <v>1</v>
      </c>
      <c r="U1095" s="19">
        <v>50</v>
      </c>
      <c r="AA1095" s="19">
        <v>0</v>
      </c>
    </row>
    <row r="1096" spans="1:27" x14ac:dyDescent="0.25">
      <c r="A1096" s="19" t="s">
        <v>1281</v>
      </c>
      <c r="B1096" s="19" t="s">
        <v>1278</v>
      </c>
      <c r="C1096" s="19" t="s">
        <v>1279</v>
      </c>
      <c r="D1096" s="19">
        <v>1.28538196076127</v>
      </c>
      <c r="E1096" s="19" t="s">
        <v>46</v>
      </c>
      <c r="F1096" s="19" t="s">
        <v>47</v>
      </c>
      <c r="G1096" s="19" t="s">
        <v>32</v>
      </c>
      <c r="H1096" s="19" t="s">
        <v>33</v>
      </c>
      <c r="I1096" s="19" t="s">
        <v>34</v>
      </c>
      <c r="J1096" s="19">
        <v>15</v>
      </c>
      <c r="K1096" s="19">
        <v>1.6299999999999999E-2</v>
      </c>
      <c r="L1096" s="19" t="s">
        <v>541</v>
      </c>
      <c r="M1096" s="19" t="s">
        <v>541</v>
      </c>
      <c r="N1096" s="19">
        <v>50</v>
      </c>
      <c r="O1096" s="19">
        <v>78.857789003799994</v>
      </c>
      <c r="P1096" s="19">
        <v>57.7155780075</v>
      </c>
      <c r="Q1096" s="19">
        <v>28.857789003800001</v>
      </c>
      <c r="R1096" s="19" t="s">
        <v>1075</v>
      </c>
      <c r="S1096" s="19">
        <v>1</v>
      </c>
      <c r="T1096" s="19">
        <v>1</v>
      </c>
      <c r="U1096" s="19">
        <v>28.857789003800001</v>
      </c>
      <c r="AA1096" s="19">
        <v>0</v>
      </c>
    </row>
    <row r="1097" spans="1:27" x14ac:dyDescent="0.25">
      <c r="A1097" s="19" t="s">
        <v>1282</v>
      </c>
      <c r="B1097" s="19" t="s">
        <v>1278</v>
      </c>
      <c r="C1097" s="19" t="s">
        <v>1279</v>
      </c>
      <c r="D1097" s="19">
        <v>1.6266009750939801</v>
      </c>
      <c r="E1097" s="19" t="s">
        <v>49</v>
      </c>
      <c r="F1097" s="19" t="s">
        <v>50</v>
      </c>
      <c r="G1097" s="19" t="s">
        <v>32</v>
      </c>
      <c r="H1097" s="19" t="s">
        <v>33</v>
      </c>
      <c r="I1097" s="19" t="s">
        <v>34</v>
      </c>
      <c r="J1097" s="19">
        <v>12</v>
      </c>
      <c r="K1097" s="19">
        <v>1.6299999999999999E-2</v>
      </c>
      <c r="L1097" s="19" t="s">
        <v>541</v>
      </c>
      <c r="M1097" s="19" t="s">
        <v>541</v>
      </c>
      <c r="N1097" s="19">
        <v>50</v>
      </c>
      <c r="O1097" s="19">
        <v>99.791470864700003</v>
      </c>
      <c r="P1097" s="19">
        <v>99.582941729300003</v>
      </c>
      <c r="Q1097" s="19">
        <v>49.791470864700003</v>
      </c>
      <c r="R1097" s="19" t="s">
        <v>1075</v>
      </c>
      <c r="S1097" s="19">
        <v>1</v>
      </c>
      <c r="T1097" s="19">
        <v>1</v>
      </c>
      <c r="U1097" s="19">
        <v>49.791470864700003</v>
      </c>
      <c r="AA1097" s="19">
        <v>0</v>
      </c>
    </row>
    <row r="1098" spans="1:27" x14ac:dyDescent="0.25">
      <c r="A1098" s="19" t="s">
        <v>1283</v>
      </c>
      <c r="B1098" s="19" t="s">
        <v>1278</v>
      </c>
      <c r="C1098" s="19" t="s">
        <v>1279</v>
      </c>
      <c r="D1098" s="19">
        <v>1.60655390918702</v>
      </c>
      <c r="E1098" s="19" t="s">
        <v>55</v>
      </c>
      <c r="F1098" s="19" t="s">
        <v>56</v>
      </c>
      <c r="G1098" s="19" t="s">
        <v>32</v>
      </c>
      <c r="H1098" s="19" t="s">
        <v>33</v>
      </c>
      <c r="I1098" s="19" t="s">
        <v>34</v>
      </c>
      <c r="J1098" s="19">
        <v>14</v>
      </c>
      <c r="K1098" s="19">
        <v>1.6299999999999999E-2</v>
      </c>
      <c r="L1098" s="19" t="s">
        <v>541</v>
      </c>
      <c r="M1098" s="19" t="s">
        <v>541</v>
      </c>
      <c r="N1098" s="19">
        <v>50</v>
      </c>
      <c r="O1098" s="19">
        <v>98.561589520699997</v>
      </c>
      <c r="P1098" s="19">
        <v>97.123179041399993</v>
      </c>
      <c r="Q1098" s="19">
        <v>48.561589520699997</v>
      </c>
      <c r="R1098" s="19" t="s">
        <v>1075</v>
      </c>
      <c r="S1098" s="19">
        <v>1</v>
      </c>
      <c r="T1098" s="19">
        <v>1</v>
      </c>
      <c r="U1098" s="19">
        <v>48.561589520699997</v>
      </c>
      <c r="AA1098" s="19">
        <v>0</v>
      </c>
    </row>
    <row r="1099" spans="1:27" x14ac:dyDescent="0.25">
      <c r="A1099" s="19" t="s">
        <v>1284</v>
      </c>
      <c r="B1099" s="19" t="s">
        <v>1278</v>
      </c>
      <c r="C1099" s="19" t="s">
        <v>1279</v>
      </c>
      <c r="D1099" s="19">
        <v>1.63</v>
      </c>
      <c r="E1099" s="19" t="s">
        <v>58</v>
      </c>
      <c r="F1099" s="19" t="s">
        <v>59</v>
      </c>
      <c r="G1099" s="19" t="s">
        <v>32</v>
      </c>
      <c r="H1099" s="19" t="s">
        <v>33</v>
      </c>
      <c r="I1099" s="19" t="s">
        <v>34</v>
      </c>
      <c r="J1099" s="19">
        <v>13</v>
      </c>
      <c r="K1099" s="19">
        <v>1.6299999999999999E-2</v>
      </c>
      <c r="L1099" s="19" t="s">
        <v>541</v>
      </c>
      <c r="M1099" s="19" t="s">
        <v>541</v>
      </c>
      <c r="N1099" s="19">
        <v>50</v>
      </c>
      <c r="O1099" s="19">
        <v>100</v>
      </c>
      <c r="P1099" s="19">
        <v>100</v>
      </c>
      <c r="Q1099" s="19">
        <v>50</v>
      </c>
      <c r="R1099" s="19" t="s">
        <v>1075</v>
      </c>
      <c r="S1099" s="19">
        <v>1</v>
      </c>
      <c r="T1099" s="19">
        <v>1</v>
      </c>
      <c r="U1099" s="19">
        <v>50</v>
      </c>
      <c r="AA1099" s="19">
        <v>0</v>
      </c>
    </row>
    <row r="1100" spans="1:27" x14ac:dyDescent="0.25">
      <c r="A1100" s="19" t="s">
        <v>1285</v>
      </c>
      <c r="B1100" s="19" t="s">
        <v>1278</v>
      </c>
      <c r="C1100" s="19" t="s">
        <v>1279</v>
      </c>
      <c r="D1100" s="19">
        <v>1.39499999999999</v>
      </c>
      <c r="E1100" s="19" t="s">
        <v>72</v>
      </c>
      <c r="F1100" s="19" t="s">
        <v>73</v>
      </c>
      <c r="G1100" s="19" t="s">
        <v>32</v>
      </c>
      <c r="H1100" s="19" t="s">
        <v>63</v>
      </c>
      <c r="I1100" s="19" t="s">
        <v>64</v>
      </c>
      <c r="J1100" s="19">
        <v>21</v>
      </c>
      <c r="K1100" s="19">
        <v>1.8599999999999998E-2</v>
      </c>
      <c r="L1100" s="19" t="s">
        <v>541</v>
      </c>
      <c r="M1100" s="19" t="s">
        <v>541</v>
      </c>
      <c r="N1100" s="19">
        <v>50</v>
      </c>
      <c r="O1100" s="19">
        <v>75</v>
      </c>
      <c r="P1100" s="19">
        <v>50</v>
      </c>
      <c r="Q1100" s="19">
        <v>25</v>
      </c>
      <c r="R1100" s="19" t="s">
        <v>1075</v>
      </c>
      <c r="S1100" s="19">
        <v>1</v>
      </c>
      <c r="T1100" s="19">
        <v>1</v>
      </c>
      <c r="U1100" s="19">
        <v>25</v>
      </c>
      <c r="AA1100" s="19">
        <v>0</v>
      </c>
    </row>
    <row r="1101" spans="1:27" x14ac:dyDescent="0.25">
      <c r="A1101" s="19" t="s">
        <v>1286</v>
      </c>
      <c r="B1101" s="19" t="s">
        <v>1278</v>
      </c>
      <c r="C1101" s="19" t="s">
        <v>1279</v>
      </c>
      <c r="D1101" s="19">
        <v>1.81163989074248</v>
      </c>
      <c r="E1101" s="19" t="s">
        <v>75</v>
      </c>
      <c r="F1101" s="19" t="s">
        <v>76</v>
      </c>
      <c r="G1101" s="19" t="s">
        <v>32</v>
      </c>
      <c r="H1101" s="19" t="s">
        <v>63</v>
      </c>
      <c r="I1101" s="19" t="s">
        <v>64</v>
      </c>
      <c r="J1101" s="19">
        <v>24</v>
      </c>
      <c r="K1101" s="19">
        <v>1.8599999999999998E-2</v>
      </c>
      <c r="L1101" s="19" t="s">
        <v>541</v>
      </c>
      <c r="M1101" s="19" t="s">
        <v>541</v>
      </c>
      <c r="N1101" s="19">
        <v>50</v>
      </c>
      <c r="O1101" s="19">
        <v>97.399994125899994</v>
      </c>
      <c r="P1101" s="19">
        <v>94.799988251900004</v>
      </c>
      <c r="Q1101" s="19">
        <v>47.399994125900001</v>
      </c>
      <c r="R1101" s="19" t="s">
        <v>1075</v>
      </c>
      <c r="S1101" s="19">
        <v>1</v>
      </c>
      <c r="T1101" s="19">
        <v>1</v>
      </c>
      <c r="U1101" s="19">
        <v>47.399994125900001</v>
      </c>
      <c r="AA1101" s="19">
        <v>0</v>
      </c>
    </row>
    <row r="1102" spans="1:27" x14ac:dyDescent="0.25">
      <c r="A1102" s="19" t="s">
        <v>1288</v>
      </c>
      <c r="B1102" s="19" t="s">
        <v>1278</v>
      </c>
      <c r="C1102" s="19" t="s">
        <v>1279</v>
      </c>
      <c r="D1102" s="19">
        <v>1.8599999999999901</v>
      </c>
      <c r="E1102" s="19" t="s">
        <v>82</v>
      </c>
      <c r="F1102" s="19" t="s">
        <v>83</v>
      </c>
      <c r="G1102" s="19" t="s">
        <v>32</v>
      </c>
      <c r="H1102" s="19" t="s">
        <v>63</v>
      </c>
      <c r="I1102" s="19" t="s">
        <v>64</v>
      </c>
      <c r="J1102" s="19">
        <v>26</v>
      </c>
      <c r="K1102" s="19">
        <v>1.8599999999999998E-2</v>
      </c>
      <c r="L1102" s="19" t="s">
        <v>541</v>
      </c>
      <c r="M1102" s="19" t="s">
        <v>541</v>
      </c>
      <c r="N1102" s="19">
        <v>50</v>
      </c>
      <c r="O1102" s="19">
        <v>100</v>
      </c>
      <c r="P1102" s="19">
        <v>100</v>
      </c>
      <c r="Q1102" s="19">
        <v>50</v>
      </c>
      <c r="R1102" s="19" t="s">
        <v>1075</v>
      </c>
      <c r="S1102" s="19">
        <v>1</v>
      </c>
      <c r="T1102" s="19">
        <v>1</v>
      </c>
      <c r="U1102" s="19">
        <v>50</v>
      </c>
      <c r="AA1102" s="19">
        <v>0</v>
      </c>
    </row>
    <row r="1103" spans="1:27" x14ac:dyDescent="0.25">
      <c r="A1103" s="19" t="s">
        <v>1289</v>
      </c>
      <c r="B1103" s="19" t="s">
        <v>1278</v>
      </c>
      <c r="C1103" s="19" t="s">
        <v>1279</v>
      </c>
      <c r="D1103" s="19">
        <v>3.25</v>
      </c>
      <c r="E1103" s="19" t="s">
        <v>85</v>
      </c>
      <c r="F1103" s="19" t="s">
        <v>86</v>
      </c>
      <c r="G1103" s="19" t="s">
        <v>32</v>
      </c>
      <c r="H1103" s="19" t="s">
        <v>87</v>
      </c>
      <c r="I1103" s="19" t="s">
        <v>88</v>
      </c>
      <c r="J1103" s="19">
        <v>35</v>
      </c>
      <c r="K1103" s="19">
        <v>3.2500000000000001E-2</v>
      </c>
      <c r="L1103" s="19" t="s">
        <v>541</v>
      </c>
      <c r="M1103" s="19" t="s">
        <v>541</v>
      </c>
      <c r="N1103" s="19">
        <v>50</v>
      </c>
      <c r="O1103" s="19">
        <v>100</v>
      </c>
      <c r="P1103" s="19">
        <v>100</v>
      </c>
      <c r="Q1103" s="19">
        <v>50</v>
      </c>
      <c r="R1103" s="19" t="s">
        <v>1075</v>
      </c>
      <c r="S1103" s="19">
        <v>1</v>
      </c>
      <c r="T1103" s="19">
        <v>1</v>
      </c>
      <c r="U1103" s="19">
        <v>50</v>
      </c>
      <c r="AA1103" s="19">
        <v>0</v>
      </c>
    </row>
    <row r="1104" spans="1:27" x14ac:dyDescent="0.25">
      <c r="A1104" s="19" t="s">
        <v>1290</v>
      </c>
      <c r="B1104" s="19" t="s">
        <v>1278</v>
      </c>
      <c r="C1104" s="19" t="s">
        <v>1279</v>
      </c>
      <c r="D1104" s="19">
        <v>3.25</v>
      </c>
      <c r="E1104" s="19" t="s">
        <v>93</v>
      </c>
      <c r="F1104" s="19" t="s">
        <v>94</v>
      </c>
      <c r="G1104" s="19" t="s">
        <v>32</v>
      </c>
      <c r="H1104" s="19" t="s">
        <v>87</v>
      </c>
      <c r="I1104" s="19" t="s">
        <v>88</v>
      </c>
      <c r="J1104" s="19">
        <v>34</v>
      </c>
      <c r="K1104" s="19">
        <v>3.2500000000000001E-2</v>
      </c>
      <c r="L1104" s="19" t="s">
        <v>541</v>
      </c>
      <c r="M1104" s="19" t="s">
        <v>541</v>
      </c>
      <c r="N1104" s="19">
        <v>50</v>
      </c>
      <c r="O1104" s="19">
        <v>100</v>
      </c>
      <c r="P1104" s="19">
        <v>100</v>
      </c>
      <c r="Q1104" s="19">
        <v>50</v>
      </c>
      <c r="R1104" s="19" t="s">
        <v>1075</v>
      </c>
      <c r="S1104" s="19">
        <v>1</v>
      </c>
      <c r="T1104" s="19">
        <v>1</v>
      </c>
      <c r="U1104" s="19">
        <v>50</v>
      </c>
      <c r="AA1104" s="19">
        <v>0</v>
      </c>
    </row>
    <row r="1105" spans="1:27" x14ac:dyDescent="0.25">
      <c r="A1105" s="19" t="s">
        <v>1291</v>
      </c>
      <c r="B1105" s="19" t="s">
        <v>1278</v>
      </c>
      <c r="C1105" s="19" t="s">
        <v>1279</v>
      </c>
      <c r="D1105" s="19">
        <v>0</v>
      </c>
      <c r="E1105" s="19" t="s">
        <v>43</v>
      </c>
      <c r="F1105" s="19" t="s">
        <v>44</v>
      </c>
      <c r="G1105" s="19" t="s">
        <v>32</v>
      </c>
      <c r="H1105" s="19" t="s">
        <v>33</v>
      </c>
      <c r="I1105" s="19" t="s">
        <v>34</v>
      </c>
      <c r="J1105" s="19">
        <v>18</v>
      </c>
      <c r="K1105" s="19">
        <v>1.6299999999999999E-2</v>
      </c>
      <c r="L1105" s="19" t="s">
        <v>35</v>
      </c>
      <c r="M1105" s="19" t="s">
        <v>40</v>
      </c>
      <c r="N1105" s="19">
        <v>0</v>
      </c>
      <c r="O1105" s="19">
        <v>0</v>
      </c>
      <c r="P1105" s="19">
        <v>0</v>
      </c>
      <c r="Q1105" s="19">
        <v>0</v>
      </c>
      <c r="R1105" s="19" t="s">
        <v>1075</v>
      </c>
      <c r="S1105" s="19">
        <v>1</v>
      </c>
      <c r="T1105" s="19">
        <v>1</v>
      </c>
      <c r="U1105" s="19">
        <v>0</v>
      </c>
      <c r="V1105" s="19" t="s">
        <v>80</v>
      </c>
      <c r="W1105" s="19">
        <v>0</v>
      </c>
      <c r="Y1105" s="19" t="s">
        <v>40</v>
      </c>
      <c r="Z1105" s="19">
        <v>33.33</v>
      </c>
      <c r="AA1105" s="19">
        <v>0</v>
      </c>
    </row>
    <row r="1106" spans="1:27" x14ac:dyDescent="0.25">
      <c r="A1106" s="19" t="s">
        <v>1292</v>
      </c>
      <c r="B1106" s="19" t="s">
        <v>1278</v>
      </c>
      <c r="C1106" s="19" t="s">
        <v>1279</v>
      </c>
      <c r="D1106" s="19">
        <v>0.81499999999999995</v>
      </c>
      <c r="E1106" s="19" t="s">
        <v>52</v>
      </c>
      <c r="F1106" s="19" t="s">
        <v>53</v>
      </c>
      <c r="G1106" s="19" t="s">
        <v>32</v>
      </c>
      <c r="H1106" s="19" t="s">
        <v>33</v>
      </c>
      <c r="I1106" s="19" t="s">
        <v>34</v>
      </c>
      <c r="J1106" s="19">
        <v>16</v>
      </c>
      <c r="K1106" s="19">
        <v>1.6299999999999999E-2</v>
      </c>
      <c r="L1106" s="19" t="s">
        <v>35</v>
      </c>
      <c r="M1106" s="19" t="s">
        <v>142</v>
      </c>
      <c r="N1106" s="19">
        <v>50</v>
      </c>
      <c r="O1106" s="19">
        <v>50</v>
      </c>
      <c r="P1106" s="19">
        <v>0</v>
      </c>
      <c r="Q1106" s="19">
        <v>0</v>
      </c>
      <c r="R1106" s="19" t="s">
        <v>1075</v>
      </c>
      <c r="S1106" s="19">
        <v>1</v>
      </c>
      <c r="T1106" s="19">
        <v>1</v>
      </c>
      <c r="U1106" s="19">
        <v>0</v>
      </c>
      <c r="V1106" s="19" t="s">
        <v>41</v>
      </c>
      <c r="W1106" s="19">
        <v>1</v>
      </c>
      <c r="Y1106" s="19" t="s">
        <v>142</v>
      </c>
      <c r="Z1106" s="19">
        <v>50</v>
      </c>
      <c r="AA1106" s="19">
        <v>50</v>
      </c>
    </row>
    <row r="1107" spans="1:27" x14ac:dyDescent="0.25">
      <c r="A1107" s="19" t="s">
        <v>1293</v>
      </c>
      <c r="B1107" s="19" t="s">
        <v>1278</v>
      </c>
      <c r="C1107" s="19" t="s">
        <v>1279</v>
      </c>
      <c r="D1107" s="19">
        <v>0.92999999999999905</v>
      </c>
      <c r="E1107" s="19" t="s">
        <v>61</v>
      </c>
      <c r="F1107" s="19" t="s">
        <v>62</v>
      </c>
      <c r="G1107" s="19" t="s">
        <v>32</v>
      </c>
      <c r="H1107" s="19" t="s">
        <v>63</v>
      </c>
      <c r="I1107" s="19" t="s">
        <v>64</v>
      </c>
      <c r="J1107" s="19">
        <v>22</v>
      </c>
      <c r="K1107" s="19">
        <v>1.8599999999999998E-2</v>
      </c>
      <c r="L1107" s="19" t="s">
        <v>35</v>
      </c>
      <c r="M1107" s="19" t="s">
        <v>142</v>
      </c>
      <c r="N1107" s="19">
        <v>50</v>
      </c>
      <c r="O1107" s="19">
        <v>50</v>
      </c>
      <c r="P1107" s="19">
        <v>0</v>
      </c>
      <c r="Q1107" s="19">
        <v>0</v>
      </c>
      <c r="R1107" s="19" t="s">
        <v>1075</v>
      </c>
      <c r="S1107" s="19">
        <v>1</v>
      </c>
      <c r="T1107" s="19">
        <v>1</v>
      </c>
      <c r="U1107" s="19">
        <v>0</v>
      </c>
      <c r="V1107" s="19" t="s">
        <v>41</v>
      </c>
      <c r="W1107" s="19">
        <v>1</v>
      </c>
      <c r="Y1107" s="19" t="s">
        <v>142</v>
      </c>
      <c r="Z1107" s="19">
        <v>50</v>
      </c>
      <c r="AA1107" s="19">
        <v>50</v>
      </c>
    </row>
    <row r="1108" spans="1:27" x14ac:dyDescent="0.25">
      <c r="A1108" s="19" t="s">
        <v>1294</v>
      </c>
      <c r="B1108" s="19" t="s">
        <v>1278</v>
      </c>
      <c r="C1108" s="19" t="s">
        <v>1279</v>
      </c>
      <c r="D1108" s="19">
        <v>0</v>
      </c>
      <c r="E1108" s="19" t="s">
        <v>66</v>
      </c>
      <c r="F1108" s="19" t="s">
        <v>67</v>
      </c>
      <c r="G1108" s="19" t="s">
        <v>32</v>
      </c>
      <c r="H1108" s="19" t="s">
        <v>63</v>
      </c>
      <c r="I1108" s="19" t="s">
        <v>64</v>
      </c>
      <c r="J1108" s="19">
        <v>20</v>
      </c>
      <c r="K1108" s="19">
        <v>1.8599999999999998E-2</v>
      </c>
      <c r="L1108" s="19" t="s">
        <v>35</v>
      </c>
      <c r="N1108" s="19">
        <v>0</v>
      </c>
      <c r="O1108" s="19">
        <v>0</v>
      </c>
      <c r="P1108" s="19">
        <v>0</v>
      </c>
      <c r="Q1108" s="19">
        <v>0</v>
      </c>
      <c r="R1108" s="19" t="s">
        <v>1075</v>
      </c>
      <c r="S1108" s="19">
        <v>1</v>
      </c>
      <c r="T1108" s="19">
        <v>1</v>
      </c>
      <c r="U1108" s="19">
        <v>0</v>
      </c>
      <c r="V1108" s="19" t="s">
        <v>36</v>
      </c>
      <c r="W1108" s="19">
        <v>0</v>
      </c>
      <c r="Z1108" s="19">
        <v>0</v>
      </c>
      <c r="AA1108" s="19">
        <v>0</v>
      </c>
    </row>
    <row r="1109" spans="1:27" x14ac:dyDescent="0.25">
      <c r="A1109" s="19" t="s">
        <v>1295</v>
      </c>
      <c r="B1109" s="19" t="s">
        <v>1278</v>
      </c>
      <c r="C1109" s="19" t="s">
        <v>1279</v>
      </c>
      <c r="D1109" s="19">
        <v>0.92999999999999905</v>
      </c>
      <c r="E1109" s="19" t="s">
        <v>69</v>
      </c>
      <c r="F1109" s="19" t="s">
        <v>70</v>
      </c>
      <c r="G1109" s="19" t="s">
        <v>32</v>
      </c>
      <c r="H1109" s="19" t="s">
        <v>63</v>
      </c>
      <c r="I1109" s="19" t="s">
        <v>64</v>
      </c>
      <c r="J1109" s="19">
        <v>23</v>
      </c>
      <c r="K1109" s="19">
        <v>1.8599999999999998E-2</v>
      </c>
      <c r="L1109" s="19" t="s">
        <v>35</v>
      </c>
      <c r="M1109" s="19" t="s">
        <v>142</v>
      </c>
      <c r="N1109" s="19">
        <v>50</v>
      </c>
      <c r="O1109" s="19">
        <v>50</v>
      </c>
      <c r="P1109" s="19">
        <v>0</v>
      </c>
      <c r="Q1109" s="19">
        <v>0</v>
      </c>
      <c r="R1109" s="19" t="s">
        <v>1075</v>
      </c>
      <c r="S1109" s="19">
        <v>1</v>
      </c>
      <c r="T1109" s="19">
        <v>1</v>
      </c>
      <c r="U1109" s="19">
        <v>0</v>
      </c>
      <c r="V1109" s="19" t="s">
        <v>41</v>
      </c>
      <c r="W1109" s="19">
        <v>1</v>
      </c>
      <c r="Y1109" s="19" t="s">
        <v>142</v>
      </c>
      <c r="Z1109" s="19">
        <v>50</v>
      </c>
      <c r="AA1109" s="19">
        <v>50</v>
      </c>
    </row>
    <row r="1110" spans="1:27" x14ac:dyDescent="0.25">
      <c r="A1110" s="19" t="s">
        <v>1287</v>
      </c>
      <c r="B1110" s="19" t="s">
        <v>1278</v>
      </c>
      <c r="C1110" s="19" t="s">
        <v>1279</v>
      </c>
      <c r="D1110" s="19">
        <v>0.61993799999999899</v>
      </c>
      <c r="E1110" s="19" t="s">
        <v>78</v>
      </c>
      <c r="F1110" s="19" t="s">
        <v>79</v>
      </c>
      <c r="G1110" s="19" t="s">
        <v>32</v>
      </c>
      <c r="H1110" s="19" t="s">
        <v>63</v>
      </c>
      <c r="I1110" s="19" t="s">
        <v>64</v>
      </c>
      <c r="J1110" s="19">
        <v>25</v>
      </c>
      <c r="K1110" s="19">
        <v>1.8599999999999998E-2</v>
      </c>
      <c r="L1110" s="19" t="s">
        <v>35</v>
      </c>
      <c r="M1110" s="19" t="s">
        <v>40</v>
      </c>
      <c r="N1110" s="19">
        <v>33.33</v>
      </c>
      <c r="O1110" s="19">
        <v>33.33</v>
      </c>
      <c r="P1110" s="19">
        <v>0</v>
      </c>
      <c r="Q1110" s="19">
        <v>0</v>
      </c>
      <c r="R1110" s="19" t="s">
        <v>1075</v>
      </c>
      <c r="S1110" s="19">
        <v>1</v>
      </c>
      <c r="T1110" s="19">
        <v>1</v>
      </c>
      <c r="U1110" s="19">
        <v>0</v>
      </c>
      <c r="V1110" s="19" t="s">
        <v>41</v>
      </c>
      <c r="W1110" s="19">
        <v>1</v>
      </c>
      <c r="Y1110" s="19" t="s">
        <v>40</v>
      </c>
      <c r="Z1110" s="19">
        <v>33.33</v>
      </c>
      <c r="AA1110" s="19">
        <v>33.33</v>
      </c>
    </row>
    <row r="1111" spans="1:27" x14ac:dyDescent="0.25">
      <c r="A1111" s="19" t="s">
        <v>1296</v>
      </c>
      <c r="B1111" s="19" t="s">
        <v>1278</v>
      </c>
      <c r="C1111" s="19" t="s">
        <v>1279</v>
      </c>
      <c r="D1111" s="19">
        <v>0</v>
      </c>
      <c r="E1111" s="19" t="s">
        <v>90</v>
      </c>
      <c r="F1111" s="19" t="s">
        <v>91</v>
      </c>
      <c r="G1111" s="19" t="s">
        <v>32</v>
      </c>
      <c r="H1111" s="19" t="s">
        <v>87</v>
      </c>
      <c r="I1111" s="19" t="s">
        <v>88</v>
      </c>
      <c r="J1111" s="19">
        <v>33</v>
      </c>
      <c r="K1111" s="19">
        <v>3.2500000000000001E-2</v>
      </c>
      <c r="L1111" s="19" t="s">
        <v>35</v>
      </c>
      <c r="M1111" s="19" t="s">
        <v>110</v>
      </c>
      <c r="N1111" s="19">
        <v>0</v>
      </c>
      <c r="O1111" s="19">
        <v>0</v>
      </c>
      <c r="P1111" s="19">
        <v>0</v>
      </c>
      <c r="Q1111" s="19">
        <v>0</v>
      </c>
      <c r="R1111" s="19" t="s">
        <v>1075</v>
      </c>
      <c r="S1111" s="19">
        <v>1</v>
      </c>
      <c r="T1111" s="19">
        <v>1</v>
      </c>
      <c r="U1111" s="19">
        <v>0</v>
      </c>
      <c r="V1111" s="19" t="s">
        <v>36</v>
      </c>
      <c r="W1111" s="19">
        <v>0</v>
      </c>
      <c r="Y1111" s="19" t="s">
        <v>110</v>
      </c>
      <c r="Z1111" s="19">
        <v>16.664999999999999</v>
      </c>
      <c r="AA1111" s="19">
        <v>0</v>
      </c>
    </row>
    <row r="1112" spans="1:27" x14ac:dyDescent="0.25">
      <c r="A1112" s="19" t="s">
        <v>1297</v>
      </c>
      <c r="B1112" s="19" t="s">
        <v>1278</v>
      </c>
      <c r="C1112" s="19" t="s">
        <v>1279</v>
      </c>
      <c r="D1112" s="19">
        <v>0</v>
      </c>
      <c r="E1112" s="19" t="s">
        <v>96</v>
      </c>
      <c r="F1112" s="19" t="s">
        <v>97</v>
      </c>
      <c r="G1112" s="19" t="s">
        <v>32</v>
      </c>
      <c r="H1112" s="19" t="s">
        <v>87</v>
      </c>
      <c r="I1112" s="19" t="s">
        <v>88</v>
      </c>
      <c r="J1112" s="19">
        <v>36</v>
      </c>
      <c r="K1112" s="19">
        <v>3.2500000000000001E-2</v>
      </c>
      <c r="L1112" s="19" t="s">
        <v>35</v>
      </c>
      <c r="N1112" s="19">
        <v>0</v>
      </c>
      <c r="O1112" s="19">
        <v>0</v>
      </c>
      <c r="P1112" s="19">
        <v>0</v>
      </c>
      <c r="Q1112" s="19">
        <v>0</v>
      </c>
      <c r="R1112" s="19" t="s">
        <v>1075</v>
      </c>
      <c r="S1112" s="19">
        <v>1</v>
      </c>
      <c r="T1112" s="19">
        <v>1</v>
      </c>
      <c r="U1112" s="19">
        <v>0</v>
      </c>
      <c r="V1112" s="19" t="s">
        <v>36</v>
      </c>
      <c r="W1112" s="19">
        <v>0</v>
      </c>
      <c r="Z1112" s="19">
        <v>0</v>
      </c>
      <c r="AA1112" s="19">
        <v>0</v>
      </c>
    </row>
    <row r="1113" spans="1:27" x14ac:dyDescent="0.25">
      <c r="A1113" s="19" t="s">
        <v>1298</v>
      </c>
      <c r="B1113" s="19" t="s">
        <v>1278</v>
      </c>
      <c r="C1113" s="19" t="s">
        <v>1279</v>
      </c>
      <c r="D1113" s="19">
        <v>0</v>
      </c>
      <c r="E1113" s="19" t="s">
        <v>99</v>
      </c>
      <c r="F1113" s="19" t="s">
        <v>100</v>
      </c>
      <c r="G1113" s="19" t="s">
        <v>32</v>
      </c>
      <c r="H1113" s="19" t="s">
        <v>101</v>
      </c>
      <c r="I1113" s="19" t="s">
        <v>102</v>
      </c>
      <c r="J1113" s="19">
        <v>39</v>
      </c>
      <c r="K1113" s="19">
        <v>4.3299999999999998E-2</v>
      </c>
      <c r="L1113" s="19" t="s">
        <v>35</v>
      </c>
      <c r="M1113" s="19" t="s">
        <v>103</v>
      </c>
      <c r="N1113" s="19">
        <v>0</v>
      </c>
      <c r="O1113" s="19">
        <v>0</v>
      </c>
      <c r="P1113" s="19">
        <v>0</v>
      </c>
      <c r="Q1113" s="19">
        <v>0</v>
      </c>
      <c r="R1113" s="19" t="s">
        <v>1075</v>
      </c>
      <c r="S1113" s="19">
        <v>1</v>
      </c>
      <c r="T1113" s="19">
        <v>1</v>
      </c>
      <c r="U1113" s="19">
        <v>0</v>
      </c>
      <c r="V1113" s="19" t="s">
        <v>36</v>
      </c>
      <c r="W1113" s="19">
        <v>0</v>
      </c>
      <c r="Y1113" s="19" t="s">
        <v>103</v>
      </c>
      <c r="Z1113" s="19">
        <v>50</v>
      </c>
      <c r="AA1113" s="19">
        <v>0</v>
      </c>
    </row>
    <row r="1114" spans="1:27" x14ac:dyDescent="0.25">
      <c r="A1114" s="19" t="s">
        <v>1299</v>
      </c>
      <c r="B1114" s="19" t="s">
        <v>1278</v>
      </c>
      <c r="C1114" s="19" t="s">
        <v>1279</v>
      </c>
      <c r="D1114" s="19">
        <v>0</v>
      </c>
      <c r="E1114" s="19" t="s">
        <v>105</v>
      </c>
      <c r="F1114" s="19" t="s">
        <v>106</v>
      </c>
      <c r="G1114" s="19" t="s">
        <v>32</v>
      </c>
      <c r="H1114" s="19" t="s">
        <v>101</v>
      </c>
      <c r="I1114" s="19" t="s">
        <v>102</v>
      </c>
      <c r="J1114" s="19">
        <v>38</v>
      </c>
      <c r="K1114" s="19">
        <v>4.3299999999999998E-2</v>
      </c>
      <c r="L1114" s="19" t="s">
        <v>35</v>
      </c>
      <c r="M1114" s="19" t="s">
        <v>103</v>
      </c>
      <c r="N1114" s="19">
        <v>0</v>
      </c>
      <c r="O1114" s="19">
        <v>0</v>
      </c>
      <c r="P1114" s="19">
        <v>0</v>
      </c>
      <c r="Q1114" s="19">
        <v>0</v>
      </c>
      <c r="R1114" s="19" t="s">
        <v>1075</v>
      </c>
      <c r="S1114" s="19">
        <v>1</v>
      </c>
      <c r="T1114" s="19">
        <v>1</v>
      </c>
      <c r="U1114" s="19">
        <v>0</v>
      </c>
      <c r="V1114" s="19" t="s">
        <v>80</v>
      </c>
      <c r="W1114" s="19">
        <v>0</v>
      </c>
      <c r="Y1114" s="19" t="s">
        <v>103</v>
      </c>
      <c r="Z1114" s="19">
        <v>50</v>
      </c>
      <c r="AA1114" s="19">
        <v>0</v>
      </c>
    </row>
    <row r="1115" spans="1:27" x14ac:dyDescent="0.25">
      <c r="A1115" s="19" t="s">
        <v>1300</v>
      </c>
      <c r="B1115" s="19" t="s">
        <v>1278</v>
      </c>
      <c r="C1115" s="19" t="s">
        <v>1279</v>
      </c>
      <c r="D1115" s="19">
        <v>0</v>
      </c>
      <c r="E1115" s="19" t="s">
        <v>108</v>
      </c>
      <c r="F1115" s="19" t="s">
        <v>109</v>
      </c>
      <c r="G1115" s="19" t="s">
        <v>32</v>
      </c>
      <c r="H1115" s="19" t="s">
        <v>101</v>
      </c>
      <c r="I1115" s="19" t="s">
        <v>102</v>
      </c>
      <c r="J1115" s="19">
        <v>37</v>
      </c>
      <c r="K1115" s="19">
        <v>4.3299999999999998E-2</v>
      </c>
      <c r="L1115" s="19" t="s">
        <v>35</v>
      </c>
      <c r="M1115" s="19" t="s">
        <v>110</v>
      </c>
      <c r="N1115" s="19">
        <v>0</v>
      </c>
      <c r="O1115" s="19">
        <v>0</v>
      </c>
      <c r="P1115" s="19">
        <v>0</v>
      </c>
      <c r="Q1115" s="19">
        <v>0</v>
      </c>
      <c r="R1115" s="19" t="s">
        <v>1075</v>
      </c>
      <c r="S1115" s="19">
        <v>1</v>
      </c>
      <c r="T1115" s="19">
        <v>1</v>
      </c>
      <c r="U1115" s="19">
        <v>0</v>
      </c>
      <c r="V1115" s="19" t="s">
        <v>80</v>
      </c>
      <c r="W1115" s="19">
        <v>0</v>
      </c>
      <c r="Y1115" s="19" t="s">
        <v>110</v>
      </c>
      <c r="Z1115" s="19">
        <v>16.664999999999999</v>
      </c>
      <c r="AA1115" s="19">
        <v>0</v>
      </c>
    </row>
    <row r="1116" spans="1:27" x14ac:dyDescent="0.25">
      <c r="A1116" s="19" t="s">
        <v>1301</v>
      </c>
      <c r="B1116" s="19" t="s">
        <v>1278</v>
      </c>
      <c r="C1116" s="19" t="s">
        <v>1279</v>
      </c>
      <c r="D1116" s="19">
        <v>0</v>
      </c>
      <c r="E1116" s="19" t="s">
        <v>112</v>
      </c>
      <c r="F1116" s="19" t="s">
        <v>113</v>
      </c>
      <c r="G1116" s="19" t="s">
        <v>32</v>
      </c>
      <c r="H1116" s="19" t="s">
        <v>114</v>
      </c>
      <c r="I1116" s="19" t="s">
        <v>115</v>
      </c>
      <c r="J1116" s="19">
        <v>30</v>
      </c>
      <c r="K1116" s="19">
        <v>2.1700000000000001E-2</v>
      </c>
      <c r="L1116" s="19" t="s">
        <v>35</v>
      </c>
      <c r="M1116" s="19" t="s">
        <v>103</v>
      </c>
      <c r="N1116" s="19">
        <v>0</v>
      </c>
      <c r="O1116" s="19">
        <v>0</v>
      </c>
      <c r="P1116" s="19">
        <v>0</v>
      </c>
      <c r="Q1116" s="19">
        <v>0</v>
      </c>
      <c r="R1116" s="19" t="s">
        <v>1075</v>
      </c>
      <c r="S1116" s="19">
        <v>1</v>
      </c>
      <c r="T1116" s="19">
        <v>1</v>
      </c>
      <c r="U1116" s="19">
        <v>0</v>
      </c>
      <c r="V1116" s="19" t="s">
        <v>36</v>
      </c>
      <c r="W1116" s="19">
        <v>0</v>
      </c>
      <c r="Y1116" s="19" t="s">
        <v>103</v>
      </c>
      <c r="Z1116" s="19">
        <v>50</v>
      </c>
      <c r="AA1116" s="19">
        <v>0</v>
      </c>
    </row>
    <row r="1117" spans="1:27" x14ac:dyDescent="0.25">
      <c r="A1117" s="19" t="s">
        <v>1302</v>
      </c>
      <c r="B1117" s="19" t="s">
        <v>1278</v>
      </c>
      <c r="C1117" s="19" t="s">
        <v>1279</v>
      </c>
      <c r="D1117" s="19">
        <v>1.085</v>
      </c>
      <c r="E1117" s="19" t="s">
        <v>117</v>
      </c>
      <c r="F1117" s="19" t="s">
        <v>118</v>
      </c>
      <c r="G1117" s="19" t="s">
        <v>32</v>
      </c>
      <c r="H1117" s="19" t="s">
        <v>114</v>
      </c>
      <c r="I1117" s="19" t="s">
        <v>115</v>
      </c>
      <c r="J1117" s="19">
        <v>31</v>
      </c>
      <c r="K1117" s="19">
        <v>2.1700000000000001E-2</v>
      </c>
      <c r="L1117" s="19" t="s">
        <v>35</v>
      </c>
      <c r="M1117" s="19" t="s">
        <v>103</v>
      </c>
      <c r="N1117" s="19">
        <v>50</v>
      </c>
      <c r="O1117" s="19">
        <v>50</v>
      </c>
      <c r="P1117" s="19">
        <v>0</v>
      </c>
      <c r="Q1117" s="19">
        <v>0</v>
      </c>
      <c r="R1117" s="19" t="s">
        <v>1075</v>
      </c>
      <c r="S1117" s="19">
        <v>1</v>
      </c>
      <c r="T1117" s="19">
        <v>1</v>
      </c>
      <c r="U1117" s="19">
        <v>0</v>
      </c>
      <c r="V1117" s="19" t="s">
        <v>41</v>
      </c>
      <c r="W1117" s="19">
        <v>1</v>
      </c>
      <c r="Y1117" s="19" t="s">
        <v>103</v>
      </c>
      <c r="Z1117" s="19">
        <v>50</v>
      </c>
      <c r="AA1117" s="19">
        <v>50</v>
      </c>
    </row>
    <row r="1118" spans="1:27" x14ac:dyDescent="0.25">
      <c r="A1118" s="19" t="s">
        <v>1303</v>
      </c>
      <c r="B1118" s="19" t="s">
        <v>1278</v>
      </c>
      <c r="C1118" s="19" t="s">
        <v>1279</v>
      </c>
      <c r="D1118" s="19">
        <v>1.085</v>
      </c>
      <c r="E1118" s="19" t="s">
        <v>120</v>
      </c>
      <c r="F1118" s="19" t="s">
        <v>121</v>
      </c>
      <c r="G1118" s="19" t="s">
        <v>32</v>
      </c>
      <c r="H1118" s="19" t="s">
        <v>114</v>
      </c>
      <c r="I1118" s="19" t="s">
        <v>115</v>
      </c>
      <c r="J1118" s="19">
        <v>28</v>
      </c>
      <c r="K1118" s="19">
        <v>2.1700000000000001E-2</v>
      </c>
      <c r="L1118" s="19" t="s">
        <v>35</v>
      </c>
      <c r="M1118" s="19" t="s">
        <v>103</v>
      </c>
      <c r="N1118" s="19">
        <v>50</v>
      </c>
      <c r="O1118" s="19">
        <v>50</v>
      </c>
      <c r="P1118" s="19">
        <v>0</v>
      </c>
      <c r="Q1118" s="19">
        <v>0</v>
      </c>
      <c r="R1118" s="19" t="s">
        <v>1075</v>
      </c>
      <c r="S1118" s="19">
        <v>1</v>
      </c>
      <c r="T1118" s="19">
        <v>1</v>
      </c>
      <c r="U1118" s="19">
        <v>0</v>
      </c>
      <c r="V1118" s="19" t="s">
        <v>41</v>
      </c>
      <c r="W1118" s="19">
        <v>1</v>
      </c>
      <c r="Y1118" s="19" t="s">
        <v>103</v>
      </c>
      <c r="Z1118" s="19">
        <v>50</v>
      </c>
      <c r="AA1118" s="19">
        <v>50</v>
      </c>
    </row>
    <row r="1119" spans="1:27" x14ac:dyDescent="0.25">
      <c r="A1119" s="19" t="s">
        <v>1304</v>
      </c>
      <c r="B1119" s="19" t="s">
        <v>1278</v>
      </c>
      <c r="C1119" s="19" t="s">
        <v>1279</v>
      </c>
      <c r="D1119" s="19">
        <v>0</v>
      </c>
      <c r="E1119" s="19" t="s">
        <v>123</v>
      </c>
      <c r="F1119" s="19" t="s">
        <v>124</v>
      </c>
      <c r="G1119" s="19" t="s">
        <v>32</v>
      </c>
      <c r="H1119" s="19" t="s">
        <v>114</v>
      </c>
      <c r="I1119" s="19" t="s">
        <v>115</v>
      </c>
      <c r="J1119" s="19">
        <v>27</v>
      </c>
      <c r="K1119" s="19">
        <v>2.1700000000000001E-2</v>
      </c>
      <c r="L1119" s="19" t="s">
        <v>35</v>
      </c>
      <c r="M1119" s="19" t="s">
        <v>103</v>
      </c>
      <c r="N1119" s="19">
        <v>0</v>
      </c>
      <c r="O1119" s="19">
        <v>0</v>
      </c>
      <c r="P1119" s="19">
        <v>0</v>
      </c>
      <c r="Q1119" s="19">
        <v>0</v>
      </c>
      <c r="R1119" s="19" t="s">
        <v>1075</v>
      </c>
      <c r="S1119" s="19">
        <v>1</v>
      </c>
      <c r="T1119" s="19">
        <v>1</v>
      </c>
      <c r="U1119" s="19">
        <v>0</v>
      </c>
      <c r="V1119" s="19" t="s">
        <v>80</v>
      </c>
      <c r="W1119" s="19">
        <v>0</v>
      </c>
      <c r="Y1119" s="19" t="s">
        <v>103</v>
      </c>
      <c r="Z1119" s="19">
        <v>50</v>
      </c>
      <c r="AA1119" s="19">
        <v>0</v>
      </c>
    </row>
    <row r="1120" spans="1:27" x14ac:dyDescent="0.25">
      <c r="A1120" s="19" t="s">
        <v>1305</v>
      </c>
      <c r="B1120" s="19" t="s">
        <v>1278</v>
      </c>
      <c r="C1120" s="19" t="s">
        <v>1279</v>
      </c>
      <c r="D1120" s="19">
        <v>0</v>
      </c>
      <c r="E1120" s="19" t="s">
        <v>126</v>
      </c>
      <c r="F1120" s="19" t="s">
        <v>127</v>
      </c>
      <c r="G1120" s="19" t="s">
        <v>32</v>
      </c>
      <c r="H1120" s="19" t="s">
        <v>114</v>
      </c>
      <c r="I1120" s="19" t="s">
        <v>115</v>
      </c>
      <c r="J1120" s="19">
        <v>29</v>
      </c>
      <c r="K1120" s="19">
        <v>2.1700000000000001E-2</v>
      </c>
      <c r="L1120" s="19" t="s">
        <v>35</v>
      </c>
      <c r="M1120" s="19" t="s">
        <v>103</v>
      </c>
      <c r="N1120" s="19">
        <v>0</v>
      </c>
      <c r="O1120" s="19">
        <v>0</v>
      </c>
      <c r="P1120" s="19">
        <v>0</v>
      </c>
      <c r="Q1120" s="19">
        <v>0</v>
      </c>
      <c r="R1120" s="19" t="s">
        <v>1075</v>
      </c>
      <c r="S1120" s="19">
        <v>1</v>
      </c>
      <c r="T1120" s="19">
        <v>1</v>
      </c>
      <c r="U1120" s="19">
        <v>0</v>
      </c>
      <c r="V1120" s="19" t="s">
        <v>80</v>
      </c>
      <c r="W1120" s="19">
        <v>0</v>
      </c>
      <c r="Y1120" s="19" t="s">
        <v>103</v>
      </c>
      <c r="Z1120" s="19">
        <v>50</v>
      </c>
      <c r="AA1120" s="19">
        <v>0</v>
      </c>
    </row>
    <row r="1121" spans="1:27" x14ac:dyDescent="0.25">
      <c r="A1121" s="19" t="s">
        <v>1306</v>
      </c>
      <c r="B1121" s="19" t="s">
        <v>1278</v>
      </c>
      <c r="C1121" s="19" t="s">
        <v>1279</v>
      </c>
      <c r="D1121" s="19">
        <v>1.085</v>
      </c>
      <c r="E1121" s="19" t="s">
        <v>129</v>
      </c>
      <c r="F1121" s="19" t="s">
        <v>130</v>
      </c>
      <c r="G1121" s="19" t="s">
        <v>32</v>
      </c>
      <c r="H1121" s="19" t="s">
        <v>114</v>
      </c>
      <c r="I1121" s="19" t="s">
        <v>115</v>
      </c>
      <c r="J1121" s="19">
        <v>32</v>
      </c>
      <c r="K1121" s="19">
        <v>2.1700000000000001E-2</v>
      </c>
      <c r="L1121" s="19" t="s">
        <v>35</v>
      </c>
      <c r="M1121" s="19" t="s">
        <v>103</v>
      </c>
      <c r="N1121" s="19">
        <v>50</v>
      </c>
      <c r="O1121" s="19">
        <v>50</v>
      </c>
      <c r="P1121" s="19">
        <v>0</v>
      </c>
      <c r="Q1121" s="19">
        <v>0</v>
      </c>
      <c r="R1121" s="19" t="s">
        <v>1075</v>
      </c>
      <c r="S1121" s="19">
        <v>1</v>
      </c>
      <c r="T1121" s="19">
        <v>1</v>
      </c>
      <c r="U1121" s="19">
        <v>0</v>
      </c>
      <c r="V1121" s="19" t="s">
        <v>41</v>
      </c>
      <c r="W1121" s="19">
        <v>1</v>
      </c>
      <c r="Y1121" s="19" t="s">
        <v>103</v>
      </c>
      <c r="Z1121" s="19">
        <v>50</v>
      </c>
      <c r="AA1121" s="19">
        <v>50</v>
      </c>
    </row>
    <row r="1122" spans="1:27" x14ac:dyDescent="0.25">
      <c r="A1122" s="19" t="s">
        <v>1307</v>
      </c>
      <c r="B1122" s="19" t="s">
        <v>1278</v>
      </c>
      <c r="C1122" s="19" t="s">
        <v>1279</v>
      </c>
      <c r="D1122" s="19">
        <v>2.085</v>
      </c>
      <c r="E1122" s="19" t="s">
        <v>132</v>
      </c>
      <c r="F1122" s="19" t="s">
        <v>133</v>
      </c>
      <c r="G1122" s="19" t="s">
        <v>134</v>
      </c>
      <c r="H1122" s="19" t="s">
        <v>87</v>
      </c>
      <c r="I1122" s="19" t="s">
        <v>135</v>
      </c>
      <c r="J1122" s="19">
        <v>11</v>
      </c>
      <c r="K1122" s="19">
        <v>4.1700000000000001E-2</v>
      </c>
      <c r="L1122" s="19" t="s">
        <v>35</v>
      </c>
      <c r="M1122" s="19" t="s">
        <v>103</v>
      </c>
      <c r="N1122" s="19">
        <v>50</v>
      </c>
      <c r="O1122" s="19">
        <v>50</v>
      </c>
      <c r="P1122" s="19">
        <v>0</v>
      </c>
      <c r="Q1122" s="19">
        <v>0</v>
      </c>
      <c r="R1122" s="19" t="s">
        <v>1075</v>
      </c>
      <c r="S1122" s="19">
        <v>1</v>
      </c>
      <c r="T1122" s="19">
        <v>1</v>
      </c>
      <c r="U1122" s="19">
        <v>0</v>
      </c>
      <c r="V1122" s="19" t="s">
        <v>41</v>
      </c>
      <c r="W1122" s="19">
        <v>1</v>
      </c>
      <c r="Y1122" s="19" t="s">
        <v>103</v>
      </c>
      <c r="Z1122" s="19">
        <v>50</v>
      </c>
      <c r="AA1122" s="19">
        <v>50</v>
      </c>
    </row>
    <row r="1123" spans="1:27" x14ac:dyDescent="0.25">
      <c r="A1123" s="19" t="s">
        <v>1308</v>
      </c>
      <c r="B1123" s="19" t="s">
        <v>1278</v>
      </c>
      <c r="C1123" s="19" t="s">
        <v>1279</v>
      </c>
      <c r="D1123" s="19">
        <v>0.2316435</v>
      </c>
      <c r="E1123" s="19" t="s">
        <v>137</v>
      </c>
      <c r="F1123" s="19" t="s">
        <v>138</v>
      </c>
      <c r="G1123" s="19" t="s">
        <v>134</v>
      </c>
      <c r="H1123" s="19" t="s">
        <v>87</v>
      </c>
      <c r="I1123" s="19" t="s">
        <v>135</v>
      </c>
      <c r="J1123" s="19">
        <v>9</v>
      </c>
      <c r="K1123" s="19">
        <v>4.1700000000000001E-2</v>
      </c>
      <c r="L1123" s="19" t="s">
        <v>35</v>
      </c>
      <c r="M1123" s="19" t="s">
        <v>110</v>
      </c>
      <c r="N1123" s="19">
        <v>5.5549999999999997</v>
      </c>
      <c r="O1123" s="19">
        <v>5.5549999999999997</v>
      </c>
      <c r="P1123" s="19">
        <v>0</v>
      </c>
      <c r="Q1123" s="19">
        <v>0</v>
      </c>
      <c r="R1123" s="19" t="s">
        <v>1075</v>
      </c>
      <c r="S1123" s="19">
        <v>1</v>
      </c>
      <c r="T1123" s="19">
        <v>1</v>
      </c>
      <c r="U1123" s="19">
        <v>0</v>
      </c>
      <c r="W1123" s="19">
        <v>0</v>
      </c>
      <c r="X1123" s="19">
        <v>1</v>
      </c>
      <c r="Y1123" s="19" t="s">
        <v>110</v>
      </c>
      <c r="Z1123" s="19">
        <v>16.664999999999999</v>
      </c>
      <c r="AA1123" s="19">
        <v>5.5549999999999997</v>
      </c>
    </row>
    <row r="1124" spans="1:27" x14ac:dyDescent="0.25">
      <c r="A1124" s="19" t="s">
        <v>1309</v>
      </c>
      <c r="B1124" s="19" t="s">
        <v>1278</v>
      </c>
      <c r="C1124" s="19" t="s">
        <v>1279</v>
      </c>
      <c r="D1124" s="19">
        <v>0</v>
      </c>
      <c r="E1124" s="19" t="s">
        <v>140</v>
      </c>
      <c r="F1124" s="19" t="s">
        <v>141</v>
      </c>
      <c r="G1124" s="19" t="s">
        <v>134</v>
      </c>
      <c r="H1124" s="19" t="s">
        <v>87</v>
      </c>
      <c r="I1124" s="19" t="s">
        <v>135</v>
      </c>
      <c r="J1124" s="19">
        <v>10</v>
      </c>
      <c r="K1124" s="19">
        <v>4.1700000000000001E-2</v>
      </c>
      <c r="L1124" s="19" t="s">
        <v>35</v>
      </c>
      <c r="N1124" s="19">
        <v>0</v>
      </c>
      <c r="O1124" s="19">
        <v>0</v>
      </c>
      <c r="P1124" s="19">
        <v>0</v>
      </c>
      <c r="Q1124" s="19">
        <v>0</v>
      </c>
      <c r="R1124" s="19" t="s">
        <v>1075</v>
      </c>
      <c r="S1124" s="19">
        <v>1</v>
      </c>
      <c r="T1124" s="19">
        <v>1</v>
      </c>
      <c r="U1124" s="19">
        <v>0</v>
      </c>
      <c r="W1124" s="19">
        <v>0</v>
      </c>
      <c r="X1124" s="19">
        <v>0</v>
      </c>
      <c r="Z1124" s="19">
        <v>0</v>
      </c>
      <c r="AA1124" s="19">
        <v>0</v>
      </c>
    </row>
    <row r="1125" spans="1:27" x14ac:dyDescent="0.25">
      <c r="A1125" s="19" t="s">
        <v>1310</v>
      </c>
      <c r="B1125" s="19" t="s">
        <v>1278</v>
      </c>
      <c r="C1125" s="19" t="s">
        <v>1279</v>
      </c>
      <c r="D1125" s="19">
        <v>1.25</v>
      </c>
      <c r="E1125" s="19" t="s">
        <v>144</v>
      </c>
      <c r="F1125" s="19" t="s">
        <v>145</v>
      </c>
      <c r="G1125" s="19" t="s">
        <v>134</v>
      </c>
      <c r="H1125" s="19" t="s">
        <v>146</v>
      </c>
      <c r="I1125" s="19" t="s">
        <v>147</v>
      </c>
      <c r="J1125" s="19">
        <v>4</v>
      </c>
      <c r="K1125" s="19">
        <v>2.5000000000000001E-2</v>
      </c>
      <c r="L1125" s="19" t="s">
        <v>35</v>
      </c>
      <c r="M1125" s="19" t="s">
        <v>103</v>
      </c>
      <c r="N1125" s="19">
        <v>50</v>
      </c>
      <c r="O1125" s="19">
        <v>50</v>
      </c>
      <c r="P1125" s="19">
        <v>0</v>
      </c>
      <c r="Q1125" s="19">
        <v>0</v>
      </c>
      <c r="R1125" s="19" t="s">
        <v>1075</v>
      </c>
      <c r="S1125" s="19">
        <v>1</v>
      </c>
      <c r="T1125" s="19">
        <v>1</v>
      </c>
      <c r="U1125" s="19">
        <v>0</v>
      </c>
      <c r="V1125" s="19" t="s">
        <v>41</v>
      </c>
      <c r="W1125" s="19">
        <v>1</v>
      </c>
      <c r="Y1125" s="19" t="s">
        <v>103</v>
      </c>
      <c r="Z1125" s="19">
        <v>50</v>
      </c>
      <c r="AA1125" s="19">
        <v>50</v>
      </c>
    </row>
    <row r="1126" spans="1:27" x14ac:dyDescent="0.25">
      <c r="A1126" s="19" t="s">
        <v>1311</v>
      </c>
      <c r="B1126" s="19" t="s">
        <v>1278</v>
      </c>
      <c r="C1126" s="19" t="s">
        <v>1279</v>
      </c>
      <c r="D1126" s="19">
        <v>1.25</v>
      </c>
      <c r="E1126" s="19" t="s">
        <v>149</v>
      </c>
      <c r="F1126" s="19" t="s">
        <v>150</v>
      </c>
      <c r="G1126" s="19" t="s">
        <v>134</v>
      </c>
      <c r="H1126" s="19" t="s">
        <v>146</v>
      </c>
      <c r="I1126" s="19" t="s">
        <v>147</v>
      </c>
      <c r="J1126" s="19">
        <v>5</v>
      </c>
      <c r="K1126" s="19">
        <v>2.5000000000000001E-2</v>
      </c>
      <c r="L1126" s="19" t="s">
        <v>35</v>
      </c>
      <c r="M1126" s="19" t="s">
        <v>103</v>
      </c>
      <c r="N1126" s="19">
        <v>50</v>
      </c>
      <c r="O1126" s="19">
        <v>50</v>
      </c>
      <c r="P1126" s="19">
        <v>0</v>
      </c>
      <c r="Q1126" s="19">
        <v>0</v>
      </c>
      <c r="R1126" s="19" t="s">
        <v>1075</v>
      </c>
      <c r="S1126" s="19">
        <v>1</v>
      </c>
      <c r="T1126" s="19">
        <v>1</v>
      </c>
      <c r="U1126" s="19">
        <v>0</v>
      </c>
      <c r="V1126" s="19" t="s">
        <v>41</v>
      </c>
      <c r="W1126" s="19">
        <v>1</v>
      </c>
      <c r="Y1126" s="19" t="s">
        <v>103</v>
      </c>
      <c r="Z1126" s="19">
        <v>50</v>
      </c>
      <c r="AA1126" s="19">
        <v>50</v>
      </c>
    </row>
    <row r="1127" spans="1:27" x14ac:dyDescent="0.25">
      <c r="A1127" s="19" t="s">
        <v>1312</v>
      </c>
      <c r="B1127" s="19" t="s">
        <v>1278</v>
      </c>
      <c r="C1127" s="19" t="s">
        <v>1279</v>
      </c>
      <c r="D1127" s="19">
        <v>1.25</v>
      </c>
      <c r="E1127" s="19" t="s">
        <v>152</v>
      </c>
      <c r="F1127" s="19" t="s">
        <v>153</v>
      </c>
      <c r="G1127" s="19" t="s">
        <v>134</v>
      </c>
      <c r="H1127" s="19" t="s">
        <v>146</v>
      </c>
      <c r="I1127" s="19" t="s">
        <v>147</v>
      </c>
      <c r="J1127" s="19">
        <v>6</v>
      </c>
      <c r="K1127" s="19">
        <v>2.5000000000000001E-2</v>
      </c>
      <c r="L1127" s="19" t="s">
        <v>35</v>
      </c>
      <c r="M1127" s="19" t="s">
        <v>103</v>
      </c>
      <c r="N1127" s="19">
        <v>50</v>
      </c>
      <c r="O1127" s="19">
        <v>50</v>
      </c>
      <c r="P1127" s="19">
        <v>0</v>
      </c>
      <c r="Q1127" s="19">
        <v>0</v>
      </c>
      <c r="R1127" s="19" t="s">
        <v>1075</v>
      </c>
      <c r="S1127" s="19">
        <v>1</v>
      </c>
      <c r="T1127" s="19">
        <v>1</v>
      </c>
      <c r="U1127" s="19">
        <v>0</v>
      </c>
      <c r="V1127" s="19" t="s">
        <v>41</v>
      </c>
      <c r="W1127" s="19">
        <v>1</v>
      </c>
      <c r="Y1127" s="19" t="s">
        <v>103</v>
      </c>
      <c r="Z1127" s="19">
        <v>50</v>
      </c>
      <c r="AA1127" s="19">
        <v>50</v>
      </c>
    </row>
    <row r="1128" spans="1:27" x14ac:dyDescent="0.25">
      <c r="A1128" s="19" t="s">
        <v>1313</v>
      </c>
      <c r="B1128" s="19" t="s">
        <v>1278</v>
      </c>
      <c r="C1128" s="19" t="s">
        <v>1279</v>
      </c>
      <c r="D1128" s="19">
        <v>1.25</v>
      </c>
      <c r="E1128" s="19" t="s">
        <v>155</v>
      </c>
      <c r="F1128" s="19" t="s">
        <v>156</v>
      </c>
      <c r="G1128" s="19" t="s">
        <v>134</v>
      </c>
      <c r="H1128" s="19" t="s">
        <v>146</v>
      </c>
      <c r="I1128" s="19" t="s">
        <v>147</v>
      </c>
      <c r="J1128" s="19">
        <v>7</v>
      </c>
      <c r="K1128" s="19">
        <v>2.5000000000000001E-2</v>
      </c>
      <c r="L1128" s="19" t="s">
        <v>35</v>
      </c>
      <c r="M1128" s="19" t="s">
        <v>103</v>
      </c>
      <c r="N1128" s="19">
        <v>50</v>
      </c>
      <c r="O1128" s="19">
        <v>50</v>
      </c>
      <c r="P1128" s="19">
        <v>0</v>
      </c>
      <c r="Q1128" s="19">
        <v>0</v>
      </c>
      <c r="R1128" s="19" t="s">
        <v>1075</v>
      </c>
      <c r="S1128" s="19">
        <v>1</v>
      </c>
      <c r="T1128" s="19">
        <v>1</v>
      </c>
      <c r="U1128" s="19">
        <v>0</v>
      </c>
      <c r="V1128" s="19" t="s">
        <v>41</v>
      </c>
      <c r="W1128" s="19">
        <v>1</v>
      </c>
      <c r="Y1128" s="19" t="s">
        <v>103</v>
      </c>
      <c r="Z1128" s="19">
        <v>50</v>
      </c>
      <c r="AA1128" s="19">
        <v>50</v>
      </c>
    </row>
    <row r="1129" spans="1:27" x14ac:dyDescent="0.25">
      <c r="A1129" s="19" t="s">
        <v>1314</v>
      </c>
      <c r="B1129" s="19" t="s">
        <v>1278</v>
      </c>
      <c r="C1129" s="19" t="s">
        <v>1279</v>
      </c>
      <c r="D1129" s="19">
        <v>0</v>
      </c>
      <c r="E1129" s="19" t="s">
        <v>158</v>
      </c>
      <c r="F1129" s="19" t="s">
        <v>159</v>
      </c>
      <c r="G1129" s="19" t="s">
        <v>134</v>
      </c>
      <c r="H1129" s="19" t="s">
        <v>146</v>
      </c>
      <c r="I1129" s="19" t="s">
        <v>147</v>
      </c>
      <c r="J1129" s="19">
        <v>8</v>
      </c>
      <c r="K1129" s="19">
        <v>2.5000000000000001E-2</v>
      </c>
      <c r="L1129" s="19" t="s">
        <v>35</v>
      </c>
      <c r="M1129" s="19" t="s">
        <v>103</v>
      </c>
      <c r="N1129" s="19">
        <v>0</v>
      </c>
      <c r="O1129" s="19">
        <v>0</v>
      </c>
      <c r="P1129" s="19">
        <v>0</v>
      </c>
      <c r="Q1129" s="19">
        <v>0</v>
      </c>
      <c r="R1129" s="19" t="s">
        <v>1075</v>
      </c>
      <c r="S1129" s="19">
        <v>1</v>
      </c>
      <c r="T1129" s="19">
        <v>1</v>
      </c>
      <c r="U1129" s="19">
        <v>0</v>
      </c>
      <c r="V1129" s="19" t="s">
        <v>80</v>
      </c>
      <c r="W1129" s="19">
        <v>0</v>
      </c>
      <c r="Y1129" s="19" t="s">
        <v>103</v>
      </c>
      <c r="Z1129" s="19">
        <v>50</v>
      </c>
      <c r="AA1129" s="19">
        <v>0</v>
      </c>
    </row>
    <row r="1130" spans="1:27" x14ac:dyDescent="0.25">
      <c r="A1130" s="19" t="s">
        <v>1315</v>
      </c>
      <c r="B1130" s="19" t="s">
        <v>1278</v>
      </c>
      <c r="C1130" s="19" t="s">
        <v>1279</v>
      </c>
      <c r="D1130" s="19">
        <v>2.2197779999999998</v>
      </c>
      <c r="E1130" s="19" t="s">
        <v>161</v>
      </c>
      <c r="F1130" s="19" t="s">
        <v>162</v>
      </c>
      <c r="G1130" s="19" t="s">
        <v>163</v>
      </c>
      <c r="I1130" s="19" t="s">
        <v>164</v>
      </c>
      <c r="J1130" s="19">
        <v>1</v>
      </c>
      <c r="K1130" s="19">
        <v>3.3300000000000003E-2</v>
      </c>
      <c r="L1130" s="19" t="s">
        <v>35</v>
      </c>
      <c r="M1130" s="19" t="s">
        <v>165</v>
      </c>
      <c r="N1130" s="19">
        <v>66.66</v>
      </c>
      <c r="O1130" s="19">
        <v>66.66</v>
      </c>
      <c r="P1130" s="19">
        <v>0</v>
      </c>
      <c r="Q1130" s="19">
        <v>0</v>
      </c>
      <c r="R1130" s="19" t="s">
        <v>1075</v>
      </c>
      <c r="S1130" s="19">
        <v>1</v>
      </c>
      <c r="T1130" s="19">
        <v>1</v>
      </c>
      <c r="U1130" s="19">
        <v>0</v>
      </c>
      <c r="W1130" s="19">
        <v>0</v>
      </c>
      <c r="X1130" s="19">
        <v>66.66</v>
      </c>
      <c r="Z1130" s="19">
        <v>0</v>
      </c>
      <c r="AA1130" s="19">
        <v>66.66</v>
      </c>
    </row>
    <row r="1131" spans="1:27" x14ac:dyDescent="0.25">
      <c r="A1131" s="19" t="s">
        <v>1316</v>
      </c>
      <c r="B1131" s="19" t="s">
        <v>1278</v>
      </c>
      <c r="C1131" s="19" t="s">
        <v>1279</v>
      </c>
      <c r="D1131" s="19">
        <v>2.2197779999999998</v>
      </c>
      <c r="E1131" s="19" t="s">
        <v>167</v>
      </c>
      <c r="F1131" s="19" t="s">
        <v>168</v>
      </c>
      <c r="G1131" s="19" t="s">
        <v>163</v>
      </c>
      <c r="I1131" s="19" t="s">
        <v>164</v>
      </c>
      <c r="J1131" s="19">
        <v>3</v>
      </c>
      <c r="K1131" s="19">
        <v>3.3300000000000003E-2</v>
      </c>
      <c r="L1131" s="19" t="s">
        <v>35</v>
      </c>
      <c r="M1131" s="19" t="s">
        <v>165</v>
      </c>
      <c r="N1131" s="19">
        <v>66.66</v>
      </c>
      <c r="O1131" s="19">
        <v>66.66</v>
      </c>
      <c r="P1131" s="19">
        <v>0</v>
      </c>
      <c r="Q1131" s="19">
        <v>0</v>
      </c>
      <c r="R1131" s="19" t="s">
        <v>1075</v>
      </c>
      <c r="S1131" s="19">
        <v>1</v>
      </c>
      <c r="T1131" s="19">
        <v>1</v>
      </c>
      <c r="U1131" s="19">
        <v>0</v>
      </c>
      <c r="W1131" s="19">
        <v>0</v>
      </c>
      <c r="X1131" s="19">
        <v>66.66</v>
      </c>
      <c r="Z1131" s="19">
        <v>0</v>
      </c>
      <c r="AA1131" s="19">
        <v>66.66</v>
      </c>
    </row>
    <row r="1132" spans="1:27" x14ac:dyDescent="0.25">
      <c r="A1132" s="19" t="s">
        <v>1317</v>
      </c>
      <c r="B1132" s="19" t="s">
        <v>1278</v>
      </c>
      <c r="C1132" s="19" t="s">
        <v>1279</v>
      </c>
      <c r="D1132" s="19">
        <v>1.0323</v>
      </c>
      <c r="E1132" s="19" t="s">
        <v>170</v>
      </c>
      <c r="F1132" s="19" t="s">
        <v>171</v>
      </c>
      <c r="G1132" s="19" t="s">
        <v>163</v>
      </c>
      <c r="I1132" s="19" t="s">
        <v>164</v>
      </c>
      <c r="J1132" s="19">
        <v>2</v>
      </c>
      <c r="K1132" s="19">
        <v>3.3300000000000003E-2</v>
      </c>
      <c r="L1132" s="19" t="s">
        <v>35</v>
      </c>
      <c r="M1132" s="19" t="s">
        <v>165</v>
      </c>
      <c r="N1132" s="19">
        <v>31</v>
      </c>
      <c r="O1132" s="19">
        <v>31</v>
      </c>
      <c r="P1132" s="19">
        <v>0</v>
      </c>
      <c r="Q1132" s="19">
        <v>0</v>
      </c>
      <c r="R1132" s="19" t="s">
        <v>1075</v>
      </c>
      <c r="S1132" s="19">
        <v>1</v>
      </c>
      <c r="T1132" s="19">
        <v>1</v>
      </c>
      <c r="U1132" s="19">
        <v>0</v>
      </c>
      <c r="W1132" s="19">
        <v>0</v>
      </c>
      <c r="X1132" s="19">
        <v>31</v>
      </c>
      <c r="Z1132" s="19">
        <v>0</v>
      </c>
      <c r="AA1132" s="19">
        <v>31</v>
      </c>
    </row>
    <row r="1133" spans="1:27" x14ac:dyDescent="0.25">
      <c r="A1133" s="19" t="s">
        <v>538</v>
      </c>
      <c r="B1133" s="19" t="s">
        <v>539</v>
      </c>
      <c r="C1133" s="19" t="s">
        <v>540</v>
      </c>
      <c r="D1133" s="19">
        <v>4.17</v>
      </c>
      <c r="E1133" s="19" t="s">
        <v>132</v>
      </c>
      <c r="F1133" s="19" t="s">
        <v>133</v>
      </c>
      <c r="G1133" s="19" t="s">
        <v>134</v>
      </c>
      <c r="H1133" s="19" t="s">
        <v>87</v>
      </c>
      <c r="I1133" s="19" t="s">
        <v>135</v>
      </c>
      <c r="J1133" s="19">
        <v>11</v>
      </c>
      <c r="K1133" s="19">
        <v>4.1700000000000001E-2</v>
      </c>
      <c r="L1133" s="19" t="s">
        <v>541</v>
      </c>
      <c r="M1133" s="19" t="s">
        <v>541</v>
      </c>
      <c r="N1133" s="19">
        <v>50</v>
      </c>
      <c r="O1133" s="19">
        <v>100</v>
      </c>
      <c r="P1133" s="19">
        <v>100</v>
      </c>
      <c r="Q1133" s="19">
        <v>50</v>
      </c>
      <c r="R1133" s="19" t="s">
        <v>1033</v>
      </c>
      <c r="S1133" s="19">
        <v>0.5</v>
      </c>
      <c r="T1133" s="19">
        <v>1</v>
      </c>
      <c r="U1133" s="19">
        <v>50</v>
      </c>
      <c r="AA1133" s="19">
        <v>0</v>
      </c>
    </row>
    <row r="1134" spans="1:27" x14ac:dyDescent="0.25">
      <c r="A1134" s="19" t="s">
        <v>542</v>
      </c>
      <c r="B1134" s="19" t="s">
        <v>539</v>
      </c>
      <c r="C1134" s="19" t="s">
        <v>540</v>
      </c>
      <c r="D1134" s="19">
        <v>2.78</v>
      </c>
      <c r="E1134" s="19" t="s">
        <v>137</v>
      </c>
      <c r="F1134" s="19" t="s">
        <v>138</v>
      </c>
      <c r="G1134" s="19" t="s">
        <v>134</v>
      </c>
      <c r="H1134" s="19" t="s">
        <v>87</v>
      </c>
      <c r="I1134" s="19" t="s">
        <v>135</v>
      </c>
      <c r="J1134" s="19">
        <v>9</v>
      </c>
      <c r="K1134" s="19">
        <v>4.1700000000000001E-2</v>
      </c>
      <c r="L1134" s="19" t="s">
        <v>541</v>
      </c>
      <c r="M1134" s="19" t="s">
        <v>541</v>
      </c>
      <c r="N1134" s="19">
        <v>50</v>
      </c>
      <c r="O1134" s="19">
        <v>66.666666666699996</v>
      </c>
      <c r="P1134" s="19">
        <v>33.333333333299997</v>
      </c>
      <c r="Q1134" s="19">
        <v>16.666666666699999</v>
      </c>
      <c r="R1134" s="19" t="s">
        <v>1033</v>
      </c>
      <c r="S1134" s="19">
        <v>0.5</v>
      </c>
      <c r="T1134" s="19">
        <v>1</v>
      </c>
      <c r="U1134" s="19">
        <v>16.666666666699999</v>
      </c>
      <c r="AA1134" s="19">
        <v>0</v>
      </c>
    </row>
    <row r="1135" spans="1:27" x14ac:dyDescent="0.25">
      <c r="A1135" s="19" t="s">
        <v>543</v>
      </c>
      <c r="B1135" s="19" t="s">
        <v>539</v>
      </c>
      <c r="C1135" s="19" t="s">
        <v>540</v>
      </c>
      <c r="D1135" s="19">
        <v>2.5</v>
      </c>
      <c r="E1135" s="19" t="s">
        <v>144</v>
      </c>
      <c r="F1135" s="19" t="s">
        <v>145</v>
      </c>
      <c r="G1135" s="19" t="s">
        <v>134</v>
      </c>
      <c r="H1135" s="19" t="s">
        <v>146</v>
      </c>
      <c r="I1135" s="19" t="s">
        <v>147</v>
      </c>
      <c r="J1135" s="19">
        <v>4</v>
      </c>
      <c r="K1135" s="19">
        <v>2.5000000000000001E-2</v>
      </c>
      <c r="L1135" s="19" t="s">
        <v>541</v>
      </c>
      <c r="M1135" s="19" t="s">
        <v>541</v>
      </c>
      <c r="N1135" s="19">
        <v>50</v>
      </c>
      <c r="O1135" s="19">
        <v>100</v>
      </c>
      <c r="P1135" s="19">
        <v>100</v>
      </c>
      <c r="Q1135" s="19">
        <v>50</v>
      </c>
      <c r="R1135" s="19" t="s">
        <v>1033</v>
      </c>
      <c r="S1135" s="19">
        <v>0.5</v>
      </c>
      <c r="T1135" s="19">
        <v>1</v>
      </c>
      <c r="U1135" s="19">
        <v>50</v>
      </c>
      <c r="AA1135" s="19">
        <v>0</v>
      </c>
    </row>
    <row r="1136" spans="1:27" x14ac:dyDescent="0.25">
      <c r="A1136" s="19" t="s">
        <v>544</v>
      </c>
      <c r="B1136" s="19" t="s">
        <v>539</v>
      </c>
      <c r="C1136" s="19" t="s">
        <v>540</v>
      </c>
      <c r="D1136" s="19">
        <v>2.5</v>
      </c>
      <c r="E1136" s="19" t="s">
        <v>149</v>
      </c>
      <c r="F1136" s="19" t="s">
        <v>150</v>
      </c>
      <c r="G1136" s="19" t="s">
        <v>134</v>
      </c>
      <c r="H1136" s="19" t="s">
        <v>146</v>
      </c>
      <c r="I1136" s="19" t="s">
        <v>147</v>
      </c>
      <c r="J1136" s="19">
        <v>5</v>
      </c>
      <c r="K1136" s="19">
        <v>2.5000000000000001E-2</v>
      </c>
      <c r="L1136" s="19" t="s">
        <v>541</v>
      </c>
      <c r="M1136" s="19" t="s">
        <v>541</v>
      </c>
      <c r="N1136" s="19">
        <v>50</v>
      </c>
      <c r="O1136" s="19">
        <v>100</v>
      </c>
      <c r="P1136" s="19">
        <v>100</v>
      </c>
      <c r="Q1136" s="19">
        <v>50</v>
      </c>
      <c r="R1136" s="19" t="s">
        <v>1033</v>
      </c>
      <c r="S1136" s="19">
        <v>0.5</v>
      </c>
      <c r="T1136" s="19">
        <v>1</v>
      </c>
      <c r="U1136" s="19">
        <v>50</v>
      </c>
      <c r="AA1136" s="19">
        <v>0</v>
      </c>
    </row>
    <row r="1137" spans="1:27" x14ac:dyDescent="0.25">
      <c r="A1137" s="19" t="s">
        <v>545</v>
      </c>
      <c r="B1137" s="19" t="s">
        <v>539</v>
      </c>
      <c r="C1137" s="19" t="s">
        <v>540</v>
      </c>
      <c r="D1137" s="19">
        <v>2.5</v>
      </c>
      <c r="E1137" s="19" t="s">
        <v>152</v>
      </c>
      <c r="F1137" s="19" t="s">
        <v>153</v>
      </c>
      <c r="G1137" s="19" t="s">
        <v>134</v>
      </c>
      <c r="H1137" s="19" t="s">
        <v>146</v>
      </c>
      <c r="I1137" s="19" t="s">
        <v>147</v>
      </c>
      <c r="J1137" s="19">
        <v>6</v>
      </c>
      <c r="K1137" s="19">
        <v>2.5000000000000001E-2</v>
      </c>
      <c r="L1137" s="19" t="s">
        <v>541</v>
      </c>
      <c r="M1137" s="19" t="s">
        <v>541</v>
      </c>
      <c r="N1137" s="19">
        <v>50</v>
      </c>
      <c r="O1137" s="19">
        <v>100</v>
      </c>
      <c r="P1137" s="19">
        <v>100</v>
      </c>
      <c r="Q1137" s="19">
        <v>50</v>
      </c>
      <c r="R1137" s="19" t="s">
        <v>1033</v>
      </c>
      <c r="S1137" s="19">
        <v>0.5</v>
      </c>
      <c r="T1137" s="19">
        <v>1</v>
      </c>
      <c r="U1137" s="19">
        <v>50</v>
      </c>
      <c r="AA1137" s="19">
        <v>0</v>
      </c>
    </row>
    <row r="1138" spans="1:27" x14ac:dyDescent="0.25">
      <c r="A1138" s="19" t="s">
        <v>546</v>
      </c>
      <c r="B1138" s="19" t="s">
        <v>539</v>
      </c>
      <c r="C1138" s="19" t="s">
        <v>540</v>
      </c>
      <c r="D1138" s="19">
        <v>1.0187499999999901</v>
      </c>
      <c r="E1138" s="19" t="s">
        <v>43</v>
      </c>
      <c r="F1138" s="19" t="s">
        <v>44</v>
      </c>
      <c r="G1138" s="19" t="s">
        <v>32</v>
      </c>
      <c r="H1138" s="19" t="s">
        <v>33</v>
      </c>
      <c r="I1138" s="19" t="s">
        <v>34</v>
      </c>
      <c r="J1138" s="19">
        <v>18</v>
      </c>
      <c r="K1138" s="19">
        <v>1.6299999999999999E-2</v>
      </c>
      <c r="L1138" s="19" t="s">
        <v>541</v>
      </c>
      <c r="M1138" s="19" t="s">
        <v>541</v>
      </c>
      <c r="N1138" s="19">
        <v>50</v>
      </c>
      <c r="O1138" s="19">
        <v>62.5</v>
      </c>
      <c r="P1138" s="19">
        <v>50</v>
      </c>
      <c r="Q1138" s="19">
        <v>25</v>
      </c>
      <c r="R1138" s="19" t="s">
        <v>1033</v>
      </c>
      <c r="S1138" s="19">
        <v>0.5</v>
      </c>
      <c r="T1138" s="19">
        <v>0.5</v>
      </c>
      <c r="U1138" s="19">
        <v>12.5</v>
      </c>
      <c r="AA1138" s="19">
        <v>0</v>
      </c>
    </row>
    <row r="1139" spans="1:27" x14ac:dyDescent="0.25">
      <c r="A1139" s="19" t="s">
        <v>547</v>
      </c>
      <c r="B1139" s="19" t="s">
        <v>539</v>
      </c>
      <c r="C1139" s="19" t="s">
        <v>540</v>
      </c>
      <c r="D1139" s="19">
        <v>1.07696428571428</v>
      </c>
      <c r="E1139" s="19" t="s">
        <v>46</v>
      </c>
      <c r="F1139" s="19" t="s">
        <v>47</v>
      </c>
      <c r="G1139" s="19" t="s">
        <v>32</v>
      </c>
      <c r="H1139" s="19" t="s">
        <v>33</v>
      </c>
      <c r="I1139" s="19" t="s">
        <v>34</v>
      </c>
      <c r="J1139" s="19">
        <v>15</v>
      </c>
      <c r="K1139" s="19">
        <v>1.6299999999999999E-2</v>
      </c>
      <c r="L1139" s="19" t="s">
        <v>541</v>
      </c>
      <c r="M1139" s="19" t="s">
        <v>541</v>
      </c>
      <c r="N1139" s="19">
        <v>50</v>
      </c>
      <c r="O1139" s="19">
        <v>66.071428571400006</v>
      </c>
      <c r="P1139" s="19">
        <v>64.285714285699996</v>
      </c>
      <c r="Q1139" s="19">
        <v>32.142857142899999</v>
      </c>
      <c r="R1139" s="19" t="s">
        <v>1033</v>
      </c>
      <c r="S1139" s="19">
        <v>0.5</v>
      </c>
      <c r="T1139" s="19">
        <v>0.5</v>
      </c>
      <c r="U1139" s="19">
        <v>16.071428571399998</v>
      </c>
      <c r="AA1139" s="19">
        <v>0</v>
      </c>
    </row>
    <row r="1140" spans="1:27" x14ac:dyDescent="0.25">
      <c r="A1140" s="19" t="s">
        <v>548</v>
      </c>
      <c r="B1140" s="19" t="s">
        <v>539</v>
      </c>
      <c r="C1140" s="19" t="s">
        <v>540</v>
      </c>
      <c r="D1140" s="19">
        <v>1.2224999999999999</v>
      </c>
      <c r="E1140" s="19" t="s">
        <v>52</v>
      </c>
      <c r="F1140" s="19" t="s">
        <v>53</v>
      </c>
      <c r="G1140" s="19" t="s">
        <v>32</v>
      </c>
      <c r="H1140" s="19" t="s">
        <v>33</v>
      </c>
      <c r="I1140" s="19" t="s">
        <v>34</v>
      </c>
      <c r="J1140" s="19">
        <v>16</v>
      </c>
      <c r="K1140" s="19">
        <v>1.6299999999999999E-2</v>
      </c>
      <c r="L1140" s="19" t="s">
        <v>541</v>
      </c>
      <c r="M1140" s="19" t="s">
        <v>541</v>
      </c>
      <c r="N1140" s="19">
        <v>50</v>
      </c>
      <c r="O1140" s="19">
        <v>75</v>
      </c>
      <c r="P1140" s="19">
        <v>100</v>
      </c>
      <c r="Q1140" s="19">
        <v>50</v>
      </c>
      <c r="R1140" s="19" t="s">
        <v>1033</v>
      </c>
      <c r="S1140" s="19">
        <v>0.5</v>
      </c>
      <c r="T1140" s="19">
        <v>0.5</v>
      </c>
      <c r="U1140" s="19">
        <v>25</v>
      </c>
      <c r="AA1140" s="19">
        <v>0</v>
      </c>
    </row>
    <row r="1141" spans="1:27" x14ac:dyDescent="0.25">
      <c r="A1141" s="19" t="s">
        <v>549</v>
      </c>
      <c r="B1141" s="19" t="s">
        <v>539</v>
      </c>
      <c r="C1141" s="19" t="s">
        <v>540</v>
      </c>
      <c r="D1141" s="19">
        <v>1.2224999999999999</v>
      </c>
      <c r="E1141" s="19" t="s">
        <v>55</v>
      </c>
      <c r="F1141" s="19" t="s">
        <v>56</v>
      </c>
      <c r="G1141" s="19" t="s">
        <v>32</v>
      </c>
      <c r="H1141" s="19" t="s">
        <v>33</v>
      </c>
      <c r="I1141" s="19" t="s">
        <v>34</v>
      </c>
      <c r="J1141" s="19">
        <v>14</v>
      </c>
      <c r="K1141" s="19">
        <v>1.6299999999999999E-2</v>
      </c>
      <c r="L1141" s="19" t="s">
        <v>541</v>
      </c>
      <c r="M1141" s="19" t="s">
        <v>541</v>
      </c>
      <c r="N1141" s="19">
        <v>50</v>
      </c>
      <c r="O1141" s="19">
        <v>75</v>
      </c>
      <c r="P1141" s="19">
        <v>100</v>
      </c>
      <c r="Q1141" s="19">
        <v>50</v>
      </c>
      <c r="R1141" s="19" t="s">
        <v>1033</v>
      </c>
      <c r="S1141" s="19">
        <v>0.5</v>
      </c>
      <c r="T1141" s="19">
        <v>0.5</v>
      </c>
      <c r="U1141" s="19">
        <v>25</v>
      </c>
      <c r="AA1141" s="19">
        <v>0</v>
      </c>
    </row>
    <row r="1142" spans="1:27" x14ac:dyDescent="0.25">
      <c r="A1142" s="19" t="s">
        <v>550</v>
      </c>
      <c r="B1142" s="19" t="s">
        <v>539</v>
      </c>
      <c r="C1142" s="19" t="s">
        <v>540</v>
      </c>
      <c r="D1142" s="19">
        <v>1.2224999999999999</v>
      </c>
      <c r="E1142" s="19" t="s">
        <v>58</v>
      </c>
      <c r="F1142" s="19" t="s">
        <v>59</v>
      </c>
      <c r="G1142" s="19" t="s">
        <v>32</v>
      </c>
      <c r="H1142" s="19" t="s">
        <v>33</v>
      </c>
      <c r="I1142" s="19" t="s">
        <v>34</v>
      </c>
      <c r="J1142" s="19">
        <v>13</v>
      </c>
      <c r="K1142" s="19">
        <v>1.6299999999999999E-2</v>
      </c>
      <c r="L1142" s="19" t="s">
        <v>541</v>
      </c>
      <c r="M1142" s="19" t="s">
        <v>541</v>
      </c>
      <c r="N1142" s="19">
        <v>50</v>
      </c>
      <c r="O1142" s="19">
        <v>75</v>
      </c>
      <c r="P1142" s="19">
        <v>100</v>
      </c>
      <c r="Q1142" s="19">
        <v>50</v>
      </c>
      <c r="R1142" s="19" t="s">
        <v>1033</v>
      </c>
      <c r="S1142" s="19">
        <v>0.5</v>
      </c>
      <c r="T1142" s="19">
        <v>0.5</v>
      </c>
      <c r="U1142" s="19">
        <v>25</v>
      </c>
      <c r="AA1142" s="19">
        <v>0</v>
      </c>
    </row>
    <row r="1143" spans="1:27" x14ac:dyDescent="0.25">
      <c r="A1143" s="19" t="s">
        <v>551</v>
      </c>
      <c r="B1143" s="19" t="s">
        <v>539</v>
      </c>
      <c r="C1143" s="19" t="s">
        <v>540</v>
      </c>
      <c r="D1143" s="19">
        <v>1.39499999999999</v>
      </c>
      <c r="E1143" s="19" t="s">
        <v>75</v>
      </c>
      <c r="F1143" s="19" t="s">
        <v>76</v>
      </c>
      <c r="G1143" s="19" t="s">
        <v>32</v>
      </c>
      <c r="H1143" s="19" t="s">
        <v>63</v>
      </c>
      <c r="I1143" s="19" t="s">
        <v>64</v>
      </c>
      <c r="J1143" s="19">
        <v>24</v>
      </c>
      <c r="K1143" s="19">
        <v>1.8599999999999998E-2</v>
      </c>
      <c r="L1143" s="19" t="s">
        <v>541</v>
      </c>
      <c r="M1143" s="19" t="s">
        <v>541</v>
      </c>
      <c r="N1143" s="19">
        <v>50</v>
      </c>
      <c r="O1143" s="19">
        <v>75</v>
      </c>
      <c r="P1143" s="19">
        <v>100</v>
      </c>
      <c r="Q1143" s="19">
        <v>50</v>
      </c>
      <c r="R1143" s="19" t="s">
        <v>1033</v>
      </c>
      <c r="S1143" s="19">
        <v>0.5</v>
      </c>
      <c r="T1143" s="19">
        <v>0.5</v>
      </c>
      <c r="U1143" s="19">
        <v>25</v>
      </c>
      <c r="AA1143" s="19">
        <v>0</v>
      </c>
    </row>
    <row r="1144" spans="1:27" x14ac:dyDescent="0.25">
      <c r="A1144" s="19" t="s">
        <v>552</v>
      </c>
      <c r="B1144" s="19" t="s">
        <v>539</v>
      </c>
      <c r="C1144" s="19" t="s">
        <v>540</v>
      </c>
      <c r="D1144" s="19">
        <v>2.5</v>
      </c>
      <c r="E1144" s="19" t="s">
        <v>155</v>
      </c>
      <c r="F1144" s="19" t="s">
        <v>156</v>
      </c>
      <c r="G1144" s="19" t="s">
        <v>134</v>
      </c>
      <c r="H1144" s="19" t="s">
        <v>146</v>
      </c>
      <c r="I1144" s="19" t="s">
        <v>147</v>
      </c>
      <c r="J1144" s="19">
        <v>7</v>
      </c>
      <c r="K1144" s="19">
        <v>2.5000000000000001E-2</v>
      </c>
      <c r="L1144" s="19" t="s">
        <v>541</v>
      </c>
      <c r="M1144" s="19" t="s">
        <v>541</v>
      </c>
      <c r="N1144" s="19">
        <v>50</v>
      </c>
      <c r="O1144" s="19">
        <v>100</v>
      </c>
      <c r="P1144" s="19">
        <v>100</v>
      </c>
      <c r="Q1144" s="19">
        <v>50</v>
      </c>
      <c r="R1144" s="19" t="s">
        <v>1033</v>
      </c>
      <c r="S1144" s="19">
        <v>0.5</v>
      </c>
      <c r="T1144" s="19">
        <v>1</v>
      </c>
      <c r="U1144" s="19">
        <v>50</v>
      </c>
      <c r="AA1144" s="19">
        <v>0</v>
      </c>
    </row>
    <row r="1145" spans="1:27" x14ac:dyDescent="0.25">
      <c r="A1145" s="19" t="s">
        <v>553</v>
      </c>
      <c r="B1145" s="19" t="s">
        <v>539</v>
      </c>
      <c r="C1145" s="19" t="s">
        <v>540</v>
      </c>
      <c r="D1145" s="19">
        <v>0</v>
      </c>
      <c r="E1145" s="19" t="s">
        <v>30</v>
      </c>
      <c r="F1145" s="19" t="s">
        <v>31</v>
      </c>
      <c r="G1145" s="19" t="s">
        <v>32</v>
      </c>
      <c r="H1145" s="19" t="s">
        <v>33</v>
      </c>
      <c r="I1145" s="19" t="s">
        <v>34</v>
      </c>
      <c r="J1145" s="19">
        <v>17</v>
      </c>
      <c r="K1145" s="19">
        <v>1.6299999999999999E-2</v>
      </c>
      <c r="L1145" s="19" t="s">
        <v>35</v>
      </c>
      <c r="M1145" s="19" t="s">
        <v>40</v>
      </c>
      <c r="N1145" s="19">
        <v>0</v>
      </c>
      <c r="O1145" s="19">
        <v>0</v>
      </c>
      <c r="P1145" s="19">
        <v>0</v>
      </c>
      <c r="Q1145" s="19">
        <v>0</v>
      </c>
      <c r="R1145" s="19" t="s">
        <v>1033</v>
      </c>
      <c r="S1145" s="19">
        <v>0.5</v>
      </c>
      <c r="T1145" s="19">
        <v>1</v>
      </c>
      <c r="U1145" s="19">
        <v>0</v>
      </c>
      <c r="V1145" s="19" t="s">
        <v>36</v>
      </c>
      <c r="W1145" s="19">
        <v>0</v>
      </c>
      <c r="Y1145" s="19" t="s">
        <v>40</v>
      </c>
      <c r="Z1145" s="19">
        <v>33.33</v>
      </c>
      <c r="AA1145" s="19">
        <v>0</v>
      </c>
    </row>
    <row r="1146" spans="1:27" x14ac:dyDescent="0.25">
      <c r="A1146" s="19" t="s">
        <v>554</v>
      </c>
      <c r="B1146" s="19" t="s">
        <v>539</v>
      </c>
      <c r="C1146" s="19" t="s">
        <v>540</v>
      </c>
      <c r="D1146" s="19">
        <v>0.54327899999999996</v>
      </c>
      <c r="E1146" s="19" t="s">
        <v>38</v>
      </c>
      <c r="F1146" s="19" t="s">
        <v>39</v>
      </c>
      <c r="G1146" s="19" t="s">
        <v>32</v>
      </c>
      <c r="H1146" s="19" t="s">
        <v>33</v>
      </c>
      <c r="I1146" s="19" t="s">
        <v>34</v>
      </c>
      <c r="J1146" s="19">
        <v>19</v>
      </c>
      <c r="K1146" s="19">
        <v>1.6299999999999999E-2</v>
      </c>
      <c r="L1146" s="19" t="s">
        <v>35</v>
      </c>
      <c r="M1146" s="19" t="s">
        <v>40</v>
      </c>
      <c r="N1146" s="19">
        <v>33.33</v>
      </c>
      <c r="O1146" s="19">
        <v>33.33</v>
      </c>
      <c r="P1146" s="19">
        <v>0</v>
      </c>
      <c r="Q1146" s="19">
        <v>0</v>
      </c>
      <c r="R1146" s="19" t="s">
        <v>1033</v>
      </c>
      <c r="S1146" s="19">
        <v>0.5</v>
      </c>
      <c r="T1146" s="19">
        <v>1</v>
      </c>
      <c r="U1146" s="19">
        <v>0</v>
      </c>
      <c r="V1146" s="19" t="s">
        <v>41</v>
      </c>
      <c r="W1146" s="19">
        <v>1</v>
      </c>
      <c r="Y1146" s="19" t="s">
        <v>40</v>
      </c>
      <c r="Z1146" s="19">
        <v>33.33</v>
      </c>
      <c r="AA1146" s="19">
        <v>33.33</v>
      </c>
    </row>
    <row r="1147" spans="1:27" x14ac:dyDescent="0.25">
      <c r="A1147" s="19" t="s">
        <v>555</v>
      </c>
      <c r="B1147" s="19" t="s">
        <v>539</v>
      </c>
      <c r="C1147" s="19" t="s">
        <v>540</v>
      </c>
      <c r="D1147" s="19">
        <v>0.54327899999999996</v>
      </c>
      <c r="E1147" s="19" t="s">
        <v>49</v>
      </c>
      <c r="F1147" s="19" t="s">
        <v>50</v>
      </c>
      <c r="G1147" s="19" t="s">
        <v>32</v>
      </c>
      <c r="H1147" s="19" t="s">
        <v>33</v>
      </c>
      <c r="I1147" s="19" t="s">
        <v>34</v>
      </c>
      <c r="J1147" s="19">
        <v>12</v>
      </c>
      <c r="K1147" s="19">
        <v>1.6299999999999999E-2</v>
      </c>
      <c r="L1147" s="19" t="s">
        <v>35</v>
      </c>
      <c r="M1147" s="19" t="s">
        <v>40</v>
      </c>
      <c r="N1147" s="19">
        <v>33.33</v>
      </c>
      <c r="O1147" s="19">
        <v>33.33</v>
      </c>
      <c r="P1147" s="19">
        <v>0</v>
      </c>
      <c r="Q1147" s="19">
        <v>0</v>
      </c>
      <c r="R1147" s="19" t="s">
        <v>1033</v>
      </c>
      <c r="S1147" s="19">
        <v>0.5</v>
      </c>
      <c r="T1147" s="19">
        <v>1</v>
      </c>
      <c r="U1147" s="19">
        <v>0</v>
      </c>
      <c r="V1147" s="19" t="s">
        <v>41</v>
      </c>
      <c r="W1147" s="19">
        <v>1</v>
      </c>
      <c r="Y1147" s="19" t="s">
        <v>40</v>
      </c>
      <c r="Z1147" s="19">
        <v>33.33</v>
      </c>
      <c r="AA1147" s="19">
        <v>33.33</v>
      </c>
    </row>
    <row r="1148" spans="1:27" x14ac:dyDescent="0.25">
      <c r="A1148" s="19" t="s">
        <v>556</v>
      </c>
      <c r="B1148" s="19" t="s">
        <v>539</v>
      </c>
      <c r="C1148" s="19" t="s">
        <v>540</v>
      </c>
      <c r="D1148" s="19">
        <v>0.61993799999999899</v>
      </c>
      <c r="E1148" s="19" t="s">
        <v>61</v>
      </c>
      <c r="F1148" s="19" t="s">
        <v>62</v>
      </c>
      <c r="G1148" s="19" t="s">
        <v>32</v>
      </c>
      <c r="H1148" s="19" t="s">
        <v>63</v>
      </c>
      <c r="I1148" s="19" t="s">
        <v>64</v>
      </c>
      <c r="J1148" s="19">
        <v>22</v>
      </c>
      <c r="K1148" s="19">
        <v>1.8599999999999998E-2</v>
      </c>
      <c r="L1148" s="19" t="s">
        <v>35</v>
      </c>
      <c r="M1148" s="19" t="s">
        <v>40</v>
      </c>
      <c r="N1148" s="19">
        <v>33.33</v>
      </c>
      <c r="O1148" s="19">
        <v>33.33</v>
      </c>
      <c r="P1148" s="19">
        <v>0</v>
      </c>
      <c r="Q1148" s="19">
        <v>0</v>
      </c>
      <c r="R1148" s="19" t="s">
        <v>1033</v>
      </c>
      <c r="S1148" s="19">
        <v>0.5</v>
      </c>
      <c r="T1148" s="19">
        <v>1</v>
      </c>
      <c r="U1148" s="19">
        <v>0</v>
      </c>
      <c r="V1148" s="19" t="s">
        <v>41</v>
      </c>
      <c r="W1148" s="19">
        <v>1</v>
      </c>
      <c r="Y1148" s="19" t="s">
        <v>40</v>
      </c>
      <c r="Z1148" s="19">
        <v>33.33</v>
      </c>
      <c r="AA1148" s="19">
        <v>33.33</v>
      </c>
    </row>
    <row r="1149" spans="1:27" x14ac:dyDescent="0.25">
      <c r="A1149" s="19" t="s">
        <v>557</v>
      </c>
      <c r="B1149" s="19" t="s">
        <v>539</v>
      </c>
      <c r="C1149" s="19" t="s">
        <v>540</v>
      </c>
      <c r="D1149" s="19">
        <v>0.61993799999999899</v>
      </c>
      <c r="E1149" s="19" t="s">
        <v>66</v>
      </c>
      <c r="F1149" s="19" t="s">
        <v>67</v>
      </c>
      <c r="G1149" s="19" t="s">
        <v>32</v>
      </c>
      <c r="H1149" s="19" t="s">
        <v>63</v>
      </c>
      <c r="I1149" s="19" t="s">
        <v>64</v>
      </c>
      <c r="J1149" s="19">
        <v>20</v>
      </c>
      <c r="K1149" s="19">
        <v>1.8599999999999998E-2</v>
      </c>
      <c r="L1149" s="19" t="s">
        <v>35</v>
      </c>
      <c r="M1149" s="19" t="s">
        <v>40</v>
      </c>
      <c r="N1149" s="19">
        <v>33.33</v>
      </c>
      <c r="O1149" s="19">
        <v>33.33</v>
      </c>
      <c r="P1149" s="19">
        <v>0</v>
      </c>
      <c r="Q1149" s="19">
        <v>0</v>
      </c>
      <c r="R1149" s="19" t="s">
        <v>1033</v>
      </c>
      <c r="S1149" s="19">
        <v>0.5</v>
      </c>
      <c r="T1149" s="19">
        <v>1</v>
      </c>
      <c r="U1149" s="19">
        <v>0</v>
      </c>
      <c r="V1149" s="19" t="s">
        <v>41</v>
      </c>
      <c r="W1149" s="19">
        <v>1</v>
      </c>
      <c r="Y1149" s="19" t="s">
        <v>40</v>
      </c>
      <c r="Z1149" s="19">
        <v>33.33</v>
      </c>
      <c r="AA1149" s="19">
        <v>33.33</v>
      </c>
    </row>
    <row r="1150" spans="1:27" x14ac:dyDescent="0.25">
      <c r="A1150" s="19" t="s">
        <v>558</v>
      </c>
      <c r="B1150" s="19" t="s">
        <v>539</v>
      </c>
      <c r="C1150" s="19" t="s">
        <v>540</v>
      </c>
      <c r="D1150" s="19">
        <v>0.61993799999999899</v>
      </c>
      <c r="E1150" s="19" t="s">
        <v>69</v>
      </c>
      <c r="F1150" s="19" t="s">
        <v>70</v>
      </c>
      <c r="G1150" s="19" t="s">
        <v>32</v>
      </c>
      <c r="H1150" s="19" t="s">
        <v>63</v>
      </c>
      <c r="I1150" s="19" t="s">
        <v>64</v>
      </c>
      <c r="J1150" s="19">
        <v>23</v>
      </c>
      <c r="K1150" s="19">
        <v>1.8599999999999998E-2</v>
      </c>
      <c r="L1150" s="19" t="s">
        <v>35</v>
      </c>
      <c r="M1150" s="19" t="s">
        <v>40</v>
      </c>
      <c r="N1150" s="19">
        <v>33.33</v>
      </c>
      <c r="O1150" s="19">
        <v>33.33</v>
      </c>
      <c r="P1150" s="19">
        <v>0</v>
      </c>
      <c r="Q1150" s="19">
        <v>0</v>
      </c>
      <c r="R1150" s="19" t="s">
        <v>1033</v>
      </c>
      <c r="S1150" s="19">
        <v>0.5</v>
      </c>
      <c r="T1150" s="19">
        <v>1</v>
      </c>
      <c r="U1150" s="19">
        <v>0</v>
      </c>
      <c r="V1150" s="19" t="s">
        <v>41</v>
      </c>
      <c r="W1150" s="19">
        <v>1</v>
      </c>
      <c r="Y1150" s="19" t="s">
        <v>40</v>
      </c>
      <c r="Z1150" s="19">
        <v>33.33</v>
      </c>
      <c r="AA1150" s="19">
        <v>33.33</v>
      </c>
    </row>
    <row r="1151" spans="1:27" x14ac:dyDescent="0.25">
      <c r="A1151" s="19" t="s">
        <v>559</v>
      </c>
      <c r="B1151" s="19" t="s">
        <v>539</v>
      </c>
      <c r="C1151" s="19" t="s">
        <v>540</v>
      </c>
      <c r="D1151" s="19">
        <v>0.61993799999999899</v>
      </c>
      <c r="E1151" s="19" t="s">
        <v>72</v>
      </c>
      <c r="F1151" s="19" t="s">
        <v>73</v>
      </c>
      <c r="G1151" s="19" t="s">
        <v>32</v>
      </c>
      <c r="H1151" s="19" t="s">
        <v>63</v>
      </c>
      <c r="I1151" s="19" t="s">
        <v>64</v>
      </c>
      <c r="J1151" s="19">
        <v>21</v>
      </c>
      <c r="K1151" s="19">
        <v>1.8599999999999998E-2</v>
      </c>
      <c r="L1151" s="19" t="s">
        <v>35</v>
      </c>
      <c r="M1151" s="19" t="s">
        <v>40</v>
      </c>
      <c r="N1151" s="19">
        <v>33.33</v>
      </c>
      <c r="O1151" s="19">
        <v>33.33</v>
      </c>
      <c r="P1151" s="19">
        <v>0</v>
      </c>
      <c r="Q1151" s="19">
        <v>0</v>
      </c>
      <c r="R1151" s="19" t="s">
        <v>1033</v>
      </c>
      <c r="S1151" s="19">
        <v>0.5</v>
      </c>
      <c r="T1151" s="19">
        <v>1</v>
      </c>
      <c r="U1151" s="19">
        <v>0</v>
      </c>
      <c r="V1151" s="19" t="s">
        <v>41</v>
      </c>
      <c r="W1151" s="19">
        <v>1</v>
      </c>
      <c r="Y1151" s="19" t="s">
        <v>40</v>
      </c>
      <c r="Z1151" s="19">
        <v>33.33</v>
      </c>
      <c r="AA1151" s="19">
        <v>33.33</v>
      </c>
    </row>
    <row r="1152" spans="1:27" x14ac:dyDescent="0.25">
      <c r="A1152" s="19" t="s">
        <v>560</v>
      </c>
      <c r="B1152" s="19" t="s">
        <v>539</v>
      </c>
      <c r="C1152" s="19" t="s">
        <v>540</v>
      </c>
      <c r="D1152" s="19">
        <v>0.61993799999999899</v>
      </c>
      <c r="E1152" s="19" t="s">
        <v>78</v>
      </c>
      <c r="F1152" s="19" t="s">
        <v>79</v>
      </c>
      <c r="G1152" s="19" t="s">
        <v>32</v>
      </c>
      <c r="H1152" s="19" t="s">
        <v>63</v>
      </c>
      <c r="I1152" s="19" t="s">
        <v>64</v>
      </c>
      <c r="J1152" s="19">
        <v>25</v>
      </c>
      <c r="K1152" s="19">
        <v>1.8599999999999998E-2</v>
      </c>
      <c r="L1152" s="19" t="s">
        <v>35</v>
      </c>
      <c r="M1152" s="19" t="s">
        <v>40</v>
      </c>
      <c r="N1152" s="19">
        <v>33.33</v>
      </c>
      <c r="O1152" s="19">
        <v>33.33</v>
      </c>
      <c r="P1152" s="19">
        <v>0</v>
      </c>
      <c r="Q1152" s="19">
        <v>0</v>
      </c>
      <c r="R1152" s="19" t="s">
        <v>1033</v>
      </c>
      <c r="S1152" s="19">
        <v>0.5</v>
      </c>
      <c r="T1152" s="19">
        <v>1</v>
      </c>
      <c r="U1152" s="19">
        <v>0</v>
      </c>
      <c r="V1152" s="19" t="s">
        <v>41</v>
      </c>
      <c r="W1152" s="19">
        <v>1</v>
      </c>
      <c r="Y1152" s="19" t="s">
        <v>40</v>
      </c>
      <c r="Z1152" s="19">
        <v>33.33</v>
      </c>
      <c r="AA1152" s="19">
        <v>33.33</v>
      </c>
    </row>
    <row r="1153" spans="1:27" x14ac:dyDescent="0.25">
      <c r="A1153" s="19" t="s">
        <v>561</v>
      </c>
      <c r="B1153" s="19" t="s">
        <v>539</v>
      </c>
      <c r="C1153" s="19" t="s">
        <v>540</v>
      </c>
      <c r="D1153" s="19">
        <v>0</v>
      </c>
      <c r="E1153" s="19" t="s">
        <v>82</v>
      </c>
      <c r="F1153" s="19" t="s">
        <v>83</v>
      </c>
      <c r="G1153" s="19" t="s">
        <v>32</v>
      </c>
      <c r="H1153" s="19" t="s">
        <v>63</v>
      </c>
      <c r="I1153" s="19" t="s">
        <v>64</v>
      </c>
      <c r="J1153" s="19">
        <v>26</v>
      </c>
      <c r="K1153" s="19">
        <v>1.8599999999999998E-2</v>
      </c>
      <c r="L1153" s="19" t="s">
        <v>35</v>
      </c>
      <c r="N1153" s="19">
        <v>0</v>
      </c>
      <c r="O1153" s="19">
        <v>0</v>
      </c>
      <c r="P1153" s="19">
        <v>0</v>
      </c>
      <c r="Q1153" s="19">
        <v>0</v>
      </c>
      <c r="R1153" s="19" t="s">
        <v>1033</v>
      </c>
      <c r="S1153" s="19">
        <v>0.5</v>
      </c>
      <c r="T1153" s="19">
        <v>1</v>
      </c>
      <c r="U1153" s="19">
        <v>0</v>
      </c>
      <c r="V1153" s="19" t="s">
        <v>36</v>
      </c>
      <c r="W1153" s="19">
        <v>0</v>
      </c>
      <c r="Z1153" s="19">
        <v>0</v>
      </c>
      <c r="AA1153" s="19">
        <v>0</v>
      </c>
    </row>
    <row r="1154" spans="1:27" x14ac:dyDescent="0.25">
      <c r="A1154" s="19" t="s">
        <v>562</v>
      </c>
      <c r="B1154" s="19" t="s">
        <v>539</v>
      </c>
      <c r="C1154" s="19" t="s">
        <v>540</v>
      </c>
      <c r="D1154" s="19">
        <v>0</v>
      </c>
      <c r="E1154" s="19" t="s">
        <v>85</v>
      </c>
      <c r="F1154" s="19" t="s">
        <v>86</v>
      </c>
      <c r="G1154" s="19" t="s">
        <v>32</v>
      </c>
      <c r="H1154" s="19" t="s">
        <v>87</v>
      </c>
      <c r="I1154" s="19" t="s">
        <v>88</v>
      </c>
      <c r="J1154" s="19">
        <v>35</v>
      </c>
      <c r="K1154" s="19">
        <v>3.2500000000000001E-2</v>
      </c>
      <c r="L1154" s="19" t="s">
        <v>35</v>
      </c>
      <c r="N1154" s="19">
        <v>0</v>
      </c>
      <c r="O1154" s="19">
        <v>0</v>
      </c>
      <c r="P1154" s="19">
        <v>0</v>
      </c>
      <c r="Q1154" s="19">
        <v>0</v>
      </c>
      <c r="R1154" s="19" t="s">
        <v>1033</v>
      </c>
      <c r="S1154" s="19">
        <v>0.5</v>
      </c>
      <c r="T1154" s="19">
        <v>1</v>
      </c>
      <c r="U1154" s="19">
        <v>0</v>
      </c>
      <c r="V1154" s="19" t="s">
        <v>36</v>
      </c>
      <c r="W1154" s="19">
        <v>0</v>
      </c>
      <c r="Z1154" s="19">
        <v>0</v>
      </c>
      <c r="AA1154" s="19">
        <v>0</v>
      </c>
    </row>
    <row r="1155" spans="1:27" x14ac:dyDescent="0.25">
      <c r="A1155" s="19" t="s">
        <v>563</v>
      </c>
      <c r="B1155" s="19" t="s">
        <v>539</v>
      </c>
      <c r="C1155" s="19" t="s">
        <v>540</v>
      </c>
      <c r="D1155" s="19">
        <v>0</v>
      </c>
      <c r="E1155" s="19" t="s">
        <v>90</v>
      </c>
      <c r="F1155" s="19" t="s">
        <v>91</v>
      </c>
      <c r="G1155" s="19" t="s">
        <v>32</v>
      </c>
      <c r="H1155" s="19" t="s">
        <v>87</v>
      </c>
      <c r="I1155" s="19" t="s">
        <v>88</v>
      </c>
      <c r="J1155" s="19">
        <v>33</v>
      </c>
      <c r="K1155" s="19">
        <v>3.2500000000000001E-2</v>
      </c>
      <c r="L1155" s="19" t="s">
        <v>35</v>
      </c>
      <c r="N1155" s="19">
        <v>0</v>
      </c>
      <c r="O1155" s="19">
        <v>0</v>
      </c>
      <c r="P1155" s="19">
        <v>0</v>
      </c>
      <c r="Q1155" s="19">
        <v>0</v>
      </c>
      <c r="R1155" s="19" t="s">
        <v>1033</v>
      </c>
      <c r="S1155" s="19">
        <v>0.5</v>
      </c>
      <c r="T1155" s="19">
        <v>1</v>
      </c>
      <c r="U1155" s="19">
        <v>0</v>
      </c>
      <c r="V1155" s="19" t="s">
        <v>36</v>
      </c>
      <c r="W1155" s="19">
        <v>0</v>
      </c>
      <c r="Z1155" s="19">
        <v>0</v>
      </c>
      <c r="AA1155" s="19">
        <v>0</v>
      </c>
    </row>
    <row r="1156" spans="1:27" x14ac:dyDescent="0.25">
      <c r="A1156" s="19" t="s">
        <v>564</v>
      </c>
      <c r="B1156" s="19" t="s">
        <v>539</v>
      </c>
      <c r="C1156" s="19" t="s">
        <v>540</v>
      </c>
      <c r="D1156" s="19">
        <v>0</v>
      </c>
      <c r="E1156" s="19" t="s">
        <v>93</v>
      </c>
      <c r="F1156" s="19" t="s">
        <v>94</v>
      </c>
      <c r="G1156" s="19" t="s">
        <v>32</v>
      </c>
      <c r="H1156" s="19" t="s">
        <v>87</v>
      </c>
      <c r="I1156" s="19" t="s">
        <v>88</v>
      </c>
      <c r="J1156" s="19">
        <v>34</v>
      </c>
      <c r="K1156" s="19">
        <v>3.2500000000000001E-2</v>
      </c>
      <c r="L1156" s="19" t="s">
        <v>35</v>
      </c>
      <c r="M1156" s="19" t="s">
        <v>40</v>
      </c>
      <c r="N1156" s="19">
        <v>0</v>
      </c>
      <c r="O1156" s="19">
        <v>0</v>
      </c>
      <c r="P1156" s="19">
        <v>0</v>
      </c>
      <c r="Q1156" s="19">
        <v>0</v>
      </c>
      <c r="R1156" s="19" t="s">
        <v>1033</v>
      </c>
      <c r="S1156" s="19">
        <v>0.5</v>
      </c>
      <c r="T1156" s="19">
        <v>1</v>
      </c>
      <c r="U1156" s="19">
        <v>0</v>
      </c>
      <c r="V1156" s="19" t="s">
        <v>80</v>
      </c>
      <c r="W1156" s="19">
        <v>0</v>
      </c>
      <c r="Y1156" s="19" t="s">
        <v>40</v>
      </c>
      <c r="Z1156" s="19">
        <v>33.33</v>
      </c>
      <c r="AA1156" s="19">
        <v>0</v>
      </c>
    </row>
    <row r="1157" spans="1:27" x14ac:dyDescent="0.25">
      <c r="A1157" s="19" t="s">
        <v>565</v>
      </c>
      <c r="B1157" s="19" t="s">
        <v>539</v>
      </c>
      <c r="C1157" s="19" t="s">
        <v>540</v>
      </c>
      <c r="D1157" s="19">
        <v>0</v>
      </c>
      <c r="E1157" s="19" t="s">
        <v>96</v>
      </c>
      <c r="F1157" s="19" t="s">
        <v>97</v>
      </c>
      <c r="G1157" s="19" t="s">
        <v>32</v>
      </c>
      <c r="H1157" s="19" t="s">
        <v>87</v>
      </c>
      <c r="I1157" s="19" t="s">
        <v>88</v>
      </c>
      <c r="J1157" s="19">
        <v>36</v>
      </c>
      <c r="K1157" s="19">
        <v>3.2500000000000001E-2</v>
      </c>
      <c r="L1157" s="19" t="s">
        <v>35</v>
      </c>
      <c r="N1157" s="19">
        <v>0</v>
      </c>
      <c r="O1157" s="19">
        <v>0</v>
      </c>
      <c r="P1157" s="19">
        <v>0</v>
      </c>
      <c r="Q1157" s="19">
        <v>0</v>
      </c>
      <c r="R1157" s="19" t="s">
        <v>1033</v>
      </c>
      <c r="S1157" s="19">
        <v>0.5</v>
      </c>
      <c r="T1157" s="19">
        <v>1</v>
      </c>
      <c r="U1157" s="19">
        <v>0</v>
      </c>
      <c r="V1157" s="19" t="s">
        <v>36</v>
      </c>
      <c r="W1157" s="19">
        <v>0</v>
      </c>
      <c r="Z1157" s="19">
        <v>0</v>
      </c>
      <c r="AA1157" s="19">
        <v>0</v>
      </c>
    </row>
    <row r="1158" spans="1:27" x14ac:dyDescent="0.25">
      <c r="A1158" s="19" t="s">
        <v>566</v>
      </c>
      <c r="B1158" s="19" t="s">
        <v>539</v>
      </c>
      <c r="C1158" s="19" t="s">
        <v>540</v>
      </c>
      <c r="D1158" s="19">
        <v>0</v>
      </c>
      <c r="E1158" s="19" t="s">
        <v>99</v>
      </c>
      <c r="F1158" s="19" t="s">
        <v>100</v>
      </c>
      <c r="G1158" s="19" t="s">
        <v>32</v>
      </c>
      <c r="H1158" s="19" t="s">
        <v>101</v>
      </c>
      <c r="I1158" s="19" t="s">
        <v>102</v>
      </c>
      <c r="J1158" s="19">
        <v>39</v>
      </c>
      <c r="K1158" s="19">
        <v>4.3299999999999998E-2</v>
      </c>
      <c r="L1158" s="19" t="s">
        <v>35</v>
      </c>
      <c r="M1158" s="19" t="s">
        <v>103</v>
      </c>
      <c r="N1158" s="19">
        <v>0</v>
      </c>
      <c r="O1158" s="19">
        <v>0</v>
      </c>
      <c r="P1158" s="19">
        <v>0</v>
      </c>
      <c r="Q1158" s="19">
        <v>0</v>
      </c>
      <c r="R1158" s="19" t="s">
        <v>1033</v>
      </c>
      <c r="S1158" s="19">
        <v>0.5</v>
      </c>
      <c r="T1158" s="19">
        <v>1</v>
      </c>
      <c r="U1158" s="19">
        <v>0</v>
      </c>
      <c r="V1158" s="19" t="s">
        <v>80</v>
      </c>
      <c r="W1158" s="19">
        <v>0</v>
      </c>
      <c r="Y1158" s="19" t="s">
        <v>103</v>
      </c>
      <c r="Z1158" s="19">
        <v>50</v>
      </c>
      <c r="AA1158" s="19">
        <v>0</v>
      </c>
    </row>
    <row r="1159" spans="1:27" x14ac:dyDescent="0.25">
      <c r="A1159" s="19" t="s">
        <v>567</v>
      </c>
      <c r="B1159" s="19" t="s">
        <v>539</v>
      </c>
      <c r="C1159" s="19" t="s">
        <v>540</v>
      </c>
      <c r="D1159" s="19">
        <v>0</v>
      </c>
      <c r="E1159" s="19" t="s">
        <v>105</v>
      </c>
      <c r="F1159" s="19" t="s">
        <v>106</v>
      </c>
      <c r="G1159" s="19" t="s">
        <v>32</v>
      </c>
      <c r="H1159" s="19" t="s">
        <v>101</v>
      </c>
      <c r="I1159" s="19" t="s">
        <v>102</v>
      </c>
      <c r="J1159" s="19">
        <v>38</v>
      </c>
      <c r="K1159" s="19">
        <v>4.3299999999999998E-2</v>
      </c>
      <c r="L1159" s="19" t="s">
        <v>35</v>
      </c>
      <c r="M1159" s="19" t="s">
        <v>103</v>
      </c>
      <c r="N1159" s="19">
        <v>0</v>
      </c>
      <c r="O1159" s="19">
        <v>0</v>
      </c>
      <c r="P1159" s="19">
        <v>0</v>
      </c>
      <c r="Q1159" s="19">
        <v>0</v>
      </c>
      <c r="R1159" s="19" t="s">
        <v>1033</v>
      </c>
      <c r="S1159" s="19">
        <v>0.5</v>
      </c>
      <c r="T1159" s="19">
        <v>1</v>
      </c>
      <c r="U1159" s="19">
        <v>0</v>
      </c>
      <c r="V1159" s="19" t="s">
        <v>80</v>
      </c>
      <c r="W1159" s="19">
        <v>0</v>
      </c>
      <c r="Y1159" s="19" t="s">
        <v>103</v>
      </c>
      <c r="Z1159" s="19">
        <v>50</v>
      </c>
      <c r="AA1159" s="19">
        <v>0</v>
      </c>
    </row>
    <row r="1160" spans="1:27" x14ac:dyDescent="0.25">
      <c r="A1160" s="19" t="s">
        <v>568</v>
      </c>
      <c r="B1160" s="19" t="s">
        <v>539</v>
      </c>
      <c r="C1160" s="19" t="s">
        <v>540</v>
      </c>
      <c r="D1160" s="19">
        <v>0</v>
      </c>
      <c r="E1160" s="19" t="s">
        <v>108</v>
      </c>
      <c r="F1160" s="19" t="s">
        <v>109</v>
      </c>
      <c r="G1160" s="19" t="s">
        <v>32</v>
      </c>
      <c r="H1160" s="19" t="s">
        <v>101</v>
      </c>
      <c r="I1160" s="19" t="s">
        <v>102</v>
      </c>
      <c r="J1160" s="19">
        <v>37</v>
      </c>
      <c r="K1160" s="19">
        <v>4.3299999999999998E-2</v>
      </c>
      <c r="L1160" s="19" t="s">
        <v>35</v>
      </c>
      <c r="M1160" s="19" t="s">
        <v>110</v>
      </c>
      <c r="N1160" s="19">
        <v>0</v>
      </c>
      <c r="O1160" s="19">
        <v>0</v>
      </c>
      <c r="P1160" s="19">
        <v>0</v>
      </c>
      <c r="Q1160" s="19">
        <v>0</v>
      </c>
      <c r="R1160" s="19" t="s">
        <v>1033</v>
      </c>
      <c r="S1160" s="19">
        <v>0.5</v>
      </c>
      <c r="T1160" s="19">
        <v>1</v>
      </c>
      <c r="U1160" s="19">
        <v>0</v>
      </c>
      <c r="V1160" s="19" t="s">
        <v>80</v>
      </c>
      <c r="W1160" s="19">
        <v>0</v>
      </c>
      <c r="Y1160" s="19" t="s">
        <v>110</v>
      </c>
      <c r="Z1160" s="19">
        <v>16.664999999999999</v>
      </c>
      <c r="AA1160" s="19">
        <v>0</v>
      </c>
    </row>
    <row r="1161" spans="1:27" x14ac:dyDescent="0.25">
      <c r="A1161" s="19" t="s">
        <v>569</v>
      </c>
      <c r="B1161" s="19" t="s">
        <v>539</v>
      </c>
      <c r="C1161" s="19" t="s">
        <v>540</v>
      </c>
      <c r="D1161" s="19">
        <v>0</v>
      </c>
      <c r="E1161" s="19" t="s">
        <v>112</v>
      </c>
      <c r="F1161" s="19" t="s">
        <v>113</v>
      </c>
      <c r="G1161" s="19" t="s">
        <v>32</v>
      </c>
      <c r="H1161" s="19" t="s">
        <v>114</v>
      </c>
      <c r="I1161" s="19" t="s">
        <v>115</v>
      </c>
      <c r="J1161" s="19">
        <v>30</v>
      </c>
      <c r="K1161" s="19">
        <v>2.1700000000000001E-2</v>
      </c>
      <c r="L1161" s="19" t="s">
        <v>35</v>
      </c>
      <c r="M1161" s="19" t="s">
        <v>103</v>
      </c>
      <c r="N1161" s="19">
        <v>0</v>
      </c>
      <c r="O1161" s="19">
        <v>0</v>
      </c>
      <c r="P1161" s="19">
        <v>0</v>
      </c>
      <c r="Q1161" s="19">
        <v>0</v>
      </c>
      <c r="R1161" s="19" t="s">
        <v>1033</v>
      </c>
      <c r="S1161" s="19">
        <v>0.5</v>
      </c>
      <c r="T1161" s="19">
        <v>1</v>
      </c>
      <c r="U1161" s="19">
        <v>0</v>
      </c>
      <c r="V1161" s="19" t="s">
        <v>36</v>
      </c>
      <c r="W1161" s="19">
        <v>0</v>
      </c>
      <c r="Y1161" s="19" t="s">
        <v>103</v>
      </c>
      <c r="Z1161" s="19">
        <v>50</v>
      </c>
      <c r="AA1161" s="19">
        <v>0</v>
      </c>
    </row>
    <row r="1162" spans="1:27" x14ac:dyDescent="0.25">
      <c r="A1162" s="19" t="s">
        <v>570</v>
      </c>
      <c r="B1162" s="19" t="s">
        <v>539</v>
      </c>
      <c r="C1162" s="19" t="s">
        <v>540</v>
      </c>
      <c r="D1162" s="19">
        <v>1.085</v>
      </c>
      <c r="E1162" s="19" t="s">
        <v>117</v>
      </c>
      <c r="F1162" s="19" t="s">
        <v>118</v>
      </c>
      <c r="G1162" s="19" t="s">
        <v>32</v>
      </c>
      <c r="H1162" s="19" t="s">
        <v>114</v>
      </c>
      <c r="I1162" s="19" t="s">
        <v>115</v>
      </c>
      <c r="J1162" s="19">
        <v>31</v>
      </c>
      <c r="K1162" s="19">
        <v>2.1700000000000001E-2</v>
      </c>
      <c r="L1162" s="19" t="s">
        <v>35</v>
      </c>
      <c r="M1162" s="19" t="s">
        <v>103</v>
      </c>
      <c r="N1162" s="19">
        <v>50</v>
      </c>
      <c r="O1162" s="19">
        <v>50</v>
      </c>
      <c r="P1162" s="19">
        <v>0</v>
      </c>
      <c r="Q1162" s="19">
        <v>0</v>
      </c>
      <c r="R1162" s="19" t="s">
        <v>1033</v>
      </c>
      <c r="S1162" s="19">
        <v>0.5</v>
      </c>
      <c r="T1162" s="19">
        <v>1</v>
      </c>
      <c r="U1162" s="19">
        <v>0</v>
      </c>
      <c r="V1162" s="19" t="s">
        <v>41</v>
      </c>
      <c r="W1162" s="19">
        <v>1</v>
      </c>
      <c r="Y1162" s="19" t="s">
        <v>103</v>
      </c>
      <c r="Z1162" s="19">
        <v>50</v>
      </c>
      <c r="AA1162" s="19">
        <v>50</v>
      </c>
    </row>
    <row r="1163" spans="1:27" x14ac:dyDescent="0.25">
      <c r="A1163" s="19" t="s">
        <v>571</v>
      </c>
      <c r="B1163" s="19" t="s">
        <v>539</v>
      </c>
      <c r="C1163" s="19" t="s">
        <v>540</v>
      </c>
      <c r="D1163" s="19">
        <v>1.085</v>
      </c>
      <c r="E1163" s="19" t="s">
        <v>120</v>
      </c>
      <c r="F1163" s="19" t="s">
        <v>121</v>
      </c>
      <c r="G1163" s="19" t="s">
        <v>32</v>
      </c>
      <c r="H1163" s="19" t="s">
        <v>114</v>
      </c>
      <c r="I1163" s="19" t="s">
        <v>115</v>
      </c>
      <c r="J1163" s="19">
        <v>28</v>
      </c>
      <c r="K1163" s="19">
        <v>2.1700000000000001E-2</v>
      </c>
      <c r="L1163" s="19" t="s">
        <v>35</v>
      </c>
      <c r="M1163" s="19" t="s">
        <v>103</v>
      </c>
      <c r="N1163" s="19">
        <v>50</v>
      </c>
      <c r="O1163" s="19">
        <v>50</v>
      </c>
      <c r="P1163" s="19">
        <v>0</v>
      </c>
      <c r="Q1163" s="19">
        <v>0</v>
      </c>
      <c r="R1163" s="19" t="s">
        <v>1033</v>
      </c>
      <c r="S1163" s="19">
        <v>0.5</v>
      </c>
      <c r="T1163" s="19">
        <v>1</v>
      </c>
      <c r="U1163" s="19">
        <v>0</v>
      </c>
      <c r="V1163" s="19" t="s">
        <v>41</v>
      </c>
      <c r="W1163" s="19">
        <v>1</v>
      </c>
      <c r="Y1163" s="19" t="s">
        <v>103</v>
      </c>
      <c r="Z1163" s="19">
        <v>50</v>
      </c>
      <c r="AA1163" s="19">
        <v>50</v>
      </c>
    </row>
    <row r="1164" spans="1:27" x14ac:dyDescent="0.25">
      <c r="A1164" s="19" t="s">
        <v>572</v>
      </c>
      <c r="B1164" s="19" t="s">
        <v>539</v>
      </c>
      <c r="C1164" s="19" t="s">
        <v>540</v>
      </c>
      <c r="D1164" s="19">
        <v>0</v>
      </c>
      <c r="E1164" s="19" t="s">
        <v>123</v>
      </c>
      <c r="F1164" s="19" t="s">
        <v>124</v>
      </c>
      <c r="G1164" s="19" t="s">
        <v>32</v>
      </c>
      <c r="H1164" s="19" t="s">
        <v>114</v>
      </c>
      <c r="I1164" s="19" t="s">
        <v>115</v>
      </c>
      <c r="J1164" s="19">
        <v>27</v>
      </c>
      <c r="K1164" s="19">
        <v>2.1700000000000001E-2</v>
      </c>
      <c r="L1164" s="19" t="s">
        <v>35</v>
      </c>
      <c r="M1164" s="19" t="s">
        <v>103</v>
      </c>
      <c r="N1164" s="19">
        <v>0</v>
      </c>
      <c r="O1164" s="19">
        <v>0</v>
      </c>
      <c r="P1164" s="19">
        <v>0</v>
      </c>
      <c r="Q1164" s="19">
        <v>0</v>
      </c>
      <c r="R1164" s="19" t="s">
        <v>1033</v>
      </c>
      <c r="S1164" s="19">
        <v>0.5</v>
      </c>
      <c r="T1164" s="19">
        <v>1</v>
      </c>
      <c r="U1164" s="19">
        <v>0</v>
      </c>
      <c r="V1164" s="19" t="s">
        <v>80</v>
      </c>
      <c r="W1164" s="19">
        <v>0</v>
      </c>
      <c r="Y1164" s="19" t="s">
        <v>103</v>
      </c>
      <c r="Z1164" s="19">
        <v>50</v>
      </c>
      <c r="AA1164" s="19">
        <v>0</v>
      </c>
    </row>
    <row r="1165" spans="1:27" x14ac:dyDescent="0.25">
      <c r="A1165" s="19" t="s">
        <v>573</v>
      </c>
      <c r="B1165" s="19" t="s">
        <v>539</v>
      </c>
      <c r="C1165" s="19" t="s">
        <v>540</v>
      </c>
      <c r="D1165" s="19">
        <v>1.085</v>
      </c>
      <c r="E1165" s="19" t="s">
        <v>126</v>
      </c>
      <c r="F1165" s="19" t="s">
        <v>127</v>
      </c>
      <c r="G1165" s="19" t="s">
        <v>32</v>
      </c>
      <c r="H1165" s="19" t="s">
        <v>114</v>
      </c>
      <c r="I1165" s="19" t="s">
        <v>115</v>
      </c>
      <c r="J1165" s="19">
        <v>29</v>
      </c>
      <c r="K1165" s="19">
        <v>2.1700000000000001E-2</v>
      </c>
      <c r="L1165" s="19" t="s">
        <v>35</v>
      </c>
      <c r="M1165" s="19" t="s">
        <v>103</v>
      </c>
      <c r="N1165" s="19">
        <v>50</v>
      </c>
      <c r="O1165" s="19">
        <v>50</v>
      </c>
      <c r="P1165" s="19">
        <v>0</v>
      </c>
      <c r="Q1165" s="19">
        <v>0</v>
      </c>
      <c r="R1165" s="19" t="s">
        <v>1033</v>
      </c>
      <c r="S1165" s="19">
        <v>0.5</v>
      </c>
      <c r="T1165" s="19">
        <v>1</v>
      </c>
      <c r="U1165" s="19">
        <v>0</v>
      </c>
      <c r="V1165" s="19" t="s">
        <v>41</v>
      </c>
      <c r="W1165" s="19">
        <v>1</v>
      </c>
      <c r="Y1165" s="19" t="s">
        <v>103</v>
      </c>
      <c r="Z1165" s="19">
        <v>50</v>
      </c>
      <c r="AA1165" s="19">
        <v>50</v>
      </c>
    </row>
    <row r="1166" spans="1:27" x14ac:dyDescent="0.25">
      <c r="A1166" s="19" t="s">
        <v>574</v>
      </c>
      <c r="B1166" s="19" t="s">
        <v>539</v>
      </c>
      <c r="C1166" s="19" t="s">
        <v>540</v>
      </c>
      <c r="D1166" s="19">
        <v>1.085</v>
      </c>
      <c r="E1166" s="19" t="s">
        <v>129</v>
      </c>
      <c r="F1166" s="19" t="s">
        <v>130</v>
      </c>
      <c r="G1166" s="19" t="s">
        <v>32</v>
      </c>
      <c r="H1166" s="19" t="s">
        <v>114</v>
      </c>
      <c r="I1166" s="19" t="s">
        <v>115</v>
      </c>
      <c r="J1166" s="19">
        <v>32</v>
      </c>
      <c r="K1166" s="19">
        <v>2.1700000000000001E-2</v>
      </c>
      <c r="L1166" s="19" t="s">
        <v>35</v>
      </c>
      <c r="M1166" s="19" t="s">
        <v>103</v>
      </c>
      <c r="N1166" s="19">
        <v>50</v>
      </c>
      <c r="O1166" s="19">
        <v>50</v>
      </c>
      <c r="P1166" s="19">
        <v>0</v>
      </c>
      <c r="Q1166" s="19">
        <v>0</v>
      </c>
      <c r="R1166" s="19" t="s">
        <v>1033</v>
      </c>
      <c r="S1166" s="19">
        <v>0.5</v>
      </c>
      <c r="T1166" s="19">
        <v>1</v>
      </c>
      <c r="U1166" s="19">
        <v>0</v>
      </c>
      <c r="V1166" s="19" t="s">
        <v>41</v>
      </c>
      <c r="W1166" s="19">
        <v>1</v>
      </c>
      <c r="Y1166" s="19" t="s">
        <v>103</v>
      </c>
      <c r="Z1166" s="19">
        <v>50</v>
      </c>
      <c r="AA1166" s="19">
        <v>50</v>
      </c>
    </row>
    <row r="1167" spans="1:27" x14ac:dyDescent="0.25">
      <c r="A1167" s="19" t="s">
        <v>575</v>
      </c>
      <c r="B1167" s="19" t="s">
        <v>539</v>
      </c>
      <c r="C1167" s="19" t="s">
        <v>540</v>
      </c>
      <c r="D1167" s="19">
        <v>0</v>
      </c>
      <c r="E1167" s="19" t="s">
        <v>140</v>
      </c>
      <c r="F1167" s="19" t="s">
        <v>141</v>
      </c>
      <c r="G1167" s="19" t="s">
        <v>134</v>
      </c>
      <c r="H1167" s="19" t="s">
        <v>87</v>
      </c>
      <c r="I1167" s="19" t="s">
        <v>135</v>
      </c>
      <c r="J1167" s="19">
        <v>10</v>
      </c>
      <c r="K1167" s="19">
        <v>4.1700000000000001E-2</v>
      </c>
      <c r="L1167" s="19" t="s">
        <v>35</v>
      </c>
      <c r="N1167" s="19">
        <v>0</v>
      </c>
      <c r="O1167" s="19">
        <v>0</v>
      </c>
      <c r="P1167" s="19">
        <v>0</v>
      </c>
      <c r="Q1167" s="19">
        <v>0</v>
      </c>
      <c r="R1167" s="19" t="s">
        <v>1033</v>
      </c>
      <c r="S1167" s="19">
        <v>0.5</v>
      </c>
      <c r="T1167" s="19">
        <v>1</v>
      </c>
      <c r="U1167" s="19">
        <v>0</v>
      </c>
      <c r="W1167" s="19">
        <v>0</v>
      </c>
      <c r="X1167" s="19">
        <v>0</v>
      </c>
      <c r="Z1167" s="19">
        <v>0</v>
      </c>
      <c r="AA1167" s="19">
        <v>0</v>
      </c>
    </row>
    <row r="1168" spans="1:27" x14ac:dyDescent="0.25">
      <c r="A1168" s="19" t="s">
        <v>576</v>
      </c>
      <c r="B1168" s="19" t="s">
        <v>539</v>
      </c>
      <c r="C1168" s="19" t="s">
        <v>540</v>
      </c>
      <c r="D1168" s="19">
        <v>1.25</v>
      </c>
      <c r="E1168" s="19" t="s">
        <v>158</v>
      </c>
      <c r="F1168" s="19" t="s">
        <v>159</v>
      </c>
      <c r="G1168" s="19" t="s">
        <v>134</v>
      </c>
      <c r="H1168" s="19" t="s">
        <v>146</v>
      </c>
      <c r="I1168" s="19" t="s">
        <v>147</v>
      </c>
      <c r="J1168" s="19">
        <v>8</v>
      </c>
      <c r="K1168" s="19">
        <v>2.5000000000000001E-2</v>
      </c>
      <c r="L1168" s="19" t="s">
        <v>35</v>
      </c>
      <c r="M1168" s="19" t="s">
        <v>103</v>
      </c>
      <c r="N1168" s="19">
        <v>50</v>
      </c>
      <c r="O1168" s="19">
        <v>50</v>
      </c>
      <c r="P1168" s="19">
        <v>0</v>
      </c>
      <c r="Q1168" s="19">
        <v>0</v>
      </c>
      <c r="R1168" s="19" t="s">
        <v>1033</v>
      </c>
      <c r="S1168" s="19">
        <v>0.5</v>
      </c>
      <c r="T1168" s="19">
        <v>1</v>
      </c>
      <c r="U1168" s="19">
        <v>0</v>
      </c>
      <c r="V1168" s="19" t="s">
        <v>41</v>
      </c>
      <c r="W1168" s="19">
        <v>1</v>
      </c>
      <c r="Y1168" s="19" t="s">
        <v>103</v>
      </c>
      <c r="Z1168" s="19">
        <v>50</v>
      </c>
      <c r="AA1168" s="19">
        <v>50</v>
      </c>
    </row>
    <row r="1169" spans="1:27" x14ac:dyDescent="0.25">
      <c r="A1169" s="19" t="s">
        <v>577</v>
      </c>
      <c r="B1169" s="19" t="s">
        <v>539</v>
      </c>
      <c r="C1169" s="19" t="s">
        <v>540</v>
      </c>
      <c r="D1169" s="19">
        <v>2.2197779999999998</v>
      </c>
      <c r="E1169" s="19" t="s">
        <v>161</v>
      </c>
      <c r="F1169" s="19" t="s">
        <v>162</v>
      </c>
      <c r="G1169" s="19" t="s">
        <v>163</v>
      </c>
      <c r="I1169" s="19" t="s">
        <v>164</v>
      </c>
      <c r="J1169" s="19">
        <v>1</v>
      </c>
      <c r="K1169" s="19">
        <v>3.3300000000000003E-2</v>
      </c>
      <c r="L1169" s="19" t="s">
        <v>35</v>
      </c>
      <c r="M1169" s="19" t="s">
        <v>165</v>
      </c>
      <c r="N1169" s="19">
        <v>66.66</v>
      </c>
      <c r="O1169" s="19">
        <v>66.66</v>
      </c>
      <c r="P1169" s="19">
        <v>0</v>
      </c>
      <c r="Q1169" s="19">
        <v>0</v>
      </c>
      <c r="R1169" s="19" t="s">
        <v>1033</v>
      </c>
      <c r="S1169" s="19">
        <v>0.5</v>
      </c>
      <c r="T1169" s="19">
        <v>1</v>
      </c>
      <c r="U1169" s="19">
        <v>0</v>
      </c>
      <c r="W1169" s="19">
        <v>0</v>
      </c>
      <c r="X1169" s="19">
        <v>66.66</v>
      </c>
      <c r="Z1169" s="19">
        <v>0</v>
      </c>
      <c r="AA1169" s="19">
        <v>66.66</v>
      </c>
    </row>
    <row r="1170" spans="1:27" x14ac:dyDescent="0.25">
      <c r="A1170" s="19" t="s">
        <v>578</v>
      </c>
      <c r="B1170" s="19" t="s">
        <v>539</v>
      </c>
      <c r="C1170" s="19" t="s">
        <v>540</v>
      </c>
      <c r="D1170" s="19">
        <v>1.1098889999999999</v>
      </c>
      <c r="E1170" s="19" t="s">
        <v>167</v>
      </c>
      <c r="F1170" s="19" t="s">
        <v>168</v>
      </c>
      <c r="G1170" s="19" t="s">
        <v>163</v>
      </c>
      <c r="I1170" s="19" t="s">
        <v>164</v>
      </c>
      <c r="J1170" s="19">
        <v>3</v>
      </c>
      <c r="K1170" s="19">
        <v>3.3300000000000003E-2</v>
      </c>
      <c r="L1170" s="19" t="s">
        <v>35</v>
      </c>
      <c r="M1170" s="19" t="s">
        <v>165</v>
      </c>
      <c r="N1170" s="19">
        <v>33.33</v>
      </c>
      <c r="O1170" s="19">
        <v>33.33</v>
      </c>
      <c r="P1170" s="19">
        <v>0</v>
      </c>
      <c r="Q1170" s="19">
        <v>0</v>
      </c>
      <c r="R1170" s="19" t="s">
        <v>1033</v>
      </c>
      <c r="S1170" s="19">
        <v>0.5</v>
      </c>
      <c r="T1170" s="19">
        <v>1</v>
      </c>
      <c r="U1170" s="19">
        <v>0</v>
      </c>
      <c r="W1170" s="19">
        <v>0</v>
      </c>
      <c r="X1170" s="19">
        <v>33.33</v>
      </c>
      <c r="Z1170" s="19">
        <v>0</v>
      </c>
      <c r="AA1170" s="19">
        <v>33.33</v>
      </c>
    </row>
    <row r="1171" spans="1:27" x14ac:dyDescent="0.25">
      <c r="A1171" s="19" t="s">
        <v>579</v>
      </c>
      <c r="B1171" s="19" t="s">
        <v>539</v>
      </c>
      <c r="C1171" s="19" t="s">
        <v>540</v>
      </c>
      <c r="D1171" s="19">
        <v>0</v>
      </c>
      <c r="E1171" s="19" t="s">
        <v>170</v>
      </c>
      <c r="F1171" s="19" t="s">
        <v>171</v>
      </c>
      <c r="G1171" s="19" t="s">
        <v>163</v>
      </c>
      <c r="I1171" s="19" t="s">
        <v>164</v>
      </c>
      <c r="J1171" s="19">
        <v>2</v>
      </c>
      <c r="K1171" s="19">
        <v>3.3300000000000003E-2</v>
      </c>
      <c r="L1171" s="19" t="s">
        <v>35</v>
      </c>
      <c r="M1171" s="19" t="s">
        <v>165</v>
      </c>
      <c r="N1171" s="19">
        <v>0</v>
      </c>
      <c r="O1171" s="19">
        <v>0</v>
      </c>
      <c r="P1171" s="19">
        <v>0</v>
      </c>
      <c r="Q1171" s="19">
        <v>0</v>
      </c>
      <c r="R1171" s="19" t="s">
        <v>1033</v>
      </c>
      <c r="S1171" s="19">
        <v>0.5</v>
      </c>
      <c r="T1171" s="19">
        <v>1</v>
      </c>
      <c r="U1171" s="19">
        <v>0</v>
      </c>
      <c r="W1171" s="19">
        <v>0</v>
      </c>
      <c r="X1171" s="19">
        <v>0</v>
      </c>
      <c r="Z1171" s="19">
        <v>0</v>
      </c>
      <c r="AA1171" s="19">
        <v>0</v>
      </c>
    </row>
    <row r="1172" spans="1:27" x14ac:dyDescent="0.25">
      <c r="A1172" s="19" t="s">
        <v>1358</v>
      </c>
      <c r="B1172" s="19" t="s">
        <v>1359</v>
      </c>
      <c r="C1172" s="19" t="s">
        <v>1360</v>
      </c>
      <c r="D1172" s="19">
        <v>1.54849999999999</v>
      </c>
      <c r="E1172" s="19" t="s">
        <v>30</v>
      </c>
      <c r="F1172" s="19" t="s">
        <v>31</v>
      </c>
      <c r="G1172" s="19" t="s">
        <v>32</v>
      </c>
      <c r="H1172" s="19" t="s">
        <v>33</v>
      </c>
      <c r="I1172" s="19" t="s">
        <v>34</v>
      </c>
      <c r="J1172" s="19">
        <v>17</v>
      </c>
      <c r="K1172" s="19">
        <v>1.6299999999999999E-2</v>
      </c>
      <c r="L1172" s="19" t="s">
        <v>541</v>
      </c>
      <c r="M1172" s="19" t="s">
        <v>541</v>
      </c>
      <c r="N1172" s="19">
        <v>50</v>
      </c>
      <c r="O1172" s="19">
        <v>95</v>
      </c>
      <c r="P1172" s="19">
        <v>100</v>
      </c>
      <c r="Q1172" s="19">
        <v>50</v>
      </c>
      <c r="R1172" s="19" t="s">
        <v>870</v>
      </c>
      <c r="S1172" s="19">
        <v>0.9</v>
      </c>
      <c r="T1172" s="19">
        <v>0.9</v>
      </c>
      <c r="U1172" s="19">
        <v>45</v>
      </c>
      <c r="AA1172" s="19">
        <v>0</v>
      </c>
    </row>
    <row r="1173" spans="1:27" x14ac:dyDescent="0.25">
      <c r="A1173" s="19" t="s">
        <v>1361</v>
      </c>
      <c r="B1173" s="19" t="s">
        <v>1359</v>
      </c>
      <c r="C1173" s="19" t="s">
        <v>1360</v>
      </c>
      <c r="D1173" s="19">
        <v>1.54849999999999</v>
      </c>
      <c r="E1173" s="19" t="s">
        <v>43</v>
      </c>
      <c r="F1173" s="19" t="s">
        <v>44</v>
      </c>
      <c r="G1173" s="19" t="s">
        <v>32</v>
      </c>
      <c r="H1173" s="19" t="s">
        <v>33</v>
      </c>
      <c r="I1173" s="19" t="s">
        <v>34</v>
      </c>
      <c r="J1173" s="19">
        <v>18</v>
      </c>
      <c r="K1173" s="19">
        <v>1.6299999999999999E-2</v>
      </c>
      <c r="L1173" s="19" t="s">
        <v>541</v>
      </c>
      <c r="M1173" s="19" t="s">
        <v>541</v>
      </c>
      <c r="N1173" s="19">
        <v>50</v>
      </c>
      <c r="O1173" s="19">
        <v>95</v>
      </c>
      <c r="P1173" s="19">
        <v>100</v>
      </c>
      <c r="Q1173" s="19">
        <v>50</v>
      </c>
      <c r="R1173" s="19" t="s">
        <v>870</v>
      </c>
      <c r="S1173" s="19">
        <v>0.9</v>
      </c>
      <c r="T1173" s="19">
        <v>0.9</v>
      </c>
      <c r="U1173" s="19">
        <v>45</v>
      </c>
      <c r="AA1173" s="19">
        <v>0</v>
      </c>
    </row>
    <row r="1174" spans="1:27" x14ac:dyDescent="0.25">
      <c r="A1174" s="19" t="s">
        <v>1362</v>
      </c>
      <c r="B1174" s="19" t="s">
        <v>1359</v>
      </c>
      <c r="C1174" s="19" t="s">
        <v>1360</v>
      </c>
      <c r="D1174" s="19">
        <v>1.50458606173994</v>
      </c>
      <c r="E1174" s="19" t="s">
        <v>46</v>
      </c>
      <c r="F1174" s="19" t="s">
        <v>47</v>
      </c>
      <c r="G1174" s="19" t="s">
        <v>32</v>
      </c>
      <c r="H1174" s="19" t="s">
        <v>33</v>
      </c>
      <c r="I1174" s="19" t="s">
        <v>34</v>
      </c>
      <c r="J1174" s="19">
        <v>15</v>
      </c>
      <c r="K1174" s="19">
        <v>1.6299999999999999E-2</v>
      </c>
      <c r="L1174" s="19" t="s">
        <v>541</v>
      </c>
      <c r="M1174" s="19" t="s">
        <v>541</v>
      </c>
      <c r="N1174" s="19">
        <v>50</v>
      </c>
      <c r="O1174" s="19">
        <v>92.305893358299997</v>
      </c>
      <c r="P1174" s="19">
        <v>94.0130963517</v>
      </c>
      <c r="Q1174" s="19">
        <v>47.006548175900001</v>
      </c>
      <c r="R1174" s="19" t="s">
        <v>870</v>
      </c>
      <c r="S1174" s="19">
        <v>0.9</v>
      </c>
      <c r="T1174" s="19">
        <v>0.9</v>
      </c>
      <c r="U1174" s="19">
        <v>42.305893358299997</v>
      </c>
      <c r="AA1174" s="19">
        <v>0</v>
      </c>
    </row>
    <row r="1175" spans="1:27" x14ac:dyDescent="0.25">
      <c r="A1175" s="19" t="s">
        <v>1363</v>
      </c>
      <c r="B1175" s="19" t="s">
        <v>1359</v>
      </c>
      <c r="C1175" s="19" t="s">
        <v>1360</v>
      </c>
      <c r="D1175" s="19">
        <v>1.1817499999999901</v>
      </c>
      <c r="E1175" s="19" t="s">
        <v>52</v>
      </c>
      <c r="F1175" s="19" t="s">
        <v>53</v>
      </c>
      <c r="G1175" s="19" t="s">
        <v>32</v>
      </c>
      <c r="H1175" s="19" t="s">
        <v>33</v>
      </c>
      <c r="I1175" s="19" t="s">
        <v>34</v>
      </c>
      <c r="J1175" s="19">
        <v>16</v>
      </c>
      <c r="K1175" s="19">
        <v>1.6299999999999999E-2</v>
      </c>
      <c r="L1175" s="19" t="s">
        <v>541</v>
      </c>
      <c r="M1175" s="19" t="s">
        <v>541</v>
      </c>
      <c r="N1175" s="19">
        <v>50</v>
      </c>
      <c r="O1175" s="19">
        <v>72.5</v>
      </c>
      <c r="P1175" s="19">
        <v>50</v>
      </c>
      <c r="Q1175" s="19">
        <v>25</v>
      </c>
      <c r="R1175" s="19" t="s">
        <v>870</v>
      </c>
      <c r="S1175" s="19">
        <v>0.9</v>
      </c>
      <c r="T1175" s="19">
        <v>0.9</v>
      </c>
      <c r="U1175" s="19">
        <v>22.5</v>
      </c>
      <c r="AA1175" s="19">
        <v>0</v>
      </c>
    </row>
    <row r="1176" spans="1:27" x14ac:dyDescent="0.25">
      <c r="A1176" s="19" t="s">
        <v>1364</v>
      </c>
      <c r="B1176" s="19" t="s">
        <v>1359</v>
      </c>
      <c r="C1176" s="19" t="s">
        <v>1360</v>
      </c>
      <c r="D1176" s="19">
        <v>1.5447947614593001</v>
      </c>
      <c r="E1176" s="19" t="s">
        <v>55</v>
      </c>
      <c r="F1176" s="19" t="s">
        <v>56</v>
      </c>
      <c r="G1176" s="19" t="s">
        <v>32</v>
      </c>
      <c r="H1176" s="19" t="s">
        <v>33</v>
      </c>
      <c r="I1176" s="19" t="s">
        <v>34</v>
      </c>
      <c r="J1176" s="19">
        <v>14</v>
      </c>
      <c r="K1176" s="19">
        <v>1.6299999999999999E-2</v>
      </c>
      <c r="L1176" s="19" t="s">
        <v>541</v>
      </c>
      <c r="M1176" s="19" t="s">
        <v>541</v>
      </c>
      <c r="N1176" s="19">
        <v>50</v>
      </c>
      <c r="O1176" s="19">
        <v>94.772684752100005</v>
      </c>
      <c r="P1176" s="19">
        <v>99.4948550047</v>
      </c>
      <c r="Q1176" s="19">
        <v>49.747427502299999</v>
      </c>
      <c r="R1176" s="19" t="s">
        <v>870</v>
      </c>
      <c r="S1176" s="19">
        <v>0.9</v>
      </c>
      <c r="T1176" s="19">
        <v>0.9</v>
      </c>
      <c r="U1176" s="19">
        <v>44.772684752099998</v>
      </c>
      <c r="AA1176" s="19">
        <v>0</v>
      </c>
    </row>
    <row r="1177" spans="1:27" x14ac:dyDescent="0.25">
      <c r="A1177" s="19" t="s">
        <v>1365</v>
      </c>
      <c r="B1177" s="19" t="s">
        <v>1359</v>
      </c>
      <c r="C1177" s="19" t="s">
        <v>1360</v>
      </c>
      <c r="D1177" s="19">
        <v>1.54849999999999</v>
      </c>
      <c r="E1177" s="19" t="s">
        <v>58</v>
      </c>
      <c r="F1177" s="19" t="s">
        <v>59</v>
      </c>
      <c r="G1177" s="19" t="s">
        <v>32</v>
      </c>
      <c r="H1177" s="19" t="s">
        <v>33</v>
      </c>
      <c r="I1177" s="19" t="s">
        <v>34</v>
      </c>
      <c r="J1177" s="19">
        <v>13</v>
      </c>
      <c r="K1177" s="19">
        <v>1.6299999999999999E-2</v>
      </c>
      <c r="L1177" s="19" t="s">
        <v>541</v>
      </c>
      <c r="M1177" s="19" t="s">
        <v>541</v>
      </c>
      <c r="N1177" s="19">
        <v>50</v>
      </c>
      <c r="O1177" s="19">
        <v>95</v>
      </c>
      <c r="P1177" s="19">
        <v>100</v>
      </c>
      <c r="Q1177" s="19">
        <v>50</v>
      </c>
      <c r="R1177" s="19" t="s">
        <v>870</v>
      </c>
      <c r="S1177" s="19">
        <v>0.9</v>
      </c>
      <c r="T1177" s="19">
        <v>0.9</v>
      </c>
      <c r="U1177" s="19">
        <v>45</v>
      </c>
      <c r="AA1177" s="19">
        <v>0</v>
      </c>
    </row>
    <row r="1178" spans="1:27" x14ac:dyDescent="0.25">
      <c r="A1178" s="19" t="s">
        <v>1366</v>
      </c>
      <c r="B1178" s="19" t="s">
        <v>1359</v>
      </c>
      <c r="C1178" s="19" t="s">
        <v>1360</v>
      </c>
      <c r="D1178" s="19">
        <v>1.6652915809167399</v>
      </c>
      <c r="E1178" s="19" t="s">
        <v>61</v>
      </c>
      <c r="F1178" s="19" t="s">
        <v>62</v>
      </c>
      <c r="G1178" s="19" t="s">
        <v>32</v>
      </c>
      <c r="H1178" s="19" t="s">
        <v>63</v>
      </c>
      <c r="I1178" s="19" t="s">
        <v>64</v>
      </c>
      <c r="J1178" s="19">
        <v>22</v>
      </c>
      <c r="K1178" s="19">
        <v>1.8599999999999998E-2</v>
      </c>
      <c r="L1178" s="19" t="s">
        <v>541</v>
      </c>
      <c r="M1178" s="19" t="s">
        <v>541</v>
      </c>
      <c r="N1178" s="19">
        <v>50</v>
      </c>
      <c r="O1178" s="19">
        <v>89.531805425599998</v>
      </c>
      <c r="P1178" s="19">
        <v>87.848456501399994</v>
      </c>
      <c r="Q1178" s="19">
        <v>43.924228250699997</v>
      </c>
      <c r="R1178" s="19" t="s">
        <v>870</v>
      </c>
      <c r="S1178" s="19">
        <v>0.9</v>
      </c>
      <c r="T1178" s="19">
        <v>0.9</v>
      </c>
      <c r="U1178" s="19">
        <v>39.531805425599998</v>
      </c>
      <c r="AA1178" s="19">
        <v>0</v>
      </c>
    </row>
    <row r="1179" spans="1:27" x14ac:dyDescent="0.25">
      <c r="A1179" s="19" t="s">
        <v>1367</v>
      </c>
      <c r="B1179" s="19" t="s">
        <v>1359</v>
      </c>
      <c r="C1179" s="19" t="s">
        <v>1360</v>
      </c>
      <c r="D1179" s="19">
        <v>1.50118007483629</v>
      </c>
      <c r="E1179" s="19" t="s">
        <v>69</v>
      </c>
      <c r="F1179" s="19" t="s">
        <v>70</v>
      </c>
      <c r="G1179" s="19" t="s">
        <v>32</v>
      </c>
      <c r="H1179" s="19" t="s">
        <v>63</v>
      </c>
      <c r="I1179" s="19" t="s">
        <v>64</v>
      </c>
      <c r="J1179" s="19">
        <v>23</v>
      </c>
      <c r="K1179" s="19">
        <v>1.8599999999999998E-2</v>
      </c>
      <c r="L1179" s="19" t="s">
        <v>541</v>
      </c>
      <c r="M1179" s="19" t="s">
        <v>541</v>
      </c>
      <c r="N1179" s="19">
        <v>50</v>
      </c>
      <c r="O1179" s="19">
        <v>80.708606173999996</v>
      </c>
      <c r="P1179" s="19">
        <v>68.241347053300004</v>
      </c>
      <c r="Q1179" s="19">
        <v>34.120673526700003</v>
      </c>
      <c r="R1179" s="19" t="s">
        <v>870</v>
      </c>
      <c r="S1179" s="19">
        <v>0.9</v>
      </c>
      <c r="T1179" s="19">
        <v>0.9</v>
      </c>
      <c r="U1179" s="19">
        <v>30.708606174</v>
      </c>
      <c r="AA1179" s="19">
        <v>0</v>
      </c>
    </row>
    <row r="1180" spans="1:27" x14ac:dyDescent="0.25">
      <c r="A1180" s="19" t="s">
        <v>1368</v>
      </c>
      <c r="B1180" s="19" t="s">
        <v>1359</v>
      </c>
      <c r="C1180" s="19" t="s">
        <v>1360</v>
      </c>
      <c r="D1180" s="19">
        <v>1.7668434050514501</v>
      </c>
      <c r="E1180" s="19" t="s">
        <v>72</v>
      </c>
      <c r="F1180" s="19" t="s">
        <v>73</v>
      </c>
      <c r="G1180" s="19" t="s">
        <v>32</v>
      </c>
      <c r="H1180" s="19" t="s">
        <v>63</v>
      </c>
      <c r="I1180" s="19" t="s">
        <v>64</v>
      </c>
      <c r="J1180" s="19">
        <v>21</v>
      </c>
      <c r="K1180" s="19">
        <v>1.8599999999999998E-2</v>
      </c>
      <c r="L1180" s="19" t="s">
        <v>541</v>
      </c>
      <c r="M1180" s="19" t="s">
        <v>541</v>
      </c>
      <c r="N1180" s="19">
        <v>50</v>
      </c>
      <c r="O1180" s="19">
        <v>94.991580916700002</v>
      </c>
      <c r="P1180" s="19">
        <v>99.981290926100002</v>
      </c>
      <c r="Q1180" s="19">
        <v>49.990645463</v>
      </c>
      <c r="R1180" s="19" t="s">
        <v>870</v>
      </c>
      <c r="S1180" s="19">
        <v>0.9</v>
      </c>
      <c r="T1180" s="19">
        <v>0.9</v>
      </c>
      <c r="U1180" s="19">
        <v>44.991580916700002</v>
      </c>
      <c r="AA1180" s="19">
        <v>0</v>
      </c>
    </row>
    <row r="1181" spans="1:27" x14ac:dyDescent="0.25">
      <c r="A1181" s="19" t="s">
        <v>1369</v>
      </c>
      <c r="B1181" s="19" t="s">
        <v>1359</v>
      </c>
      <c r="C1181" s="19" t="s">
        <v>1360</v>
      </c>
      <c r="D1181" s="19">
        <v>1.58511496725912</v>
      </c>
      <c r="E1181" s="19" t="s">
        <v>75</v>
      </c>
      <c r="F1181" s="19" t="s">
        <v>76</v>
      </c>
      <c r="G1181" s="19" t="s">
        <v>32</v>
      </c>
      <c r="H1181" s="19" t="s">
        <v>63</v>
      </c>
      <c r="I1181" s="19" t="s">
        <v>64</v>
      </c>
      <c r="J1181" s="19">
        <v>24</v>
      </c>
      <c r="K1181" s="19">
        <v>1.8599999999999998E-2</v>
      </c>
      <c r="L1181" s="19" t="s">
        <v>541</v>
      </c>
      <c r="M1181" s="19" t="s">
        <v>541</v>
      </c>
      <c r="N1181" s="19">
        <v>50</v>
      </c>
      <c r="O1181" s="19">
        <v>85.221234798899999</v>
      </c>
      <c r="P1181" s="19">
        <v>78.269410664199995</v>
      </c>
      <c r="Q1181" s="19">
        <v>39.134705332099998</v>
      </c>
      <c r="R1181" s="19" t="s">
        <v>870</v>
      </c>
      <c r="S1181" s="19">
        <v>0.9</v>
      </c>
      <c r="T1181" s="19">
        <v>0.9</v>
      </c>
      <c r="U1181" s="19">
        <v>35.221234798899999</v>
      </c>
      <c r="AA1181" s="19">
        <v>0</v>
      </c>
    </row>
    <row r="1182" spans="1:27" x14ac:dyDescent="0.25">
      <c r="A1182" s="19" t="s">
        <v>1370</v>
      </c>
      <c r="B1182" s="19" t="s">
        <v>1359</v>
      </c>
      <c r="C1182" s="19" t="s">
        <v>1360</v>
      </c>
      <c r="D1182" s="19">
        <v>3.0874999999999999</v>
      </c>
      <c r="E1182" s="19" t="s">
        <v>85</v>
      </c>
      <c r="F1182" s="19" t="s">
        <v>86</v>
      </c>
      <c r="G1182" s="19" t="s">
        <v>32</v>
      </c>
      <c r="H1182" s="19" t="s">
        <v>87</v>
      </c>
      <c r="I1182" s="19" t="s">
        <v>88</v>
      </c>
      <c r="J1182" s="19">
        <v>35</v>
      </c>
      <c r="K1182" s="19">
        <v>3.2500000000000001E-2</v>
      </c>
      <c r="L1182" s="19" t="s">
        <v>541</v>
      </c>
      <c r="M1182" s="19" t="s">
        <v>541</v>
      </c>
      <c r="N1182" s="19">
        <v>50</v>
      </c>
      <c r="O1182" s="19">
        <v>95</v>
      </c>
      <c r="P1182" s="19">
        <v>100</v>
      </c>
      <c r="Q1182" s="19">
        <v>50</v>
      </c>
      <c r="R1182" s="19" t="s">
        <v>870</v>
      </c>
      <c r="S1182" s="19">
        <v>0.9</v>
      </c>
      <c r="T1182" s="19">
        <v>0.9</v>
      </c>
      <c r="U1182" s="19">
        <v>45</v>
      </c>
      <c r="AA1182" s="19">
        <v>0</v>
      </c>
    </row>
    <row r="1183" spans="1:27" x14ac:dyDescent="0.25">
      <c r="A1183" s="19" t="s">
        <v>1371</v>
      </c>
      <c r="B1183" s="19" t="s">
        <v>1359</v>
      </c>
      <c r="C1183" s="19" t="s">
        <v>1360</v>
      </c>
      <c r="D1183" s="19">
        <v>0</v>
      </c>
      <c r="E1183" s="19" t="s">
        <v>38</v>
      </c>
      <c r="F1183" s="19" t="s">
        <v>39</v>
      </c>
      <c r="G1183" s="19" t="s">
        <v>32</v>
      </c>
      <c r="H1183" s="19" t="s">
        <v>33</v>
      </c>
      <c r="I1183" s="19" t="s">
        <v>34</v>
      </c>
      <c r="J1183" s="19">
        <v>19</v>
      </c>
      <c r="K1183" s="19">
        <v>1.6299999999999999E-2</v>
      </c>
      <c r="L1183" s="19" t="s">
        <v>35</v>
      </c>
      <c r="N1183" s="19">
        <v>0</v>
      </c>
      <c r="O1183" s="19">
        <v>0</v>
      </c>
      <c r="P1183" s="19">
        <v>0</v>
      </c>
      <c r="Q1183" s="19">
        <v>0</v>
      </c>
      <c r="R1183" s="19" t="s">
        <v>870</v>
      </c>
      <c r="S1183" s="19">
        <v>0.9</v>
      </c>
      <c r="T1183" s="19">
        <v>1</v>
      </c>
      <c r="U1183" s="19">
        <v>0</v>
      </c>
      <c r="V1183" s="19" t="s">
        <v>36</v>
      </c>
      <c r="W1183" s="19">
        <v>0</v>
      </c>
      <c r="Z1183" s="19">
        <v>0</v>
      </c>
      <c r="AA1183" s="19">
        <v>0</v>
      </c>
    </row>
    <row r="1184" spans="1:27" x14ac:dyDescent="0.25">
      <c r="A1184" s="19" t="s">
        <v>1372</v>
      </c>
      <c r="B1184" s="19" t="s">
        <v>1359</v>
      </c>
      <c r="C1184" s="19" t="s">
        <v>1360</v>
      </c>
      <c r="D1184" s="19">
        <v>0</v>
      </c>
      <c r="E1184" s="19" t="s">
        <v>49</v>
      </c>
      <c r="F1184" s="19" t="s">
        <v>50</v>
      </c>
      <c r="G1184" s="19" t="s">
        <v>32</v>
      </c>
      <c r="H1184" s="19" t="s">
        <v>33</v>
      </c>
      <c r="I1184" s="19" t="s">
        <v>34</v>
      </c>
      <c r="J1184" s="19">
        <v>12</v>
      </c>
      <c r="K1184" s="19">
        <v>1.6299999999999999E-2</v>
      </c>
      <c r="L1184" s="19" t="s">
        <v>35</v>
      </c>
      <c r="N1184" s="19">
        <v>0</v>
      </c>
      <c r="O1184" s="19">
        <v>0</v>
      </c>
      <c r="P1184" s="19">
        <v>0</v>
      </c>
      <c r="Q1184" s="19">
        <v>0</v>
      </c>
      <c r="R1184" s="19" t="s">
        <v>870</v>
      </c>
      <c r="S1184" s="19">
        <v>0.9</v>
      </c>
      <c r="T1184" s="19">
        <v>1</v>
      </c>
      <c r="U1184" s="19">
        <v>0</v>
      </c>
      <c r="V1184" s="19" t="s">
        <v>36</v>
      </c>
      <c r="W1184" s="19">
        <v>0</v>
      </c>
      <c r="Z1184" s="19">
        <v>0</v>
      </c>
      <c r="AA1184" s="19">
        <v>0</v>
      </c>
    </row>
    <row r="1185" spans="1:27" x14ac:dyDescent="0.25">
      <c r="A1185" s="19" t="s">
        <v>1373</v>
      </c>
      <c r="B1185" s="19" t="s">
        <v>1359</v>
      </c>
      <c r="C1185" s="19" t="s">
        <v>1360</v>
      </c>
      <c r="D1185" s="19">
        <v>0.92999999999999905</v>
      </c>
      <c r="E1185" s="19" t="s">
        <v>66</v>
      </c>
      <c r="F1185" s="19" t="s">
        <v>67</v>
      </c>
      <c r="G1185" s="19" t="s">
        <v>32</v>
      </c>
      <c r="H1185" s="19" t="s">
        <v>63</v>
      </c>
      <c r="I1185" s="19" t="s">
        <v>64</v>
      </c>
      <c r="J1185" s="19">
        <v>20</v>
      </c>
      <c r="K1185" s="19">
        <v>1.8599999999999998E-2</v>
      </c>
      <c r="L1185" s="19" t="s">
        <v>35</v>
      </c>
      <c r="M1185" s="19" t="s">
        <v>142</v>
      </c>
      <c r="N1185" s="19">
        <v>50</v>
      </c>
      <c r="O1185" s="19">
        <v>50</v>
      </c>
      <c r="P1185" s="19">
        <v>0</v>
      </c>
      <c r="Q1185" s="19">
        <v>0</v>
      </c>
      <c r="R1185" s="19" t="s">
        <v>870</v>
      </c>
      <c r="S1185" s="19">
        <v>0.9</v>
      </c>
      <c r="T1185" s="19">
        <v>1</v>
      </c>
      <c r="U1185" s="19">
        <v>0</v>
      </c>
      <c r="V1185" s="19" t="s">
        <v>41</v>
      </c>
      <c r="W1185" s="19">
        <v>1</v>
      </c>
      <c r="Y1185" s="19" t="s">
        <v>142</v>
      </c>
      <c r="Z1185" s="19">
        <v>50</v>
      </c>
      <c r="AA1185" s="19">
        <v>50</v>
      </c>
    </row>
    <row r="1186" spans="1:27" x14ac:dyDescent="0.25">
      <c r="A1186" s="19" t="s">
        <v>1374</v>
      </c>
      <c r="B1186" s="19" t="s">
        <v>1359</v>
      </c>
      <c r="C1186" s="19" t="s">
        <v>1360</v>
      </c>
      <c r="D1186" s="19">
        <v>0</v>
      </c>
      <c r="E1186" s="19" t="s">
        <v>78</v>
      </c>
      <c r="F1186" s="19" t="s">
        <v>79</v>
      </c>
      <c r="G1186" s="19" t="s">
        <v>32</v>
      </c>
      <c r="H1186" s="19" t="s">
        <v>63</v>
      </c>
      <c r="I1186" s="19" t="s">
        <v>64</v>
      </c>
      <c r="J1186" s="19">
        <v>25</v>
      </c>
      <c r="K1186" s="19">
        <v>1.8599999999999998E-2</v>
      </c>
      <c r="L1186" s="19" t="s">
        <v>35</v>
      </c>
      <c r="N1186" s="19">
        <v>0</v>
      </c>
      <c r="O1186" s="19">
        <v>0</v>
      </c>
      <c r="P1186" s="19">
        <v>0</v>
      </c>
      <c r="Q1186" s="19">
        <v>0</v>
      </c>
      <c r="R1186" s="19" t="s">
        <v>870</v>
      </c>
      <c r="S1186" s="19">
        <v>0.9</v>
      </c>
      <c r="T1186" s="19">
        <v>1</v>
      </c>
      <c r="U1186" s="19">
        <v>0</v>
      </c>
      <c r="V1186" s="19" t="s">
        <v>36</v>
      </c>
      <c r="W1186" s="19">
        <v>0</v>
      </c>
      <c r="Z1186" s="19">
        <v>0</v>
      </c>
      <c r="AA1186" s="19">
        <v>0</v>
      </c>
    </row>
    <row r="1187" spans="1:27" x14ac:dyDescent="0.25">
      <c r="A1187" s="19" t="s">
        <v>1375</v>
      </c>
      <c r="B1187" s="19" t="s">
        <v>1359</v>
      </c>
      <c r="C1187" s="19" t="s">
        <v>1360</v>
      </c>
      <c r="D1187" s="19">
        <v>0.92999999999999905</v>
      </c>
      <c r="E1187" s="19" t="s">
        <v>82</v>
      </c>
      <c r="F1187" s="19" t="s">
        <v>83</v>
      </c>
      <c r="G1187" s="19" t="s">
        <v>32</v>
      </c>
      <c r="H1187" s="19" t="s">
        <v>63</v>
      </c>
      <c r="I1187" s="19" t="s">
        <v>64</v>
      </c>
      <c r="J1187" s="19">
        <v>26</v>
      </c>
      <c r="K1187" s="19">
        <v>1.8599999999999998E-2</v>
      </c>
      <c r="L1187" s="19" t="s">
        <v>35</v>
      </c>
      <c r="M1187" s="19" t="s">
        <v>142</v>
      </c>
      <c r="N1187" s="19">
        <v>50</v>
      </c>
      <c r="O1187" s="19">
        <v>50</v>
      </c>
      <c r="P1187" s="19">
        <v>0</v>
      </c>
      <c r="Q1187" s="19">
        <v>0</v>
      </c>
      <c r="R1187" s="19" t="s">
        <v>870</v>
      </c>
      <c r="S1187" s="19">
        <v>0.9</v>
      </c>
      <c r="T1187" s="19">
        <v>1</v>
      </c>
      <c r="U1187" s="19">
        <v>0</v>
      </c>
      <c r="V1187" s="19" t="s">
        <v>41</v>
      </c>
      <c r="W1187" s="19">
        <v>1</v>
      </c>
      <c r="Y1187" s="19" t="s">
        <v>142</v>
      </c>
      <c r="Z1187" s="19">
        <v>50</v>
      </c>
      <c r="AA1187" s="19">
        <v>50</v>
      </c>
    </row>
    <row r="1188" spans="1:27" x14ac:dyDescent="0.25">
      <c r="A1188" s="19" t="s">
        <v>1376</v>
      </c>
      <c r="B1188" s="19" t="s">
        <v>1359</v>
      </c>
      <c r="C1188" s="19" t="s">
        <v>1360</v>
      </c>
      <c r="D1188" s="19">
        <v>0</v>
      </c>
      <c r="E1188" s="19" t="s">
        <v>90</v>
      </c>
      <c r="F1188" s="19" t="s">
        <v>91</v>
      </c>
      <c r="G1188" s="19" t="s">
        <v>32</v>
      </c>
      <c r="H1188" s="19" t="s">
        <v>87</v>
      </c>
      <c r="I1188" s="19" t="s">
        <v>88</v>
      </c>
      <c r="J1188" s="19">
        <v>33</v>
      </c>
      <c r="K1188" s="19">
        <v>3.2500000000000001E-2</v>
      </c>
      <c r="L1188" s="19" t="s">
        <v>35</v>
      </c>
      <c r="N1188" s="19">
        <v>0</v>
      </c>
      <c r="O1188" s="19">
        <v>0</v>
      </c>
      <c r="P1188" s="19">
        <v>0</v>
      </c>
      <c r="Q1188" s="19">
        <v>0</v>
      </c>
      <c r="R1188" s="19" t="s">
        <v>870</v>
      </c>
      <c r="S1188" s="19">
        <v>0.9</v>
      </c>
      <c r="T1188" s="19">
        <v>1</v>
      </c>
      <c r="U1188" s="19">
        <v>0</v>
      </c>
      <c r="V1188" s="19" t="s">
        <v>36</v>
      </c>
      <c r="W1188" s="19">
        <v>0</v>
      </c>
      <c r="Z1188" s="19">
        <v>0</v>
      </c>
      <c r="AA1188" s="19">
        <v>0</v>
      </c>
    </row>
    <row r="1189" spans="1:27" x14ac:dyDescent="0.25">
      <c r="A1189" s="19" t="s">
        <v>1377</v>
      </c>
      <c r="B1189" s="19" t="s">
        <v>1359</v>
      </c>
      <c r="C1189" s="19" t="s">
        <v>1360</v>
      </c>
      <c r="D1189" s="19">
        <v>1.625</v>
      </c>
      <c r="E1189" s="19" t="s">
        <v>93</v>
      </c>
      <c r="F1189" s="19" t="s">
        <v>94</v>
      </c>
      <c r="G1189" s="19" t="s">
        <v>32</v>
      </c>
      <c r="H1189" s="19" t="s">
        <v>87</v>
      </c>
      <c r="I1189" s="19" t="s">
        <v>88</v>
      </c>
      <c r="J1189" s="19">
        <v>34</v>
      </c>
      <c r="K1189" s="19">
        <v>3.2500000000000001E-2</v>
      </c>
      <c r="L1189" s="19" t="s">
        <v>35</v>
      </c>
      <c r="M1189" s="19" t="s">
        <v>142</v>
      </c>
      <c r="N1189" s="19">
        <v>50</v>
      </c>
      <c r="O1189" s="19">
        <v>50</v>
      </c>
      <c r="P1189" s="19">
        <v>0</v>
      </c>
      <c r="Q1189" s="19">
        <v>0</v>
      </c>
      <c r="R1189" s="19" t="s">
        <v>870</v>
      </c>
      <c r="S1189" s="19">
        <v>0.9</v>
      </c>
      <c r="T1189" s="19">
        <v>1</v>
      </c>
      <c r="U1189" s="19">
        <v>0</v>
      </c>
      <c r="V1189" s="19" t="s">
        <v>41</v>
      </c>
      <c r="W1189" s="19">
        <v>1</v>
      </c>
      <c r="Y1189" s="19" t="s">
        <v>142</v>
      </c>
      <c r="Z1189" s="19">
        <v>50</v>
      </c>
      <c r="AA1189" s="19">
        <v>50</v>
      </c>
    </row>
    <row r="1190" spans="1:27" x14ac:dyDescent="0.25">
      <c r="A1190" s="19" t="s">
        <v>1378</v>
      </c>
      <c r="B1190" s="19" t="s">
        <v>1359</v>
      </c>
      <c r="C1190" s="19" t="s">
        <v>1360</v>
      </c>
      <c r="D1190" s="19">
        <v>0</v>
      </c>
      <c r="E1190" s="19" t="s">
        <v>96</v>
      </c>
      <c r="F1190" s="19" t="s">
        <v>97</v>
      </c>
      <c r="G1190" s="19" t="s">
        <v>32</v>
      </c>
      <c r="H1190" s="19" t="s">
        <v>87</v>
      </c>
      <c r="I1190" s="19" t="s">
        <v>88</v>
      </c>
      <c r="J1190" s="19">
        <v>36</v>
      </c>
      <c r="K1190" s="19">
        <v>3.2500000000000001E-2</v>
      </c>
      <c r="L1190" s="19" t="s">
        <v>35</v>
      </c>
      <c r="N1190" s="19">
        <v>0</v>
      </c>
      <c r="O1190" s="19">
        <v>0</v>
      </c>
      <c r="P1190" s="19">
        <v>0</v>
      </c>
      <c r="Q1190" s="19">
        <v>0</v>
      </c>
      <c r="R1190" s="19" t="s">
        <v>870</v>
      </c>
      <c r="S1190" s="19">
        <v>0.9</v>
      </c>
      <c r="T1190" s="19">
        <v>1</v>
      </c>
      <c r="U1190" s="19">
        <v>0</v>
      </c>
      <c r="V1190" s="19" t="s">
        <v>36</v>
      </c>
      <c r="W1190" s="19">
        <v>0</v>
      </c>
      <c r="Z1190" s="19">
        <v>0</v>
      </c>
      <c r="AA1190" s="19">
        <v>0</v>
      </c>
    </row>
    <row r="1191" spans="1:27" x14ac:dyDescent="0.25">
      <c r="A1191" s="19" t="s">
        <v>1379</v>
      </c>
      <c r="B1191" s="19" t="s">
        <v>1359</v>
      </c>
      <c r="C1191" s="19" t="s">
        <v>1360</v>
      </c>
      <c r="D1191" s="19">
        <v>0</v>
      </c>
      <c r="E1191" s="19" t="s">
        <v>99</v>
      </c>
      <c r="F1191" s="19" t="s">
        <v>100</v>
      </c>
      <c r="G1191" s="19" t="s">
        <v>32</v>
      </c>
      <c r="H1191" s="19" t="s">
        <v>101</v>
      </c>
      <c r="I1191" s="19" t="s">
        <v>102</v>
      </c>
      <c r="J1191" s="19">
        <v>39</v>
      </c>
      <c r="K1191" s="19">
        <v>4.3299999999999998E-2</v>
      </c>
      <c r="L1191" s="19" t="s">
        <v>35</v>
      </c>
      <c r="M1191" s="19" t="s">
        <v>103</v>
      </c>
      <c r="N1191" s="19">
        <v>0</v>
      </c>
      <c r="O1191" s="19">
        <v>0</v>
      </c>
      <c r="P1191" s="19">
        <v>0</v>
      </c>
      <c r="Q1191" s="19">
        <v>0</v>
      </c>
      <c r="R1191" s="19" t="s">
        <v>870</v>
      </c>
      <c r="S1191" s="19">
        <v>0.9</v>
      </c>
      <c r="T1191" s="19">
        <v>1</v>
      </c>
      <c r="U1191" s="19">
        <v>0</v>
      </c>
      <c r="V1191" s="19" t="s">
        <v>36</v>
      </c>
      <c r="W1191" s="19">
        <v>0</v>
      </c>
      <c r="Y1191" s="19" t="s">
        <v>103</v>
      </c>
      <c r="Z1191" s="19">
        <v>50</v>
      </c>
      <c r="AA1191" s="19">
        <v>0</v>
      </c>
    </row>
    <row r="1192" spans="1:27" x14ac:dyDescent="0.25">
      <c r="A1192" s="19" t="s">
        <v>1380</v>
      </c>
      <c r="B1192" s="19" t="s">
        <v>1359</v>
      </c>
      <c r="C1192" s="19" t="s">
        <v>1360</v>
      </c>
      <c r="D1192" s="19">
        <v>0</v>
      </c>
      <c r="E1192" s="19" t="s">
        <v>105</v>
      </c>
      <c r="F1192" s="19" t="s">
        <v>106</v>
      </c>
      <c r="G1192" s="19" t="s">
        <v>32</v>
      </c>
      <c r="H1192" s="19" t="s">
        <v>101</v>
      </c>
      <c r="I1192" s="19" t="s">
        <v>102</v>
      </c>
      <c r="J1192" s="19">
        <v>38</v>
      </c>
      <c r="K1192" s="19">
        <v>4.3299999999999998E-2</v>
      </c>
      <c r="L1192" s="19" t="s">
        <v>35</v>
      </c>
      <c r="M1192" s="19" t="s">
        <v>103</v>
      </c>
      <c r="N1192" s="19">
        <v>0</v>
      </c>
      <c r="O1192" s="19">
        <v>0</v>
      </c>
      <c r="P1192" s="19">
        <v>0</v>
      </c>
      <c r="Q1192" s="19">
        <v>0</v>
      </c>
      <c r="R1192" s="19" t="s">
        <v>870</v>
      </c>
      <c r="S1192" s="19">
        <v>0.9</v>
      </c>
      <c r="T1192" s="19">
        <v>1</v>
      </c>
      <c r="U1192" s="19">
        <v>0</v>
      </c>
      <c r="V1192" s="19" t="s">
        <v>36</v>
      </c>
      <c r="W1192" s="19">
        <v>0</v>
      </c>
      <c r="Y1192" s="19" t="s">
        <v>103</v>
      </c>
      <c r="Z1192" s="19">
        <v>50</v>
      </c>
      <c r="AA1192" s="19">
        <v>0</v>
      </c>
    </row>
    <row r="1193" spans="1:27" x14ac:dyDescent="0.25">
      <c r="A1193" s="19" t="s">
        <v>1381</v>
      </c>
      <c r="B1193" s="19" t="s">
        <v>1359</v>
      </c>
      <c r="C1193" s="19" t="s">
        <v>1360</v>
      </c>
      <c r="D1193" s="19">
        <v>0</v>
      </c>
      <c r="E1193" s="19" t="s">
        <v>108</v>
      </c>
      <c r="F1193" s="19" t="s">
        <v>109</v>
      </c>
      <c r="G1193" s="19" t="s">
        <v>32</v>
      </c>
      <c r="H1193" s="19" t="s">
        <v>101</v>
      </c>
      <c r="I1193" s="19" t="s">
        <v>102</v>
      </c>
      <c r="J1193" s="19">
        <v>37</v>
      </c>
      <c r="K1193" s="19">
        <v>4.3299999999999998E-2</v>
      </c>
      <c r="L1193" s="19" t="s">
        <v>35</v>
      </c>
      <c r="M1193" s="19" t="s">
        <v>110</v>
      </c>
      <c r="N1193" s="19">
        <v>0</v>
      </c>
      <c r="O1193" s="19">
        <v>0</v>
      </c>
      <c r="P1193" s="19">
        <v>0</v>
      </c>
      <c r="Q1193" s="19">
        <v>0</v>
      </c>
      <c r="R1193" s="19" t="s">
        <v>870</v>
      </c>
      <c r="S1193" s="19">
        <v>0.9</v>
      </c>
      <c r="T1193" s="19">
        <v>1</v>
      </c>
      <c r="U1193" s="19">
        <v>0</v>
      </c>
      <c r="V1193" s="19" t="s">
        <v>80</v>
      </c>
      <c r="W1193" s="19">
        <v>0</v>
      </c>
      <c r="Y1193" s="19" t="s">
        <v>110</v>
      </c>
      <c r="Z1193" s="19">
        <v>16.664999999999999</v>
      </c>
      <c r="AA1193" s="19">
        <v>0</v>
      </c>
    </row>
    <row r="1194" spans="1:27" x14ac:dyDescent="0.25">
      <c r="A1194" s="19" t="s">
        <v>1382</v>
      </c>
      <c r="B1194" s="19" t="s">
        <v>1359</v>
      </c>
      <c r="C1194" s="19" t="s">
        <v>1360</v>
      </c>
      <c r="D1194" s="19">
        <v>0</v>
      </c>
      <c r="E1194" s="19" t="s">
        <v>112</v>
      </c>
      <c r="F1194" s="19" t="s">
        <v>113</v>
      </c>
      <c r="G1194" s="19" t="s">
        <v>32</v>
      </c>
      <c r="H1194" s="19" t="s">
        <v>114</v>
      </c>
      <c r="I1194" s="19" t="s">
        <v>115</v>
      </c>
      <c r="J1194" s="19">
        <v>30</v>
      </c>
      <c r="K1194" s="19">
        <v>2.1700000000000001E-2</v>
      </c>
      <c r="L1194" s="19" t="s">
        <v>35</v>
      </c>
      <c r="M1194" s="19" t="s">
        <v>103</v>
      </c>
      <c r="N1194" s="19">
        <v>0</v>
      </c>
      <c r="O1194" s="19">
        <v>0</v>
      </c>
      <c r="P1194" s="19">
        <v>0</v>
      </c>
      <c r="Q1194" s="19">
        <v>0</v>
      </c>
      <c r="R1194" s="19" t="s">
        <v>870</v>
      </c>
      <c r="S1194" s="19">
        <v>0.9</v>
      </c>
      <c r="T1194" s="19">
        <v>1</v>
      </c>
      <c r="U1194" s="19">
        <v>0</v>
      </c>
      <c r="V1194" s="19" t="s">
        <v>36</v>
      </c>
      <c r="W1194" s="19">
        <v>0</v>
      </c>
      <c r="Y1194" s="19" t="s">
        <v>103</v>
      </c>
      <c r="Z1194" s="19">
        <v>50</v>
      </c>
      <c r="AA1194" s="19">
        <v>0</v>
      </c>
    </row>
    <row r="1195" spans="1:27" x14ac:dyDescent="0.25">
      <c r="A1195" s="19" t="s">
        <v>1383</v>
      </c>
      <c r="B1195" s="19" t="s">
        <v>1359</v>
      </c>
      <c r="C1195" s="19" t="s">
        <v>1360</v>
      </c>
      <c r="D1195" s="19">
        <v>0</v>
      </c>
      <c r="E1195" s="19" t="s">
        <v>117</v>
      </c>
      <c r="F1195" s="19" t="s">
        <v>118</v>
      </c>
      <c r="G1195" s="19" t="s">
        <v>32</v>
      </c>
      <c r="H1195" s="19" t="s">
        <v>114</v>
      </c>
      <c r="I1195" s="19" t="s">
        <v>115</v>
      </c>
      <c r="J1195" s="19">
        <v>31</v>
      </c>
      <c r="K1195" s="19">
        <v>2.1700000000000001E-2</v>
      </c>
      <c r="L1195" s="19" t="s">
        <v>35</v>
      </c>
      <c r="M1195" s="19" t="s">
        <v>103</v>
      </c>
      <c r="N1195" s="19">
        <v>0</v>
      </c>
      <c r="O1195" s="19">
        <v>0</v>
      </c>
      <c r="P1195" s="19">
        <v>0</v>
      </c>
      <c r="Q1195" s="19">
        <v>0</v>
      </c>
      <c r="R1195" s="19" t="s">
        <v>870</v>
      </c>
      <c r="S1195" s="19">
        <v>0.9</v>
      </c>
      <c r="T1195" s="19">
        <v>1</v>
      </c>
      <c r="U1195" s="19">
        <v>0</v>
      </c>
      <c r="V1195" s="19" t="s">
        <v>36</v>
      </c>
      <c r="W1195" s="19">
        <v>0</v>
      </c>
      <c r="Y1195" s="19" t="s">
        <v>103</v>
      </c>
      <c r="Z1195" s="19">
        <v>50</v>
      </c>
      <c r="AA1195" s="19">
        <v>0</v>
      </c>
    </row>
    <row r="1196" spans="1:27" x14ac:dyDescent="0.25">
      <c r="A1196" s="19" t="s">
        <v>1384</v>
      </c>
      <c r="B1196" s="19" t="s">
        <v>1359</v>
      </c>
      <c r="C1196" s="19" t="s">
        <v>1360</v>
      </c>
      <c r="D1196" s="19">
        <v>1.085</v>
      </c>
      <c r="E1196" s="19" t="s">
        <v>120</v>
      </c>
      <c r="F1196" s="19" t="s">
        <v>121</v>
      </c>
      <c r="G1196" s="19" t="s">
        <v>32</v>
      </c>
      <c r="H1196" s="19" t="s">
        <v>114</v>
      </c>
      <c r="I1196" s="19" t="s">
        <v>115</v>
      </c>
      <c r="J1196" s="19">
        <v>28</v>
      </c>
      <c r="K1196" s="19">
        <v>2.1700000000000001E-2</v>
      </c>
      <c r="L1196" s="19" t="s">
        <v>35</v>
      </c>
      <c r="M1196" s="19" t="s">
        <v>103</v>
      </c>
      <c r="N1196" s="19">
        <v>50</v>
      </c>
      <c r="O1196" s="19">
        <v>50</v>
      </c>
      <c r="P1196" s="19">
        <v>0</v>
      </c>
      <c r="Q1196" s="19">
        <v>0</v>
      </c>
      <c r="R1196" s="19" t="s">
        <v>870</v>
      </c>
      <c r="S1196" s="19">
        <v>0.9</v>
      </c>
      <c r="T1196" s="19">
        <v>1</v>
      </c>
      <c r="U1196" s="19">
        <v>0</v>
      </c>
      <c r="V1196" s="19" t="s">
        <v>41</v>
      </c>
      <c r="W1196" s="19">
        <v>1</v>
      </c>
      <c r="Y1196" s="19" t="s">
        <v>103</v>
      </c>
      <c r="Z1196" s="19">
        <v>50</v>
      </c>
      <c r="AA1196" s="19">
        <v>50</v>
      </c>
    </row>
    <row r="1197" spans="1:27" x14ac:dyDescent="0.25">
      <c r="A1197" s="19" t="s">
        <v>1385</v>
      </c>
      <c r="B1197" s="19" t="s">
        <v>1359</v>
      </c>
      <c r="C1197" s="19" t="s">
        <v>1360</v>
      </c>
      <c r="D1197" s="19">
        <v>0</v>
      </c>
      <c r="E1197" s="19" t="s">
        <v>123</v>
      </c>
      <c r="F1197" s="19" t="s">
        <v>124</v>
      </c>
      <c r="G1197" s="19" t="s">
        <v>32</v>
      </c>
      <c r="H1197" s="19" t="s">
        <v>114</v>
      </c>
      <c r="I1197" s="19" t="s">
        <v>115</v>
      </c>
      <c r="J1197" s="19">
        <v>27</v>
      </c>
      <c r="K1197" s="19">
        <v>2.1700000000000001E-2</v>
      </c>
      <c r="L1197" s="19" t="s">
        <v>35</v>
      </c>
      <c r="M1197" s="19" t="s">
        <v>103</v>
      </c>
      <c r="N1197" s="19">
        <v>0</v>
      </c>
      <c r="O1197" s="19">
        <v>0</v>
      </c>
      <c r="P1197" s="19">
        <v>0</v>
      </c>
      <c r="Q1197" s="19">
        <v>0</v>
      </c>
      <c r="R1197" s="19" t="s">
        <v>870</v>
      </c>
      <c r="S1197" s="19">
        <v>0.9</v>
      </c>
      <c r="T1197" s="19">
        <v>1</v>
      </c>
      <c r="U1197" s="19">
        <v>0</v>
      </c>
      <c r="V1197" s="19" t="s">
        <v>36</v>
      </c>
      <c r="W1197" s="19">
        <v>0</v>
      </c>
      <c r="Y1197" s="19" t="s">
        <v>103</v>
      </c>
      <c r="Z1197" s="19">
        <v>50</v>
      </c>
      <c r="AA1197" s="19">
        <v>0</v>
      </c>
    </row>
    <row r="1198" spans="1:27" x14ac:dyDescent="0.25">
      <c r="A1198" s="19" t="s">
        <v>1386</v>
      </c>
      <c r="B1198" s="19" t="s">
        <v>1359</v>
      </c>
      <c r="C1198" s="19" t="s">
        <v>1360</v>
      </c>
      <c r="D1198" s="19">
        <v>0</v>
      </c>
      <c r="E1198" s="19" t="s">
        <v>126</v>
      </c>
      <c r="F1198" s="19" t="s">
        <v>127</v>
      </c>
      <c r="G1198" s="19" t="s">
        <v>32</v>
      </c>
      <c r="H1198" s="19" t="s">
        <v>114</v>
      </c>
      <c r="I1198" s="19" t="s">
        <v>115</v>
      </c>
      <c r="J1198" s="19">
        <v>29</v>
      </c>
      <c r="K1198" s="19">
        <v>2.1700000000000001E-2</v>
      </c>
      <c r="L1198" s="19" t="s">
        <v>35</v>
      </c>
      <c r="M1198" s="19" t="s">
        <v>103</v>
      </c>
      <c r="N1198" s="19">
        <v>0</v>
      </c>
      <c r="O1198" s="19">
        <v>0</v>
      </c>
      <c r="P1198" s="19">
        <v>0</v>
      </c>
      <c r="Q1198" s="19">
        <v>0</v>
      </c>
      <c r="R1198" s="19" t="s">
        <v>870</v>
      </c>
      <c r="S1198" s="19">
        <v>0.9</v>
      </c>
      <c r="T1198" s="19">
        <v>1</v>
      </c>
      <c r="U1198" s="19">
        <v>0</v>
      </c>
      <c r="V1198" s="19" t="s">
        <v>36</v>
      </c>
      <c r="W1198" s="19">
        <v>0</v>
      </c>
      <c r="Y1198" s="19" t="s">
        <v>103</v>
      </c>
      <c r="Z1198" s="19">
        <v>50</v>
      </c>
      <c r="AA1198" s="19">
        <v>0</v>
      </c>
    </row>
    <row r="1199" spans="1:27" x14ac:dyDescent="0.25">
      <c r="A1199" s="19" t="s">
        <v>1387</v>
      </c>
      <c r="B1199" s="19" t="s">
        <v>1359</v>
      </c>
      <c r="C1199" s="19" t="s">
        <v>1360</v>
      </c>
      <c r="D1199" s="19">
        <v>0</v>
      </c>
      <c r="E1199" s="19" t="s">
        <v>129</v>
      </c>
      <c r="F1199" s="19" t="s">
        <v>130</v>
      </c>
      <c r="G1199" s="19" t="s">
        <v>32</v>
      </c>
      <c r="H1199" s="19" t="s">
        <v>114</v>
      </c>
      <c r="I1199" s="19" t="s">
        <v>115</v>
      </c>
      <c r="J1199" s="19">
        <v>32</v>
      </c>
      <c r="K1199" s="19">
        <v>2.1700000000000001E-2</v>
      </c>
      <c r="L1199" s="19" t="s">
        <v>35</v>
      </c>
      <c r="M1199" s="19" t="s">
        <v>103</v>
      </c>
      <c r="N1199" s="19">
        <v>0</v>
      </c>
      <c r="O1199" s="19">
        <v>0</v>
      </c>
      <c r="P1199" s="19">
        <v>0</v>
      </c>
      <c r="Q1199" s="19">
        <v>0</v>
      </c>
      <c r="R1199" s="19" t="s">
        <v>870</v>
      </c>
      <c r="S1199" s="19">
        <v>0.9</v>
      </c>
      <c r="T1199" s="19">
        <v>1</v>
      </c>
      <c r="U1199" s="19">
        <v>0</v>
      </c>
      <c r="V1199" s="19" t="s">
        <v>36</v>
      </c>
      <c r="W1199" s="19">
        <v>0</v>
      </c>
      <c r="Y1199" s="19" t="s">
        <v>103</v>
      </c>
      <c r="Z1199" s="19">
        <v>50</v>
      </c>
      <c r="AA1199" s="19">
        <v>0</v>
      </c>
    </row>
    <row r="1200" spans="1:27" x14ac:dyDescent="0.25">
      <c r="A1200" s="19" t="s">
        <v>1388</v>
      </c>
      <c r="B1200" s="19" t="s">
        <v>1359</v>
      </c>
      <c r="C1200" s="19" t="s">
        <v>1360</v>
      </c>
      <c r="D1200" s="19">
        <v>2.085</v>
      </c>
      <c r="E1200" s="19" t="s">
        <v>132</v>
      </c>
      <c r="F1200" s="19" t="s">
        <v>133</v>
      </c>
      <c r="G1200" s="19" t="s">
        <v>134</v>
      </c>
      <c r="H1200" s="19" t="s">
        <v>87</v>
      </c>
      <c r="I1200" s="19" t="s">
        <v>135</v>
      </c>
      <c r="J1200" s="19">
        <v>11</v>
      </c>
      <c r="K1200" s="19">
        <v>4.1700000000000001E-2</v>
      </c>
      <c r="L1200" s="19" t="s">
        <v>35</v>
      </c>
      <c r="M1200" s="19" t="s">
        <v>103</v>
      </c>
      <c r="N1200" s="19">
        <v>50</v>
      </c>
      <c r="O1200" s="19">
        <v>50</v>
      </c>
      <c r="P1200" s="19">
        <v>0</v>
      </c>
      <c r="Q1200" s="19">
        <v>0</v>
      </c>
      <c r="R1200" s="19" t="s">
        <v>870</v>
      </c>
      <c r="S1200" s="19">
        <v>0.9</v>
      </c>
      <c r="T1200" s="19">
        <v>1</v>
      </c>
      <c r="U1200" s="19">
        <v>0</v>
      </c>
      <c r="V1200" s="19" t="s">
        <v>41</v>
      </c>
      <c r="W1200" s="19">
        <v>1</v>
      </c>
      <c r="Y1200" s="19" t="s">
        <v>103</v>
      </c>
      <c r="Z1200" s="19">
        <v>50</v>
      </c>
      <c r="AA1200" s="19">
        <v>50</v>
      </c>
    </row>
    <row r="1201" spans="1:27" x14ac:dyDescent="0.25">
      <c r="A1201" s="19" t="s">
        <v>1389</v>
      </c>
      <c r="B1201" s="19" t="s">
        <v>1359</v>
      </c>
      <c r="C1201" s="19" t="s">
        <v>1360</v>
      </c>
      <c r="D1201" s="19">
        <v>0.2316435</v>
      </c>
      <c r="E1201" s="19" t="s">
        <v>137</v>
      </c>
      <c r="F1201" s="19" t="s">
        <v>138</v>
      </c>
      <c r="G1201" s="19" t="s">
        <v>134</v>
      </c>
      <c r="H1201" s="19" t="s">
        <v>87</v>
      </c>
      <c r="I1201" s="19" t="s">
        <v>135</v>
      </c>
      <c r="J1201" s="19">
        <v>9</v>
      </c>
      <c r="K1201" s="19">
        <v>4.1700000000000001E-2</v>
      </c>
      <c r="L1201" s="19" t="s">
        <v>35</v>
      </c>
      <c r="M1201" s="19" t="s">
        <v>110</v>
      </c>
      <c r="N1201" s="19">
        <v>5.5549999999999997</v>
      </c>
      <c r="O1201" s="19">
        <v>5.5549999999999997</v>
      </c>
      <c r="P1201" s="19">
        <v>0</v>
      </c>
      <c r="Q1201" s="19">
        <v>0</v>
      </c>
      <c r="R1201" s="19" t="s">
        <v>870</v>
      </c>
      <c r="S1201" s="19">
        <v>0.9</v>
      </c>
      <c r="T1201" s="19">
        <v>1</v>
      </c>
      <c r="U1201" s="19">
        <v>0</v>
      </c>
      <c r="W1201" s="19">
        <v>0</v>
      </c>
      <c r="X1201" s="19">
        <v>1</v>
      </c>
      <c r="Y1201" s="19" t="s">
        <v>110</v>
      </c>
      <c r="Z1201" s="19">
        <v>16.664999999999999</v>
      </c>
      <c r="AA1201" s="19">
        <v>5.5549999999999997</v>
      </c>
    </row>
    <row r="1202" spans="1:27" x14ac:dyDescent="0.25">
      <c r="A1202" s="19" t="s">
        <v>1390</v>
      </c>
      <c r="B1202" s="19" t="s">
        <v>1359</v>
      </c>
      <c r="C1202" s="19" t="s">
        <v>1360</v>
      </c>
      <c r="D1202" s="19">
        <v>0</v>
      </c>
      <c r="E1202" s="19" t="s">
        <v>140</v>
      </c>
      <c r="F1202" s="19" t="s">
        <v>141</v>
      </c>
      <c r="G1202" s="19" t="s">
        <v>134</v>
      </c>
      <c r="H1202" s="19" t="s">
        <v>87</v>
      </c>
      <c r="I1202" s="19" t="s">
        <v>135</v>
      </c>
      <c r="J1202" s="19">
        <v>10</v>
      </c>
      <c r="K1202" s="19">
        <v>4.1700000000000001E-2</v>
      </c>
      <c r="L1202" s="19" t="s">
        <v>35</v>
      </c>
      <c r="N1202" s="19">
        <v>0</v>
      </c>
      <c r="O1202" s="19">
        <v>0</v>
      </c>
      <c r="P1202" s="19">
        <v>0</v>
      </c>
      <c r="Q1202" s="19">
        <v>0</v>
      </c>
      <c r="R1202" s="19" t="s">
        <v>870</v>
      </c>
      <c r="S1202" s="19">
        <v>0.9</v>
      </c>
      <c r="T1202" s="19">
        <v>1</v>
      </c>
      <c r="U1202" s="19">
        <v>0</v>
      </c>
      <c r="W1202" s="19">
        <v>0</v>
      </c>
      <c r="X1202" s="19">
        <v>0</v>
      </c>
      <c r="Z1202" s="19">
        <v>0</v>
      </c>
      <c r="AA1202" s="19">
        <v>0</v>
      </c>
    </row>
    <row r="1203" spans="1:27" x14ac:dyDescent="0.25">
      <c r="A1203" s="19" t="s">
        <v>1391</v>
      </c>
      <c r="B1203" s="19" t="s">
        <v>1359</v>
      </c>
      <c r="C1203" s="19" t="s">
        <v>1360</v>
      </c>
      <c r="D1203" s="19">
        <v>1.25</v>
      </c>
      <c r="E1203" s="19" t="s">
        <v>144</v>
      </c>
      <c r="F1203" s="19" t="s">
        <v>145</v>
      </c>
      <c r="G1203" s="19" t="s">
        <v>134</v>
      </c>
      <c r="H1203" s="19" t="s">
        <v>146</v>
      </c>
      <c r="I1203" s="19" t="s">
        <v>147</v>
      </c>
      <c r="J1203" s="19">
        <v>4</v>
      </c>
      <c r="K1203" s="19">
        <v>2.5000000000000001E-2</v>
      </c>
      <c r="L1203" s="19" t="s">
        <v>35</v>
      </c>
      <c r="M1203" s="19" t="s">
        <v>103</v>
      </c>
      <c r="N1203" s="19">
        <v>50</v>
      </c>
      <c r="O1203" s="19">
        <v>50</v>
      </c>
      <c r="P1203" s="19">
        <v>0</v>
      </c>
      <c r="Q1203" s="19">
        <v>0</v>
      </c>
      <c r="R1203" s="19" t="s">
        <v>870</v>
      </c>
      <c r="S1203" s="19">
        <v>0.9</v>
      </c>
      <c r="T1203" s="19">
        <v>1</v>
      </c>
      <c r="U1203" s="19">
        <v>0</v>
      </c>
      <c r="V1203" s="19" t="s">
        <v>41</v>
      </c>
      <c r="W1203" s="19">
        <v>1</v>
      </c>
      <c r="Y1203" s="19" t="s">
        <v>103</v>
      </c>
      <c r="Z1203" s="19">
        <v>50</v>
      </c>
      <c r="AA1203" s="19">
        <v>50</v>
      </c>
    </row>
    <row r="1204" spans="1:27" x14ac:dyDescent="0.25">
      <c r="A1204" s="19" t="s">
        <v>1392</v>
      </c>
      <c r="B1204" s="19" t="s">
        <v>1359</v>
      </c>
      <c r="C1204" s="19" t="s">
        <v>1360</v>
      </c>
      <c r="D1204" s="19">
        <v>1.25</v>
      </c>
      <c r="E1204" s="19" t="s">
        <v>149</v>
      </c>
      <c r="F1204" s="19" t="s">
        <v>150</v>
      </c>
      <c r="G1204" s="19" t="s">
        <v>134</v>
      </c>
      <c r="H1204" s="19" t="s">
        <v>146</v>
      </c>
      <c r="I1204" s="19" t="s">
        <v>147</v>
      </c>
      <c r="J1204" s="19">
        <v>5</v>
      </c>
      <c r="K1204" s="19">
        <v>2.5000000000000001E-2</v>
      </c>
      <c r="L1204" s="19" t="s">
        <v>35</v>
      </c>
      <c r="M1204" s="19" t="s">
        <v>103</v>
      </c>
      <c r="N1204" s="19">
        <v>50</v>
      </c>
      <c r="O1204" s="19">
        <v>50</v>
      </c>
      <c r="P1204" s="19">
        <v>0</v>
      </c>
      <c r="Q1204" s="19">
        <v>0</v>
      </c>
      <c r="R1204" s="19" t="s">
        <v>870</v>
      </c>
      <c r="S1204" s="19">
        <v>0.9</v>
      </c>
      <c r="T1204" s="19">
        <v>1</v>
      </c>
      <c r="U1204" s="19">
        <v>0</v>
      </c>
      <c r="V1204" s="19" t="s">
        <v>41</v>
      </c>
      <c r="W1204" s="19">
        <v>1</v>
      </c>
      <c r="Y1204" s="19" t="s">
        <v>103</v>
      </c>
      <c r="Z1204" s="19">
        <v>50</v>
      </c>
      <c r="AA1204" s="19">
        <v>50</v>
      </c>
    </row>
    <row r="1205" spans="1:27" x14ac:dyDescent="0.25">
      <c r="A1205" s="19" t="s">
        <v>1393</v>
      </c>
      <c r="B1205" s="19" t="s">
        <v>1359</v>
      </c>
      <c r="C1205" s="19" t="s">
        <v>1360</v>
      </c>
      <c r="D1205" s="19">
        <v>0</v>
      </c>
      <c r="E1205" s="19" t="s">
        <v>152</v>
      </c>
      <c r="F1205" s="19" t="s">
        <v>153</v>
      </c>
      <c r="G1205" s="19" t="s">
        <v>134</v>
      </c>
      <c r="H1205" s="19" t="s">
        <v>146</v>
      </c>
      <c r="I1205" s="19" t="s">
        <v>147</v>
      </c>
      <c r="J1205" s="19">
        <v>6</v>
      </c>
      <c r="K1205" s="19">
        <v>2.5000000000000001E-2</v>
      </c>
      <c r="L1205" s="19" t="s">
        <v>35</v>
      </c>
      <c r="M1205" s="19" t="s">
        <v>103</v>
      </c>
      <c r="N1205" s="19">
        <v>0</v>
      </c>
      <c r="O1205" s="19">
        <v>0</v>
      </c>
      <c r="P1205" s="19">
        <v>0</v>
      </c>
      <c r="Q1205" s="19">
        <v>0</v>
      </c>
      <c r="R1205" s="19" t="s">
        <v>870</v>
      </c>
      <c r="S1205" s="19">
        <v>0.9</v>
      </c>
      <c r="T1205" s="19">
        <v>1</v>
      </c>
      <c r="U1205" s="19">
        <v>0</v>
      </c>
      <c r="V1205" s="19" t="s">
        <v>36</v>
      </c>
      <c r="W1205" s="19">
        <v>0</v>
      </c>
      <c r="Y1205" s="19" t="s">
        <v>103</v>
      </c>
      <c r="Z1205" s="19">
        <v>50</v>
      </c>
      <c r="AA1205" s="19">
        <v>0</v>
      </c>
    </row>
    <row r="1206" spans="1:27" x14ac:dyDescent="0.25">
      <c r="A1206" s="19" t="s">
        <v>1394</v>
      </c>
      <c r="B1206" s="19" t="s">
        <v>1359</v>
      </c>
      <c r="C1206" s="19" t="s">
        <v>1360</v>
      </c>
      <c r="D1206" s="19">
        <v>1.25</v>
      </c>
      <c r="E1206" s="19" t="s">
        <v>155</v>
      </c>
      <c r="F1206" s="19" t="s">
        <v>156</v>
      </c>
      <c r="G1206" s="19" t="s">
        <v>134</v>
      </c>
      <c r="H1206" s="19" t="s">
        <v>146</v>
      </c>
      <c r="I1206" s="19" t="s">
        <v>147</v>
      </c>
      <c r="J1206" s="19">
        <v>7</v>
      </c>
      <c r="K1206" s="19">
        <v>2.5000000000000001E-2</v>
      </c>
      <c r="L1206" s="19" t="s">
        <v>35</v>
      </c>
      <c r="M1206" s="19" t="s">
        <v>103</v>
      </c>
      <c r="N1206" s="19">
        <v>50</v>
      </c>
      <c r="O1206" s="19">
        <v>50</v>
      </c>
      <c r="P1206" s="19">
        <v>0</v>
      </c>
      <c r="Q1206" s="19">
        <v>0</v>
      </c>
      <c r="R1206" s="19" t="s">
        <v>870</v>
      </c>
      <c r="S1206" s="19">
        <v>0.9</v>
      </c>
      <c r="T1206" s="19">
        <v>1</v>
      </c>
      <c r="U1206" s="19">
        <v>0</v>
      </c>
      <c r="V1206" s="19" t="s">
        <v>41</v>
      </c>
      <c r="W1206" s="19">
        <v>1</v>
      </c>
      <c r="Y1206" s="19" t="s">
        <v>103</v>
      </c>
      <c r="Z1206" s="19">
        <v>50</v>
      </c>
      <c r="AA1206" s="19">
        <v>50</v>
      </c>
    </row>
    <row r="1207" spans="1:27" x14ac:dyDescent="0.25">
      <c r="A1207" s="19" t="s">
        <v>1395</v>
      </c>
      <c r="B1207" s="19" t="s">
        <v>1359</v>
      </c>
      <c r="C1207" s="19" t="s">
        <v>1360</v>
      </c>
      <c r="D1207" s="19">
        <v>1.25</v>
      </c>
      <c r="E1207" s="19" t="s">
        <v>158</v>
      </c>
      <c r="F1207" s="19" t="s">
        <v>159</v>
      </c>
      <c r="G1207" s="19" t="s">
        <v>134</v>
      </c>
      <c r="H1207" s="19" t="s">
        <v>146</v>
      </c>
      <c r="I1207" s="19" t="s">
        <v>147</v>
      </c>
      <c r="J1207" s="19">
        <v>8</v>
      </c>
      <c r="K1207" s="19">
        <v>2.5000000000000001E-2</v>
      </c>
      <c r="L1207" s="19" t="s">
        <v>35</v>
      </c>
      <c r="M1207" s="19" t="s">
        <v>103</v>
      </c>
      <c r="N1207" s="19">
        <v>50</v>
      </c>
      <c r="O1207" s="19">
        <v>50</v>
      </c>
      <c r="P1207" s="19">
        <v>0</v>
      </c>
      <c r="Q1207" s="19">
        <v>0</v>
      </c>
      <c r="R1207" s="19" t="s">
        <v>870</v>
      </c>
      <c r="S1207" s="19">
        <v>0.9</v>
      </c>
      <c r="T1207" s="19">
        <v>1</v>
      </c>
      <c r="U1207" s="19">
        <v>0</v>
      </c>
      <c r="V1207" s="19" t="s">
        <v>41</v>
      </c>
      <c r="W1207" s="19">
        <v>1</v>
      </c>
      <c r="Y1207" s="19" t="s">
        <v>103</v>
      </c>
      <c r="Z1207" s="19">
        <v>50</v>
      </c>
      <c r="AA1207" s="19">
        <v>50</v>
      </c>
    </row>
    <row r="1208" spans="1:27" x14ac:dyDescent="0.25">
      <c r="A1208" s="19" t="s">
        <v>1396</v>
      </c>
      <c r="B1208" s="19" t="s">
        <v>1359</v>
      </c>
      <c r="C1208" s="19" t="s">
        <v>1360</v>
      </c>
      <c r="D1208" s="19">
        <v>3.33</v>
      </c>
      <c r="E1208" s="19" t="s">
        <v>161</v>
      </c>
      <c r="F1208" s="19" t="s">
        <v>162</v>
      </c>
      <c r="G1208" s="19" t="s">
        <v>163</v>
      </c>
      <c r="I1208" s="19" t="s">
        <v>164</v>
      </c>
      <c r="J1208" s="19">
        <v>1</v>
      </c>
      <c r="K1208" s="19">
        <v>3.3300000000000003E-2</v>
      </c>
      <c r="L1208" s="19" t="s">
        <v>35</v>
      </c>
      <c r="M1208" s="19" t="s">
        <v>165</v>
      </c>
      <c r="N1208" s="19">
        <v>100</v>
      </c>
      <c r="O1208" s="19">
        <v>100</v>
      </c>
      <c r="P1208" s="19">
        <v>0</v>
      </c>
      <c r="Q1208" s="19">
        <v>0</v>
      </c>
      <c r="R1208" s="19" t="s">
        <v>870</v>
      </c>
      <c r="S1208" s="19">
        <v>0.9</v>
      </c>
      <c r="T1208" s="19">
        <v>1</v>
      </c>
      <c r="U1208" s="19">
        <v>0</v>
      </c>
      <c r="W1208" s="19">
        <v>0</v>
      </c>
      <c r="X1208" s="19">
        <v>100</v>
      </c>
      <c r="Z1208" s="19">
        <v>0</v>
      </c>
      <c r="AA1208" s="19">
        <v>100</v>
      </c>
    </row>
    <row r="1209" spans="1:27" x14ac:dyDescent="0.25">
      <c r="A1209" s="19" t="s">
        <v>1397</v>
      </c>
      <c r="B1209" s="19" t="s">
        <v>1359</v>
      </c>
      <c r="C1209" s="19" t="s">
        <v>1360</v>
      </c>
      <c r="D1209" s="19">
        <v>0</v>
      </c>
      <c r="E1209" s="19" t="s">
        <v>167</v>
      </c>
      <c r="F1209" s="19" t="s">
        <v>168</v>
      </c>
      <c r="G1209" s="19" t="s">
        <v>163</v>
      </c>
      <c r="I1209" s="19" t="s">
        <v>164</v>
      </c>
      <c r="J1209" s="19">
        <v>3</v>
      </c>
      <c r="K1209" s="19">
        <v>3.3300000000000003E-2</v>
      </c>
      <c r="L1209" s="19" t="s">
        <v>35</v>
      </c>
      <c r="M1209" s="19" t="s">
        <v>165</v>
      </c>
      <c r="N1209" s="19">
        <v>0</v>
      </c>
      <c r="O1209" s="19">
        <v>0</v>
      </c>
      <c r="P1209" s="19">
        <v>0</v>
      </c>
      <c r="Q1209" s="19">
        <v>0</v>
      </c>
      <c r="R1209" s="19" t="s">
        <v>870</v>
      </c>
      <c r="S1209" s="19">
        <v>0.9</v>
      </c>
      <c r="T1209" s="19">
        <v>1</v>
      </c>
      <c r="U1209" s="19">
        <v>0</v>
      </c>
      <c r="W1209" s="19">
        <v>0</v>
      </c>
      <c r="X1209" s="19">
        <v>0</v>
      </c>
      <c r="Z1209" s="19">
        <v>0</v>
      </c>
      <c r="AA1209" s="19">
        <v>0</v>
      </c>
    </row>
    <row r="1210" spans="1:27" x14ac:dyDescent="0.25">
      <c r="A1210" s="19" t="s">
        <v>1398</v>
      </c>
      <c r="B1210" s="19" t="s">
        <v>1359</v>
      </c>
      <c r="C1210" s="19" t="s">
        <v>1360</v>
      </c>
      <c r="D1210" s="19">
        <v>2.0979000000000001</v>
      </c>
      <c r="E1210" s="19" t="s">
        <v>170</v>
      </c>
      <c r="F1210" s="19" t="s">
        <v>171</v>
      </c>
      <c r="G1210" s="19" t="s">
        <v>163</v>
      </c>
      <c r="I1210" s="19" t="s">
        <v>164</v>
      </c>
      <c r="J1210" s="19">
        <v>2</v>
      </c>
      <c r="K1210" s="19">
        <v>3.3300000000000003E-2</v>
      </c>
      <c r="L1210" s="19" t="s">
        <v>35</v>
      </c>
      <c r="M1210" s="19" t="s">
        <v>165</v>
      </c>
      <c r="N1210" s="19">
        <v>63</v>
      </c>
      <c r="O1210" s="19">
        <v>63</v>
      </c>
      <c r="P1210" s="19">
        <v>0</v>
      </c>
      <c r="Q1210" s="19">
        <v>0</v>
      </c>
      <c r="R1210" s="19" t="s">
        <v>870</v>
      </c>
      <c r="S1210" s="19">
        <v>0.9</v>
      </c>
      <c r="T1210" s="19">
        <v>1</v>
      </c>
      <c r="U1210" s="19">
        <v>0</v>
      </c>
      <c r="W1210" s="19">
        <v>0</v>
      </c>
      <c r="X1210" s="19">
        <v>63</v>
      </c>
      <c r="Z1210" s="19">
        <v>0</v>
      </c>
      <c r="AA1210" s="19">
        <v>63</v>
      </c>
    </row>
    <row r="1211" spans="1:27" x14ac:dyDescent="0.25">
      <c r="A1211" s="19" t="s">
        <v>2746</v>
      </c>
      <c r="B1211" s="19" t="s">
        <v>2747</v>
      </c>
      <c r="C1211" s="19">
        <v>46002</v>
      </c>
      <c r="D1211" s="19">
        <v>1.4281162632978699</v>
      </c>
      <c r="E1211" s="19" t="s">
        <v>30</v>
      </c>
      <c r="F1211" s="19" t="s">
        <v>31</v>
      </c>
      <c r="G1211" s="19" t="s">
        <v>32</v>
      </c>
      <c r="H1211" s="19" t="s">
        <v>33</v>
      </c>
      <c r="I1211" s="19" t="s">
        <v>34</v>
      </c>
      <c r="J1211" s="19">
        <v>17</v>
      </c>
      <c r="K1211" s="19">
        <v>1.6299999999999999E-2</v>
      </c>
      <c r="L1211" s="19" t="s">
        <v>541</v>
      </c>
      <c r="M1211" s="19" t="s">
        <v>541</v>
      </c>
      <c r="N1211" s="19">
        <v>50</v>
      </c>
      <c r="O1211" s="19">
        <v>87.614494680899995</v>
      </c>
      <c r="P1211" s="19">
        <v>83.587765957399995</v>
      </c>
      <c r="Q1211" s="19">
        <v>41.793882978699997</v>
      </c>
      <c r="R1211" s="19" t="s">
        <v>870</v>
      </c>
      <c r="S1211" s="19">
        <v>0.9</v>
      </c>
      <c r="T1211" s="19">
        <v>0.9</v>
      </c>
      <c r="U1211" s="19">
        <v>37.614494680900002</v>
      </c>
      <c r="AA1211" s="19">
        <v>0</v>
      </c>
    </row>
    <row r="1212" spans="1:27" x14ac:dyDescent="0.25">
      <c r="A1212" s="19" t="s">
        <v>2748</v>
      </c>
      <c r="B1212" s="19" t="s">
        <v>2747</v>
      </c>
      <c r="C1212" s="19">
        <v>46002</v>
      </c>
      <c r="D1212" s="19">
        <v>1.54849999999999</v>
      </c>
      <c r="E1212" s="19" t="s">
        <v>38</v>
      </c>
      <c r="F1212" s="19" t="s">
        <v>39</v>
      </c>
      <c r="G1212" s="19" t="s">
        <v>32</v>
      </c>
      <c r="H1212" s="19" t="s">
        <v>33</v>
      </c>
      <c r="I1212" s="19" t="s">
        <v>34</v>
      </c>
      <c r="J1212" s="19">
        <v>19</v>
      </c>
      <c r="K1212" s="19">
        <v>1.6299999999999999E-2</v>
      </c>
      <c r="L1212" s="19" t="s">
        <v>541</v>
      </c>
      <c r="M1212" s="19" t="s">
        <v>541</v>
      </c>
      <c r="N1212" s="19">
        <v>50</v>
      </c>
      <c r="O1212" s="19">
        <v>95</v>
      </c>
      <c r="P1212" s="19">
        <v>100</v>
      </c>
      <c r="Q1212" s="19">
        <v>50</v>
      </c>
      <c r="R1212" s="19" t="s">
        <v>870</v>
      </c>
      <c r="S1212" s="19">
        <v>0.9</v>
      </c>
      <c r="T1212" s="19">
        <v>0.9</v>
      </c>
      <c r="U1212" s="19">
        <v>45</v>
      </c>
      <c r="AA1212" s="19">
        <v>0</v>
      </c>
    </row>
    <row r="1213" spans="1:27" x14ac:dyDescent="0.25">
      <c r="A1213" s="19" t="s">
        <v>2749</v>
      </c>
      <c r="B1213" s="19" t="s">
        <v>2747</v>
      </c>
      <c r="C1213" s="19">
        <v>46002</v>
      </c>
      <c r="D1213" s="19">
        <v>1.54849999999999</v>
      </c>
      <c r="E1213" s="19" t="s">
        <v>43</v>
      </c>
      <c r="F1213" s="19" t="s">
        <v>44</v>
      </c>
      <c r="G1213" s="19" t="s">
        <v>32</v>
      </c>
      <c r="H1213" s="19" t="s">
        <v>33</v>
      </c>
      <c r="I1213" s="19" t="s">
        <v>34</v>
      </c>
      <c r="J1213" s="19">
        <v>18</v>
      </c>
      <c r="K1213" s="19">
        <v>1.6299999999999999E-2</v>
      </c>
      <c r="L1213" s="19" t="s">
        <v>541</v>
      </c>
      <c r="M1213" s="19" t="s">
        <v>541</v>
      </c>
      <c r="N1213" s="19">
        <v>50</v>
      </c>
      <c r="O1213" s="19">
        <v>95</v>
      </c>
      <c r="P1213" s="19">
        <v>100</v>
      </c>
      <c r="Q1213" s="19">
        <v>50</v>
      </c>
      <c r="R1213" s="19" t="s">
        <v>870</v>
      </c>
      <c r="S1213" s="19">
        <v>0.9</v>
      </c>
      <c r="T1213" s="19">
        <v>0.9</v>
      </c>
      <c r="U1213" s="19">
        <v>45</v>
      </c>
      <c r="AA1213" s="19">
        <v>0</v>
      </c>
    </row>
    <row r="1214" spans="1:27" x14ac:dyDescent="0.25">
      <c r="A1214" s="19" t="s">
        <v>2750</v>
      </c>
      <c r="B1214" s="19" t="s">
        <v>2747</v>
      </c>
      <c r="C1214" s="19">
        <v>46002</v>
      </c>
      <c r="D1214" s="19">
        <v>1.3536640624999901</v>
      </c>
      <c r="E1214" s="19" t="s">
        <v>46</v>
      </c>
      <c r="F1214" s="19" t="s">
        <v>47</v>
      </c>
      <c r="G1214" s="19" t="s">
        <v>32</v>
      </c>
      <c r="H1214" s="19" t="s">
        <v>33</v>
      </c>
      <c r="I1214" s="19" t="s">
        <v>34</v>
      </c>
      <c r="J1214" s="19">
        <v>15</v>
      </c>
      <c r="K1214" s="19">
        <v>1.6299999999999999E-2</v>
      </c>
      <c r="L1214" s="19" t="s">
        <v>541</v>
      </c>
      <c r="M1214" s="19" t="s">
        <v>541</v>
      </c>
      <c r="N1214" s="19">
        <v>50</v>
      </c>
      <c r="O1214" s="19">
        <v>83.046875</v>
      </c>
      <c r="P1214" s="19">
        <v>73.4375</v>
      </c>
      <c r="Q1214" s="19">
        <v>36.71875</v>
      </c>
      <c r="R1214" s="19" t="s">
        <v>870</v>
      </c>
      <c r="S1214" s="19">
        <v>0.9</v>
      </c>
      <c r="T1214" s="19">
        <v>0.9</v>
      </c>
      <c r="U1214" s="19">
        <v>33.046875</v>
      </c>
      <c r="AA1214" s="19">
        <v>0</v>
      </c>
    </row>
    <row r="1215" spans="1:27" x14ac:dyDescent="0.25">
      <c r="A1215" s="19" t="s">
        <v>2751</v>
      </c>
      <c r="B1215" s="19" t="s">
        <v>2747</v>
      </c>
      <c r="C1215" s="19">
        <v>46002</v>
      </c>
      <c r="D1215" s="19">
        <v>1.5274118750000001</v>
      </c>
      <c r="E1215" s="19" t="s">
        <v>49</v>
      </c>
      <c r="F1215" s="19" t="s">
        <v>50</v>
      </c>
      <c r="G1215" s="19" t="s">
        <v>32</v>
      </c>
      <c r="H1215" s="19" t="s">
        <v>33</v>
      </c>
      <c r="I1215" s="19" t="s">
        <v>34</v>
      </c>
      <c r="J1215" s="19">
        <v>12</v>
      </c>
      <c r="K1215" s="19">
        <v>1.6299999999999999E-2</v>
      </c>
      <c r="L1215" s="19" t="s">
        <v>541</v>
      </c>
      <c r="M1215" s="19" t="s">
        <v>541</v>
      </c>
      <c r="N1215" s="19">
        <v>50</v>
      </c>
      <c r="O1215" s="19">
        <v>93.706249999999997</v>
      </c>
      <c r="P1215" s="19">
        <v>97.125</v>
      </c>
      <c r="Q1215" s="19">
        <v>48.5625</v>
      </c>
      <c r="R1215" s="19" t="s">
        <v>870</v>
      </c>
      <c r="S1215" s="19">
        <v>0.9</v>
      </c>
      <c r="T1215" s="19">
        <v>0.9</v>
      </c>
      <c r="U1215" s="19">
        <v>43.706249999999997</v>
      </c>
      <c r="AA1215" s="19">
        <v>0</v>
      </c>
    </row>
    <row r="1216" spans="1:27" x14ac:dyDescent="0.25">
      <c r="A1216" s="19" t="s">
        <v>2752</v>
      </c>
      <c r="B1216" s="19" t="s">
        <v>2747</v>
      </c>
      <c r="C1216" s="19">
        <v>46002</v>
      </c>
      <c r="D1216" s="19">
        <v>1.54299874999999</v>
      </c>
      <c r="E1216" s="19" t="s">
        <v>52</v>
      </c>
      <c r="F1216" s="19" t="s">
        <v>53</v>
      </c>
      <c r="G1216" s="19" t="s">
        <v>32</v>
      </c>
      <c r="H1216" s="19" t="s">
        <v>33</v>
      </c>
      <c r="I1216" s="19" t="s">
        <v>34</v>
      </c>
      <c r="J1216" s="19">
        <v>16</v>
      </c>
      <c r="K1216" s="19">
        <v>1.6299999999999999E-2</v>
      </c>
      <c r="L1216" s="19" t="s">
        <v>541</v>
      </c>
      <c r="M1216" s="19" t="s">
        <v>541</v>
      </c>
      <c r="N1216" s="19">
        <v>50</v>
      </c>
      <c r="O1216" s="19">
        <v>94.662499999999994</v>
      </c>
      <c r="P1216" s="19">
        <v>99.25</v>
      </c>
      <c r="Q1216" s="19">
        <v>49.625</v>
      </c>
      <c r="R1216" s="19" t="s">
        <v>870</v>
      </c>
      <c r="S1216" s="19">
        <v>0.9</v>
      </c>
      <c r="T1216" s="19">
        <v>0.9</v>
      </c>
      <c r="U1216" s="19">
        <v>44.662500000000001</v>
      </c>
      <c r="AA1216" s="19">
        <v>0</v>
      </c>
    </row>
    <row r="1217" spans="1:27" x14ac:dyDescent="0.25">
      <c r="A1217" s="19" t="s">
        <v>2753</v>
      </c>
      <c r="B1217" s="19" t="s">
        <v>2747</v>
      </c>
      <c r="C1217" s="19">
        <v>46002</v>
      </c>
      <c r="D1217" s="19">
        <v>1.5452909374999899</v>
      </c>
      <c r="E1217" s="19" t="s">
        <v>55</v>
      </c>
      <c r="F1217" s="19" t="s">
        <v>56</v>
      </c>
      <c r="G1217" s="19" t="s">
        <v>32</v>
      </c>
      <c r="H1217" s="19" t="s">
        <v>33</v>
      </c>
      <c r="I1217" s="19" t="s">
        <v>34</v>
      </c>
      <c r="J1217" s="19">
        <v>14</v>
      </c>
      <c r="K1217" s="19">
        <v>1.6299999999999999E-2</v>
      </c>
      <c r="L1217" s="19" t="s">
        <v>541</v>
      </c>
      <c r="M1217" s="19" t="s">
        <v>541</v>
      </c>
      <c r="N1217" s="19">
        <v>50</v>
      </c>
      <c r="O1217" s="19">
        <v>94.803124999999994</v>
      </c>
      <c r="P1217" s="19">
        <v>99.5625</v>
      </c>
      <c r="Q1217" s="19">
        <v>49.78125</v>
      </c>
      <c r="R1217" s="19" t="s">
        <v>870</v>
      </c>
      <c r="S1217" s="19">
        <v>0.9</v>
      </c>
      <c r="T1217" s="19">
        <v>0.9</v>
      </c>
      <c r="U1217" s="19">
        <v>44.803125000000001</v>
      </c>
      <c r="AA1217" s="19">
        <v>0</v>
      </c>
    </row>
    <row r="1218" spans="1:27" x14ac:dyDescent="0.25">
      <c r="A1218" s="19" t="s">
        <v>2754</v>
      </c>
      <c r="B1218" s="19" t="s">
        <v>2747</v>
      </c>
      <c r="C1218" s="19">
        <v>46002</v>
      </c>
      <c r="D1218" s="19">
        <v>1.54849999999999</v>
      </c>
      <c r="E1218" s="19" t="s">
        <v>58</v>
      </c>
      <c r="F1218" s="19" t="s">
        <v>59</v>
      </c>
      <c r="G1218" s="19" t="s">
        <v>32</v>
      </c>
      <c r="H1218" s="19" t="s">
        <v>33</v>
      </c>
      <c r="I1218" s="19" t="s">
        <v>34</v>
      </c>
      <c r="J1218" s="19">
        <v>13</v>
      </c>
      <c r="K1218" s="19">
        <v>1.6299999999999999E-2</v>
      </c>
      <c r="L1218" s="19" t="s">
        <v>541</v>
      </c>
      <c r="M1218" s="19" t="s">
        <v>541</v>
      </c>
      <c r="N1218" s="19">
        <v>50</v>
      </c>
      <c r="O1218" s="19">
        <v>95</v>
      </c>
      <c r="P1218" s="19">
        <v>100</v>
      </c>
      <c r="Q1218" s="19">
        <v>50</v>
      </c>
      <c r="R1218" s="19" t="s">
        <v>870</v>
      </c>
      <c r="S1218" s="19">
        <v>0.9</v>
      </c>
      <c r="T1218" s="19">
        <v>0.9</v>
      </c>
      <c r="U1218" s="19">
        <v>45</v>
      </c>
      <c r="AA1218" s="19">
        <v>0</v>
      </c>
    </row>
    <row r="1219" spans="1:27" x14ac:dyDescent="0.25">
      <c r="A1219" s="19" t="s">
        <v>2755</v>
      </c>
      <c r="B1219" s="19" t="s">
        <v>2747</v>
      </c>
      <c r="C1219" s="19">
        <v>46002</v>
      </c>
      <c r="D1219" s="19">
        <v>1.75444499999999</v>
      </c>
      <c r="E1219" s="19" t="s">
        <v>61</v>
      </c>
      <c r="F1219" s="19" t="s">
        <v>62</v>
      </c>
      <c r="G1219" s="19" t="s">
        <v>32</v>
      </c>
      <c r="H1219" s="19" t="s">
        <v>63</v>
      </c>
      <c r="I1219" s="19" t="s">
        <v>64</v>
      </c>
      <c r="J1219" s="19">
        <v>22</v>
      </c>
      <c r="K1219" s="19">
        <v>1.8599999999999998E-2</v>
      </c>
      <c r="L1219" s="19" t="s">
        <v>541</v>
      </c>
      <c r="M1219" s="19" t="s">
        <v>541</v>
      </c>
      <c r="N1219" s="19">
        <v>50</v>
      </c>
      <c r="O1219" s="19">
        <v>94.325000000000003</v>
      </c>
      <c r="P1219" s="19">
        <v>98.5</v>
      </c>
      <c r="Q1219" s="19">
        <v>49.25</v>
      </c>
      <c r="R1219" s="19" t="s">
        <v>870</v>
      </c>
      <c r="S1219" s="19">
        <v>0.9</v>
      </c>
      <c r="T1219" s="19">
        <v>0.9</v>
      </c>
      <c r="U1219" s="19">
        <v>44.325000000000003</v>
      </c>
      <c r="AA1219" s="19">
        <v>0</v>
      </c>
    </row>
    <row r="1220" spans="1:27" x14ac:dyDescent="0.25">
      <c r="A1220" s="19" t="s">
        <v>2756</v>
      </c>
      <c r="B1220" s="19" t="s">
        <v>2747</v>
      </c>
      <c r="C1220" s="19">
        <v>46002</v>
      </c>
      <c r="D1220" s="19">
        <v>1.7669999999999999</v>
      </c>
      <c r="E1220" s="19" t="s">
        <v>66</v>
      </c>
      <c r="F1220" s="19" t="s">
        <v>67</v>
      </c>
      <c r="G1220" s="19" t="s">
        <v>32</v>
      </c>
      <c r="H1220" s="19" t="s">
        <v>63</v>
      </c>
      <c r="I1220" s="19" t="s">
        <v>64</v>
      </c>
      <c r="J1220" s="19">
        <v>20</v>
      </c>
      <c r="K1220" s="19">
        <v>1.8599999999999998E-2</v>
      </c>
      <c r="L1220" s="19" t="s">
        <v>541</v>
      </c>
      <c r="M1220" s="19" t="s">
        <v>541</v>
      </c>
      <c r="N1220" s="19">
        <v>50</v>
      </c>
      <c r="O1220" s="19">
        <v>95</v>
      </c>
      <c r="P1220" s="19">
        <v>100</v>
      </c>
      <c r="Q1220" s="19">
        <v>50</v>
      </c>
      <c r="R1220" s="19" t="s">
        <v>870</v>
      </c>
      <c r="S1220" s="19">
        <v>0.9</v>
      </c>
      <c r="T1220" s="19">
        <v>0.9</v>
      </c>
      <c r="U1220" s="19">
        <v>45</v>
      </c>
      <c r="AA1220" s="19">
        <v>0</v>
      </c>
    </row>
    <row r="1221" spans="1:27" x14ac:dyDescent="0.25">
      <c r="A1221" s="19" t="s">
        <v>2757</v>
      </c>
      <c r="B1221" s="19" t="s">
        <v>2747</v>
      </c>
      <c r="C1221" s="19">
        <v>46002</v>
      </c>
      <c r="D1221" s="19">
        <v>1.75444499999999</v>
      </c>
      <c r="E1221" s="19" t="s">
        <v>69</v>
      </c>
      <c r="F1221" s="19" t="s">
        <v>70</v>
      </c>
      <c r="G1221" s="19" t="s">
        <v>32</v>
      </c>
      <c r="H1221" s="19" t="s">
        <v>63</v>
      </c>
      <c r="I1221" s="19" t="s">
        <v>64</v>
      </c>
      <c r="J1221" s="19">
        <v>23</v>
      </c>
      <c r="K1221" s="19">
        <v>1.8599999999999998E-2</v>
      </c>
      <c r="L1221" s="19" t="s">
        <v>541</v>
      </c>
      <c r="M1221" s="19" t="s">
        <v>541</v>
      </c>
      <c r="N1221" s="19">
        <v>50</v>
      </c>
      <c r="O1221" s="19">
        <v>94.325000000000003</v>
      </c>
      <c r="P1221" s="19">
        <v>98.5</v>
      </c>
      <c r="Q1221" s="19">
        <v>49.25</v>
      </c>
      <c r="R1221" s="19" t="s">
        <v>870</v>
      </c>
      <c r="S1221" s="19">
        <v>0.9</v>
      </c>
      <c r="T1221" s="19">
        <v>0.9</v>
      </c>
      <c r="U1221" s="19">
        <v>44.325000000000003</v>
      </c>
      <c r="AA1221" s="19">
        <v>0</v>
      </c>
    </row>
    <row r="1222" spans="1:27" x14ac:dyDescent="0.25">
      <c r="A1222" s="19" t="s">
        <v>2758</v>
      </c>
      <c r="B1222" s="19" t="s">
        <v>2747</v>
      </c>
      <c r="C1222" s="19">
        <v>46002</v>
      </c>
      <c r="D1222" s="19">
        <v>1.7669999999999999</v>
      </c>
      <c r="E1222" s="19" t="s">
        <v>72</v>
      </c>
      <c r="F1222" s="19" t="s">
        <v>73</v>
      </c>
      <c r="G1222" s="19" t="s">
        <v>32</v>
      </c>
      <c r="H1222" s="19" t="s">
        <v>63</v>
      </c>
      <c r="I1222" s="19" t="s">
        <v>64</v>
      </c>
      <c r="J1222" s="19">
        <v>21</v>
      </c>
      <c r="K1222" s="19">
        <v>1.8599999999999998E-2</v>
      </c>
      <c r="L1222" s="19" t="s">
        <v>541</v>
      </c>
      <c r="M1222" s="19" t="s">
        <v>541</v>
      </c>
      <c r="N1222" s="19">
        <v>50</v>
      </c>
      <c r="O1222" s="19">
        <v>95</v>
      </c>
      <c r="P1222" s="19">
        <v>100</v>
      </c>
      <c r="Q1222" s="19">
        <v>50</v>
      </c>
      <c r="R1222" s="19" t="s">
        <v>870</v>
      </c>
      <c r="S1222" s="19">
        <v>0.9</v>
      </c>
      <c r="T1222" s="19">
        <v>0.9</v>
      </c>
      <c r="U1222" s="19">
        <v>45</v>
      </c>
      <c r="AA1222" s="19">
        <v>0</v>
      </c>
    </row>
    <row r="1223" spans="1:27" x14ac:dyDescent="0.25">
      <c r="A1223" s="19" t="s">
        <v>2759</v>
      </c>
      <c r="B1223" s="19" t="s">
        <v>2747</v>
      </c>
      <c r="C1223" s="19">
        <v>46002</v>
      </c>
      <c r="D1223" s="19">
        <v>1.7669999999999999</v>
      </c>
      <c r="E1223" s="19" t="s">
        <v>75</v>
      </c>
      <c r="F1223" s="19" t="s">
        <v>76</v>
      </c>
      <c r="G1223" s="19" t="s">
        <v>32</v>
      </c>
      <c r="H1223" s="19" t="s">
        <v>63</v>
      </c>
      <c r="I1223" s="19" t="s">
        <v>64</v>
      </c>
      <c r="J1223" s="19">
        <v>24</v>
      </c>
      <c r="K1223" s="19">
        <v>1.8599999999999998E-2</v>
      </c>
      <c r="L1223" s="19" t="s">
        <v>541</v>
      </c>
      <c r="M1223" s="19" t="s">
        <v>541</v>
      </c>
      <c r="N1223" s="19">
        <v>50</v>
      </c>
      <c r="O1223" s="19">
        <v>95</v>
      </c>
      <c r="P1223" s="19">
        <v>100</v>
      </c>
      <c r="Q1223" s="19">
        <v>50</v>
      </c>
      <c r="R1223" s="19" t="s">
        <v>870</v>
      </c>
      <c r="S1223" s="19">
        <v>0.9</v>
      </c>
      <c r="T1223" s="19">
        <v>0.9</v>
      </c>
      <c r="U1223" s="19">
        <v>45</v>
      </c>
      <c r="AA1223" s="19">
        <v>0</v>
      </c>
    </row>
    <row r="1224" spans="1:27" x14ac:dyDescent="0.25">
      <c r="A1224" s="19" t="s">
        <v>2760</v>
      </c>
      <c r="B1224" s="19" t="s">
        <v>2747</v>
      </c>
      <c r="C1224" s="19">
        <v>46002</v>
      </c>
      <c r="D1224" s="19">
        <v>1.38511875</v>
      </c>
      <c r="E1224" s="19" t="s">
        <v>78</v>
      </c>
      <c r="F1224" s="19" t="s">
        <v>79</v>
      </c>
      <c r="G1224" s="19" t="s">
        <v>32</v>
      </c>
      <c r="H1224" s="19" t="s">
        <v>63</v>
      </c>
      <c r="I1224" s="19" t="s">
        <v>64</v>
      </c>
      <c r="J1224" s="19">
        <v>25</v>
      </c>
      <c r="K1224" s="19">
        <v>1.8599999999999998E-2</v>
      </c>
      <c r="L1224" s="19" t="s">
        <v>541</v>
      </c>
      <c r="M1224" s="19" t="s">
        <v>541</v>
      </c>
      <c r="N1224" s="19">
        <v>50</v>
      </c>
      <c r="O1224" s="19">
        <v>74.46875</v>
      </c>
      <c r="P1224" s="19">
        <v>54.375</v>
      </c>
      <c r="Q1224" s="19">
        <v>27.1875</v>
      </c>
      <c r="R1224" s="19" t="s">
        <v>870</v>
      </c>
      <c r="S1224" s="19">
        <v>0.9</v>
      </c>
      <c r="T1224" s="19">
        <v>0.9</v>
      </c>
      <c r="U1224" s="19">
        <v>24.46875</v>
      </c>
      <c r="AA1224" s="19">
        <v>0</v>
      </c>
    </row>
    <row r="1225" spans="1:27" x14ac:dyDescent="0.25">
      <c r="A1225" s="19" t="s">
        <v>2761</v>
      </c>
      <c r="B1225" s="19" t="s">
        <v>2747</v>
      </c>
      <c r="C1225" s="19">
        <v>46002</v>
      </c>
      <c r="D1225" s="19">
        <v>1.7669999999999999</v>
      </c>
      <c r="E1225" s="19" t="s">
        <v>82</v>
      </c>
      <c r="F1225" s="19" t="s">
        <v>83</v>
      </c>
      <c r="G1225" s="19" t="s">
        <v>32</v>
      </c>
      <c r="H1225" s="19" t="s">
        <v>63</v>
      </c>
      <c r="I1225" s="19" t="s">
        <v>64</v>
      </c>
      <c r="J1225" s="19">
        <v>26</v>
      </c>
      <c r="K1225" s="19">
        <v>1.8599999999999998E-2</v>
      </c>
      <c r="L1225" s="19" t="s">
        <v>541</v>
      </c>
      <c r="M1225" s="19" t="s">
        <v>541</v>
      </c>
      <c r="N1225" s="19">
        <v>50</v>
      </c>
      <c r="O1225" s="19">
        <v>95</v>
      </c>
      <c r="P1225" s="19">
        <v>100</v>
      </c>
      <c r="Q1225" s="19">
        <v>50</v>
      </c>
      <c r="R1225" s="19" t="s">
        <v>870</v>
      </c>
      <c r="S1225" s="19">
        <v>0.9</v>
      </c>
      <c r="T1225" s="19">
        <v>0.9</v>
      </c>
      <c r="U1225" s="19">
        <v>45</v>
      </c>
      <c r="AA1225" s="19">
        <v>0</v>
      </c>
    </row>
    <row r="1226" spans="1:27" x14ac:dyDescent="0.25">
      <c r="A1226" s="19" t="s">
        <v>2762</v>
      </c>
      <c r="B1226" s="19" t="s">
        <v>2747</v>
      </c>
      <c r="C1226" s="19">
        <v>46002</v>
      </c>
      <c r="D1226" s="19">
        <v>2.7968281250000002</v>
      </c>
      <c r="E1226" s="19" t="s">
        <v>85</v>
      </c>
      <c r="F1226" s="19" t="s">
        <v>86</v>
      </c>
      <c r="G1226" s="19" t="s">
        <v>32</v>
      </c>
      <c r="H1226" s="19" t="s">
        <v>87</v>
      </c>
      <c r="I1226" s="19" t="s">
        <v>88</v>
      </c>
      <c r="J1226" s="19">
        <v>35</v>
      </c>
      <c r="K1226" s="19">
        <v>3.2500000000000001E-2</v>
      </c>
      <c r="L1226" s="19" t="s">
        <v>541</v>
      </c>
      <c r="M1226" s="19" t="s">
        <v>541</v>
      </c>
      <c r="N1226" s="19">
        <v>50</v>
      </c>
      <c r="O1226" s="19">
        <v>86.056250000000006</v>
      </c>
      <c r="P1226" s="19">
        <v>80.125</v>
      </c>
      <c r="Q1226" s="19">
        <v>40.0625</v>
      </c>
      <c r="R1226" s="19" t="s">
        <v>870</v>
      </c>
      <c r="S1226" s="19">
        <v>0.9</v>
      </c>
      <c r="T1226" s="19">
        <v>0.9</v>
      </c>
      <c r="U1226" s="19">
        <v>36.056249999999999</v>
      </c>
      <c r="AA1226" s="19">
        <v>0</v>
      </c>
    </row>
    <row r="1227" spans="1:27" x14ac:dyDescent="0.25">
      <c r="A1227" s="19" t="s">
        <v>2763</v>
      </c>
      <c r="B1227" s="19" t="s">
        <v>2747</v>
      </c>
      <c r="C1227" s="19">
        <v>46002</v>
      </c>
      <c r="D1227" s="19">
        <v>3.0874999999999999</v>
      </c>
      <c r="E1227" s="19" t="s">
        <v>93</v>
      </c>
      <c r="F1227" s="19" t="s">
        <v>94</v>
      </c>
      <c r="G1227" s="19" t="s">
        <v>32</v>
      </c>
      <c r="H1227" s="19" t="s">
        <v>87</v>
      </c>
      <c r="I1227" s="19" t="s">
        <v>88</v>
      </c>
      <c r="J1227" s="19">
        <v>34</v>
      </c>
      <c r="K1227" s="19">
        <v>3.2500000000000001E-2</v>
      </c>
      <c r="L1227" s="19" t="s">
        <v>541</v>
      </c>
      <c r="M1227" s="19" t="s">
        <v>541</v>
      </c>
      <c r="N1227" s="19">
        <v>50</v>
      </c>
      <c r="O1227" s="19">
        <v>95</v>
      </c>
      <c r="P1227" s="19">
        <v>100</v>
      </c>
      <c r="Q1227" s="19">
        <v>50</v>
      </c>
      <c r="R1227" s="19" t="s">
        <v>870</v>
      </c>
      <c r="S1227" s="19">
        <v>0.9</v>
      </c>
      <c r="T1227" s="19">
        <v>0.9</v>
      </c>
      <c r="U1227" s="19">
        <v>45</v>
      </c>
      <c r="AA1227" s="19">
        <v>0</v>
      </c>
    </row>
    <row r="1228" spans="1:27" x14ac:dyDescent="0.25">
      <c r="A1228" s="19" t="s">
        <v>2764</v>
      </c>
      <c r="B1228" s="19" t="s">
        <v>2747</v>
      </c>
      <c r="C1228" s="19">
        <v>46002</v>
      </c>
      <c r="D1228" s="19">
        <v>2.2636428125000001</v>
      </c>
      <c r="E1228" s="19" t="s">
        <v>99</v>
      </c>
      <c r="F1228" s="19" t="s">
        <v>100</v>
      </c>
      <c r="G1228" s="19" t="s">
        <v>32</v>
      </c>
      <c r="H1228" s="19" t="s">
        <v>101</v>
      </c>
      <c r="I1228" s="19" t="s">
        <v>102</v>
      </c>
      <c r="J1228" s="19">
        <v>39</v>
      </c>
      <c r="K1228" s="19">
        <v>4.3299999999999998E-2</v>
      </c>
      <c r="L1228" s="19" t="s">
        <v>541</v>
      </c>
      <c r="M1228" s="19" t="s">
        <v>541</v>
      </c>
      <c r="N1228" s="19">
        <v>50</v>
      </c>
      <c r="O1228" s="19">
        <v>52.278125000000003</v>
      </c>
      <c r="P1228" s="19">
        <v>5.0625</v>
      </c>
      <c r="Q1228" s="19">
        <v>2.53125</v>
      </c>
      <c r="R1228" s="19" t="s">
        <v>870</v>
      </c>
      <c r="S1228" s="19">
        <v>0.9</v>
      </c>
      <c r="T1228" s="19">
        <v>0.9</v>
      </c>
      <c r="U1228" s="19">
        <v>2.2781250000000002</v>
      </c>
      <c r="AA1228" s="19">
        <v>0</v>
      </c>
    </row>
    <row r="1229" spans="1:27" x14ac:dyDescent="0.25">
      <c r="A1229" s="19" t="s">
        <v>2765</v>
      </c>
      <c r="B1229" s="19" t="s">
        <v>2747</v>
      </c>
      <c r="C1229" s="19">
        <v>46002</v>
      </c>
      <c r="D1229" s="19">
        <v>2.36228562499999</v>
      </c>
      <c r="E1229" s="19" t="s">
        <v>105</v>
      </c>
      <c r="F1229" s="19" t="s">
        <v>106</v>
      </c>
      <c r="G1229" s="19" t="s">
        <v>32</v>
      </c>
      <c r="H1229" s="19" t="s">
        <v>101</v>
      </c>
      <c r="I1229" s="19" t="s">
        <v>102</v>
      </c>
      <c r="J1229" s="19">
        <v>38</v>
      </c>
      <c r="K1229" s="19">
        <v>4.3299999999999998E-2</v>
      </c>
      <c r="L1229" s="19" t="s">
        <v>541</v>
      </c>
      <c r="M1229" s="19" t="s">
        <v>541</v>
      </c>
      <c r="N1229" s="19">
        <v>50</v>
      </c>
      <c r="O1229" s="19">
        <v>54.556249999999999</v>
      </c>
      <c r="P1229" s="19">
        <v>10.125</v>
      </c>
      <c r="Q1229" s="19">
        <v>5.0625</v>
      </c>
      <c r="R1229" s="19" t="s">
        <v>870</v>
      </c>
      <c r="S1229" s="19">
        <v>0.9</v>
      </c>
      <c r="T1229" s="19">
        <v>0.9</v>
      </c>
      <c r="U1229" s="19">
        <v>4.5562500000000004</v>
      </c>
      <c r="AA1229" s="19">
        <v>0</v>
      </c>
    </row>
    <row r="1230" spans="1:27" x14ac:dyDescent="0.25">
      <c r="A1230" s="19" t="s">
        <v>2766</v>
      </c>
      <c r="B1230" s="19" t="s">
        <v>2747</v>
      </c>
      <c r="C1230" s="19">
        <v>46002</v>
      </c>
      <c r="D1230" s="19">
        <v>2.2916524999999899</v>
      </c>
      <c r="E1230" s="19" t="s">
        <v>108</v>
      </c>
      <c r="F1230" s="19" t="s">
        <v>109</v>
      </c>
      <c r="G1230" s="19" t="s">
        <v>32</v>
      </c>
      <c r="H1230" s="19" t="s">
        <v>101</v>
      </c>
      <c r="I1230" s="19" t="s">
        <v>102</v>
      </c>
      <c r="J1230" s="19">
        <v>37</v>
      </c>
      <c r="K1230" s="19">
        <v>4.3299999999999998E-2</v>
      </c>
      <c r="L1230" s="19" t="s">
        <v>541</v>
      </c>
      <c r="M1230" s="19" t="s">
        <v>541</v>
      </c>
      <c r="N1230" s="19">
        <v>50</v>
      </c>
      <c r="O1230" s="19">
        <v>52.924999999999997</v>
      </c>
      <c r="P1230" s="19">
        <v>6.5</v>
      </c>
      <c r="Q1230" s="19">
        <v>3.25</v>
      </c>
      <c r="R1230" s="19" t="s">
        <v>870</v>
      </c>
      <c r="S1230" s="19">
        <v>0.9</v>
      </c>
      <c r="T1230" s="19">
        <v>0.9</v>
      </c>
      <c r="U1230" s="19">
        <v>2.9249999999999998</v>
      </c>
      <c r="AA1230" s="19">
        <v>0</v>
      </c>
    </row>
    <row r="1231" spans="1:27" x14ac:dyDescent="0.25">
      <c r="A1231" s="19" t="s">
        <v>2767</v>
      </c>
      <c r="B1231" s="19" t="s">
        <v>2747</v>
      </c>
      <c r="C1231" s="19">
        <v>46002</v>
      </c>
      <c r="D1231" s="19">
        <v>1.17860233160621</v>
      </c>
      <c r="E1231" s="19" t="s">
        <v>112</v>
      </c>
      <c r="F1231" s="19" t="s">
        <v>113</v>
      </c>
      <c r="G1231" s="19" t="s">
        <v>32</v>
      </c>
      <c r="H1231" s="19" t="s">
        <v>114</v>
      </c>
      <c r="I1231" s="19" t="s">
        <v>115</v>
      </c>
      <c r="J1231" s="19">
        <v>30</v>
      </c>
      <c r="K1231" s="19">
        <v>2.1700000000000001E-2</v>
      </c>
      <c r="L1231" s="19" t="s">
        <v>541</v>
      </c>
      <c r="M1231" s="19" t="s">
        <v>541</v>
      </c>
      <c r="N1231" s="19">
        <v>50</v>
      </c>
      <c r="O1231" s="19">
        <v>54.313471502600002</v>
      </c>
      <c r="P1231" s="19">
        <v>9.5854922279799997</v>
      </c>
      <c r="Q1231" s="19">
        <v>4.7927461139899998</v>
      </c>
      <c r="R1231" s="19" t="s">
        <v>870</v>
      </c>
      <c r="S1231" s="19">
        <v>0.9</v>
      </c>
      <c r="T1231" s="19">
        <v>0.9</v>
      </c>
      <c r="U1231" s="19">
        <v>4.3134715025899997</v>
      </c>
      <c r="AA1231" s="19">
        <v>0</v>
      </c>
    </row>
    <row r="1232" spans="1:27" x14ac:dyDescent="0.25">
      <c r="A1232" s="19" t="s">
        <v>2769</v>
      </c>
      <c r="B1232" s="19" t="s">
        <v>2747</v>
      </c>
      <c r="C1232" s="19">
        <v>46002</v>
      </c>
      <c r="D1232" s="19">
        <v>1.1784946808510599</v>
      </c>
      <c r="E1232" s="19" t="s">
        <v>120</v>
      </c>
      <c r="F1232" s="19" t="s">
        <v>121</v>
      </c>
      <c r="G1232" s="19" t="s">
        <v>32</v>
      </c>
      <c r="H1232" s="19" t="s">
        <v>114</v>
      </c>
      <c r="I1232" s="19" t="s">
        <v>115</v>
      </c>
      <c r="J1232" s="19">
        <v>28</v>
      </c>
      <c r="K1232" s="19">
        <v>2.1700000000000001E-2</v>
      </c>
      <c r="L1232" s="19" t="s">
        <v>541</v>
      </c>
      <c r="M1232" s="19" t="s">
        <v>541</v>
      </c>
      <c r="N1232" s="19">
        <v>50</v>
      </c>
      <c r="O1232" s="19">
        <v>54.3085106383</v>
      </c>
      <c r="P1232" s="19">
        <v>9.5744680851100004</v>
      </c>
      <c r="Q1232" s="19">
        <v>4.7872340425499997</v>
      </c>
      <c r="R1232" s="19" t="s">
        <v>870</v>
      </c>
      <c r="S1232" s="19">
        <v>0.9</v>
      </c>
      <c r="T1232" s="19">
        <v>0.9</v>
      </c>
      <c r="U1232" s="19">
        <v>4.3085106382999996</v>
      </c>
      <c r="AA1232" s="19">
        <v>0</v>
      </c>
    </row>
    <row r="1233" spans="1:27" x14ac:dyDescent="0.25">
      <c r="A1233" s="19" t="s">
        <v>2770</v>
      </c>
      <c r="B1233" s="19" t="s">
        <v>2747</v>
      </c>
      <c r="C1233" s="19">
        <v>46002</v>
      </c>
      <c r="D1233" s="19">
        <v>1.183870625</v>
      </c>
      <c r="E1233" s="19" t="s">
        <v>126</v>
      </c>
      <c r="F1233" s="19" t="s">
        <v>127</v>
      </c>
      <c r="G1233" s="19" t="s">
        <v>32</v>
      </c>
      <c r="H1233" s="19" t="s">
        <v>114</v>
      </c>
      <c r="I1233" s="19" t="s">
        <v>115</v>
      </c>
      <c r="J1233" s="19">
        <v>29</v>
      </c>
      <c r="K1233" s="19">
        <v>2.1700000000000001E-2</v>
      </c>
      <c r="L1233" s="19" t="s">
        <v>541</v>
      </c>
      <c r="M1233" s="19" t="s">
        <v>541</v>
      </c>
      <c r="N1233" s="19">
        <v>50</v>
      </c>
      <c r="O1233" s="19">
        <v>54.556249999999999</v>
      </c>
      <c r="P1233" s="19">
        <v>10.125</v>
      </c>
      <c r="Q1233" s="19">
        <v>5.0625</v>
      </c>
      <c r="R1233" s="19" t="s">
        <v>870</v>
      </c>
      <c r="S1233" s="19">
        <v>0.9</v>
      </c>
      <c r="T1233" s="19">
        <v>0.9</v>
      </c>
      <c r="U1233" s="19">
        <v>4.5562500000000004</v>
      </c>
      <c r="AA1233" s="19">
        <v>0</v>
      </c>
    </row>
    <row r="1234" spans="1:27" x14ac:dyDescent="0.25">
      <c r="A1234" s="19" t="s">
        <v>2771</v>
      </c>
      <c r="B1234" s="19" t="s">
        <v>2747</v>
      </c>
      <c r="C1234" s="19">
        <v>46002</v>
      </c>
      <c r="D1234" s="19">
        <v>1.1216819948186501</v>
      </c>
      <c r="E1234" s="19" t="s">
        <v>129</v>
      </c>
      <c r="F1234" s="19" t="s">
        <v>130</v>
      </c>
      <c r="G1234" s="19" t="s">
        <v>32</v>
      </c>
      <c r="H1234" s="19" t="s">
        <v>114</v>
      </c>
      <c r="I1234" s="19" t="s">
        <v>115</v>
      </c>
      <c r="J1234" s="19">
        <v>32</v>
      </c>
      <c r="K1234" s="19">
        <v>2.1700000000000001E-2</v>
      </c>
      <c r="L1234" s="19" t="s">
        <v>541</v>
      </c>
      <c r="M1234" s="19" t="s">
        <v>541</v>
      </c>
      <c r="N1234" s="19">
        <v>50</v>
      </c>
      <c r="O1234" s="19">
        <v>51.6904145078</v>
      </c>
      <c r="P1234" s="19">
        <v>3.7564766839399999</v>
      </c>
      <c r="Q1234" s="19">
        <v>1.8782383419699999</v>
      </c>
      <c r="R1234" s="19" t="s">
        <v>870</v>
      </c>
      <c r="S1234" s="19">
        <v>0.9</v>
      </c>
      <c r="T1234" s="19">
        <v>0.9</v>
      </c>
      <c r="U1234" s="19">
        <v>1.6904145077699999</v>
      </c>
      <c r="AA1234" s="19">
        <v>0</v>
      </c>
    </row>
    <row r="1235" spans="1:27" x14ac:dyDescent="0.25">
      <c r="A1235" s="19" t="s">
        <v>2772</v>
      </c>
      <c r="B1235" s="19" t="s">
        <v>2747</v>
      </c>
      <c r="C1235" s="19">
        <v>46002</v>
      </c>
      <c r="D1235" s="19">
        <v>4.17</v>
      </c>
      <c r="E1235" s="19" t="s">
        <v>132</v>
      </c>
      <c r="F1235" s="19" t="s">
        <v>133</v>
      </c>
      <c r="G1235" s="19" t="s">
        <v>134</v>
      </c>
      <c r="H1235" s="19" t="s">
        <v>87</v>
      </c>
      <c r="I1235" s="19" t="s">
        <v>135</v>
      </c>
      <c r="J1235" s="19">
        <v>11</v>
      </c>
      <c r="K1235" s="19">
        <v>4.1700000000000001E-2</v>
      </c>
      <c r="L1235" s="19" t="s">
        <v>541</v>
      </c>
      <c r="M1235" s="19" t="s">
        <v>541</v>
      </c>
      <c r="N1235" s="19">
        <v>50</v>
      </c>
      <c r="O1235" s="19">
        <v>100</v>
      </c>
      <c r="P1235" s="19">
        <v>100</v>
      </c>
      <c r="Q1235" s="19">
        <v>50</v>
      </c>
      <c r="R1235" s="19" t="s">
        <v>870</v>
      </c>
      <c r="S1235" s="19">
        <v>0.9</v>
      </c>
      <c r="T1235" s="19">
        <v>1</v>
      </c>
      <c r="U1235" s="19">
        <v>50</v>
      </c>
      <c r="AA1235" s="19">
        <v>0</v>
      </c>
    </row>
    <row r="1236" spans="1:27" x14ac:dyDescent="0.25">
      <c r="A1236" s="19" t="s">
        <v>2773</v>
      </c>
      <c r="B1236" s="19" t="s">
        <v>2747</v>
      </c>
      <c r="C1236" s="19">
        <v>46002</v>
      </c>
      <c r="D1236" s="19">
        <v>4.17</v>
      </c>
      <c r="E1236" s="19" t="s">
        <v>137</v>
      </c>
      <c r="F1236" s="19" t="s">
        <v>138</v>
      </c>
      <c r="G1236" s="19" t="s">
        <v>134</v>
      </c>
      <c r="H1236" s="19" t="s">
        <v>87</v>
      </c>
      <c r="I1236" s="19" t="s">
        <v>135</v>
      </c>
      <c r="J1236" s="19">
        <v>9</v>
      </c>
      <c r="K1236" s="19">
        <v>4.1700000000000001E-2</v>
      </c>
      <c r="L1236" s="19" t="s">
        <v>541</v>
      </c>
      <c r="M1236" s="19" t="s">
        <v>541</v>
      </c>
      <c r="N1236" s="19">
        <v>50</v>
      </c>
      <c r="O1236" s="19">
        <v>100</v>
      </c>
      <c r="P1236" s="19">
        <v>100</v>
      </c>
      <c r="Q1236" s="19">
        <v>50</v>
      </c>
      <c r="R1236" s="19" t="s">
        <v>870</v>
      </c>
      <c r="S1236" s="19">
        <v>0.9</v>
      </c>
      <c r="T1236" s="19">
        <v>1</v>
      </c>
      <c r="U1236" s="19">
        <v>50</v>
      </c>
      <c r="AA1236" s="19">
        <v>0</v>
      </c>
    </row>
    <row r="1237" spans="1:27" x14ac:dyDescent="0.25">
      <c r="A1237" s="19" t="s">
        <v>2774</v>
      </c>
      <c r="B1237" s="19" t="s">
        <v>2747</v>
      </c>
      <c r="C1237" s="19">
        <v>46002</v>
      </c>
      <c r="D1237" s="19">
        <v>4.17</v>
      </c>
      <c r="E1237" s="19" t="s">
        <v>140</v>
      </c>
      <c r="F1237" s="19" t="s">
        <v>141</v>
      </c>
      <c r="G1237" s="19" t="s">
        <v>134</v>
      </c>
      <c r="H1237" s="19" t="s">
        <v>87</v>
      </c>
      <c r="I1237" s="19" t="s">
        <v>135</v>
      </c>
      <c r="J1237" s="19">
        <v>10</v>
      </c>
      <c r="K1237" s="19">
        <v>4.1700000000000001E-2</v>
      </c>
      <c r="L1237" s="19" t="s">
        <v>541</v>
      </c>
      <c r="M1237" s="19" t="s">
        <v>541</v>
      </c>
      <c r="N1237" s="19">
        <v>50</v>
      </c>
      <c r="O1237" s="19">
        <v>100</v>
      </c>
      <c r="P1237" s="19">
        <v>100</v>
      </c>
      <c r="Q1237" s="19">
        <v>50</v>
      </c>
      <c r="R1237" s="19" t="s">
        <v>870</v>
      </c>
      <c r="S1237" s="19">
        <v>0.9</v>
      </c>
      <c r="T1237" s="19">
        <v>1</v>
      </c>
      <c r="U1237" s="19">
        <v>50</v>
      </c>
      <c r="AA1237" s="19">
        <v>0</v>
      </c>
    </row>
    <row r="1238" spans="1:27" x14ac:dyDescent="0.25">
      <c r="A1238" s="19" t="s">
        <v>2775</v>
      </c>
      <c r="B1238" s="19" t="s">
        <v>2747</v>
      </c>
      <c r="C1238" s="19">
        <v>46002</v>
      </c>
      <c r="D1238" s="19">
        <v>2.5</v>
      </c>
      <c r="E1238" s="19" t="s">
        <v>144</v>
      </c>
      <c r="F1238" s="19" t="s">
        <v>145</v>
      </c>
      <c r="G1238" s="19" t="s">
        <v>134</v>
      </c>
      <c r="H1238" s="19" t="s">
        <v>146</v>
      </c>
      <c r="I1238" s="19" t="s">
        <v>147</v>
      </c>
      <c r="J1238" s="19">
        <v>4</v>
      </c>
      <c r="K1238" s="19">
        <v>2.5000000000000001E-2</v>
      </c>
      <c r="L1238" s="19" t="s">
        <v>541</v>
      </c>
      <c r="M1238" s="19" t="s">
        <v>541</v>
      </c>
      <c r="N1238" s="19">
        <v>50</v>
      </c>
      <c r="O1238" s="19">
        <v>100</v>
      </c>
      <c r="P1238" s="19">
        <v>100</v>
      </c>
      <c r="Q1238" s="19">
        <v>50</v>
      </c>
      <c r="R1238" s="19" t="s">
        <v>870</v>
      </c>
      <c r="S1238" s="19">
        <v>0.9</v>
      </c>
      <c r="T1238" s="19">
        <v>1</v>
      </c>
      <c r="U1238" s="19">
        <v>50</v>
      </c>
      <c r="AA1238" s="19">
        <v>0</v>
      </c>
    </row>
    <row r="1239" spans="1:27" x14ac:dyDescent="0.25">
      <c r="A1239" s="19" t="s">
        <v>2776</v>
      </c>
      <c r="B1239" s="19" t="s">
        <v>2747</v>
      </c>
      <c r="C1239" s="19">
        <v>46002</v>
      </c>
      <c r="D1239" s="19">
        <v>2.5</v>
      </c>
      <c r="E1239" s="19" t="s">
        <v>149</v>
      </c>
      <c r="F1239" s="19" t="s">
        <v>150</v>
      </c>
      <c r="G1239" s="19" t="s">
        <v>134</v>
      </c>
      <c r="H1239" s="19" t="s">
        <v>146</v>
      </c>
      <c r="I1239" s="19" t="s">
        <v>147</v>
      </c>
      <c r="J1239" s="19">
        <v>5</v>
      </c>
      <c r="K1239" s="19">
        <v>2.5000000000000001E-2</v>
      </c>
      <c r="L1239" s="19" t="s">
        <v>541</v>
      </c>
      <c r="M1239" s="19" t="s">
        <v>541</v>
      </c>
      <c r="N1239" s="19">
        <v>50</v>
      </c>
      <c r="O1239" s="19">
        <v>100</v>
      </c>
      <c r="P1239" s="19">
        <v>100</v>
      </c>
      <c r="Q1239" s="19">
        <v>50</v>
      </c>
      <c r="R1239" s="19" t="s">
        <v>870</v>
      </c>
      <c r="S1239" s="19">
        <v>0.9</v>
      </c>
      <c r="T1239" s="19">
        <v>1</v>
      </c>
      <c r="U1239" s="19">
        <v>50</v>
      </c>
      <c r="AA1239" s="19">
        <v>0</v>
      </c>
    </row>
    <row r="1240" spans="1:27" x14ac:dyDescent="0.25">
      <c r="A1240" s="19" t="s">
        <v>2777</v>
      </c>
      <c r="B1240" s="19" t="s">
        <v>2747</v>
      </c>
      <c r="C1240" s="19">
        <v>46002</v>
      </c>
      <c r="D1240" s="19">
        <v>2.5</v>
      </c>
      <c r="E1240" s="19" t="s">
        <v>152</v>
      </c>
      <c r="F1240" s="19" t="s">
        <v>153</v>
      </c>
      <c r="G1240" s="19" t="s">
        <v>134</v>
      </c>
      <c r="H1240" s="19" t="s">
        <v>146</v>
      </c>
      <c r="I1240" s="19" t="s">
        <v>147</v>
      </c>
      <c r="J1240" s="19">
        <v>6</v>
      </c>
      <c r="K1240" s="19">
        <v>2.5000000000000001E-2</v>
      </c>
      <c r="L1240" s="19" t="s">
        <v>541</v>
      </c>
      <c r="M1240" s="19" t="s">
        <v>541</v>
      </c>
      <c r="N1240" s="19">
        <v>50</v>
      </c>
      <c r="O1240" s="19">
        <v>100</v>
      </c>
      <c r="P1240" s="19">
        <v>100</v>
      </c>
      <c r="Q1240" s="19">
        <v>50</v>
      </c>
      <c r="R1240" s="19" t="s">
        <v>870</v>
      </c>
      <c r="S1240" s="19">
        <v>0.9</v>
      </c>
      <c r="T1240" s="19">
        <v>1</v>
      </c>
      <c r="U1240" s="19">
        <v>50</v>
      </c>
      <c r="AA1240" s="19">
        <v>0</v>
      </c>
    </row>
    <row r="1241" spans="1:27" x14ac:dyDescent="0.25">
      <c r="A1241" s="19" t="s">
        <v>2778</v>
      </c>
      <c r="B1241" s="19" t="s">
        <v>2747</v>
      </c>
      <c r="C1241" s="19">
        <v>46002</v>
      </c>
      <c r="D1241" s="19">
        <v>2.5</v>
      </c>
      <c r="E1241" s="19" t="s">
        <v>155</v>
      </c>
      <c r="F1241" s="19" t="s">
        <v>156</v>
      </c>
      <c r="G1241" s="19" t="s">
        <v>134</v>
      </c>
      <c r="H1241" s="19" t="s">
        <v>146</v>
      </c>
      <c r="I1241" s="19" t="s">
        <v>147</v>
      </c>
      <c r="J1241" s="19">
        <v>7</v>
      </c>
      <c r="K1241" s="19">
        <v>2.5000000000000001E-2</v>
      </c>
      <c r="L1241" s="19" t="s">
        <v>541</v>
      </c>
      <c r="M1241" s="19" t="s">
        <v>541</v>
      </c>
      <c r="N1241" s="19">
        <v>50</v>
      </c>
      <c r="O1241" s="19">
        <v>100</v>
      </c>
      <c r="P1241" s="19">
        <v>100</v>
      </c>
      <c r="Q1241" s="19">
        <v>50</v>
      </c>
      <c r="R1241" s="19" t="s">
        <v>870</v>
      </c>
      <c r="S1241" s="19">
        <v>0.9</v>
      </c>
      <c r="T1241" s="19">
        <v>1</v>
      </c>
      <c r="U1241" s="19">
        <v>50</v>
      </c>
      <c r="AA1241" s="19">
        <v>0</v>
      </c>
    </row>
    <row r="1242" spans="1:27" x14ac:dyDescent="0.25">
      <c r="A1242" s="19" t="s">
        <v>2779</v>
      </c>
      <c r="B1242" s="19" t="s">
        <v>2747</v>
      </c>
      <c r="C1242" s="19">
        <v>46002</v>
      </c>
      <c r="D1242" s="19">
        <v>2.4500000000000002</v>
      </c>
      <c r="E1242" s="19" t="s">
        <v>158</v>
      </c>
      <c r="F1242" s="19" t="s">
        <v>159</v>
      </c>
      <c r="G1242" s="19" t="s">
        <v>134</v>
      </c>
      <c r="H1242" s="19" t="s">
        <v>146</v>
      </c>
      <c r="I1242" s="19" t="s">
        <v>147</v>
      </c>
      <c r="J1242" s="19">
        <v>8</v>
      </c>
      <c r="K1242" s="19">
        <v>2.5000000000000001E-2</v>
      </c>
      <c r="L1242" s="19" t="s">
        <v>541</v>
      </c>
      <c r="M1242" s="19" t="s">
        <v>541</v>
      </c>
      <c r="N1242" s="19">
        <v>50</v>
      </c>
      <c r="O1242" s="19">
        <v>98</v>
      </c>
      <c r="P1242" s="19">
        <v>96</v>
      </c>
      <c r="Q1242" s="19">
        <v>48</v>
      </c>
      <c r="R1242" s="19" t="s">
        <v>870</v>
      </c>
      <c r="S1242" s="19">
        <v>0.9</v>
      </c>
      <c r="T1242" s="19">
        <v>1</v>
      </c>
      <c r="U1242" s="19">
        <v>48</v>
      </c>
      <c r="AA1242" s="19">
        <v>0</v>
      </c>
    </row>
    <row r="1243" spans="1:27" x14ac:dyDescent="0.25">
      <c r="A1243" s="19" t="s">
        <v>2768</v>
      </c>
      <c r="B1243" s="19" t="s">
        <v>2747</v>
      </c>
      <c r="C1243" s="19">
        <v>46002</v>
      </c>
      <c r="D1243" s="19">
        <v>1.085</v>
      </c>
      <c r="E1243" s="19" t="s">
        <v>117</v>
      </c>
      <c r="F1243" s="19" t="s">
        <v>118</v>
      </c>
      <c r="G1243" s="19" t="s">
        <v>32</v>
      </c>
      <c r="H1243" s="19" t="s">
        <v>114</v>
      </c>
      <c r="I1243" s="19" t="s">
        <v>115</v>
      </c>
      <c r="J1243" s="19">
        <v>31</v>
      </c>
      <c r="K1243" s="19">
        <v>2.1700000000000001E-2</v>
      </c>
      <c r="L1243" s="19" t="s">
        <v>35</v>
      </c>
      <c r="M1243" s="19" t="s">
        <v>103</v>
      </c>
      <c r="N1243" s="19">
        <v>50</v>
      </c>
      <c r="O1243" s="19">
        <v>50</v>
      </c>
      <c r="P1243" s="19">
        <v>0</v>
      </c>
      <c r="Q1243" s="19">
        <v>0</v>
      </c>
      <c r="R1243" s="19" t="s">
        <v>870</v>
      </c>
      <c r="S1243" s="19">
        <v>0.9</v>
      </c>
      <c r="T1243" s="19">
        <v>1</v>
      </c>
      <c r="U1243" s="19">
        <v>0</v>
      </c>
      <c r="V1243" s="19" t="s">
        <v>41</v>
      </c>
      <c r="W1243" s="19">
        <v>1</v>
      </c>
      <c r="Y1243" s="19" t="s">
        <v>103</v>
      </c>
      <c r="Z1243" s="19">
        <v>50</v>
      </c>
      <c r="AA1243" s="19">
        <v>50</v>
      </c>
    </row>
    <row r="1244" spans="1:27" x14ac:dyDescent="0.25">
      <c r="A1244" s="19" t="s">
        <v>2780</v>
      </c>
      <c r="B1244" s="19" t="s">
        <v>2747</v>
      </c>
      <c r="C1244" s="19">
        <v>46002</v>
      </c>
      <c r="D1244" s="19">
        <v>0.54161249999999905</v>
      </c>
      <c r="E1244" s="19" t="s">
        <v>90</v>
      </c>
      <c r="F1244" s="19" t="s">
        <v>91</v>
      </c>
      <c r="G1244" s="19" t="s">
        <v>32</v>
      </c>
      <c r="H1244" s="19" t="s">
        <v>87</v>
      </c>
      <c r="I1244" s="19" t="s">
        <v>88</v>
      </c>
      <c r="J1244" s="19">
        <v>33</v>
      </c>
      <c r="K1244" s="19">
        <v>3.2500000000000001E-2</v>
      </c>
      <c r="L1244" s="19" t="s">
        <v>35</v>
      </c>
      <c r="M1244" s="19" t="s">
        <v>110</v>
      </c>
      <c r="N1244" s="19">
        <v>16.664999999999999</v>
      </c>
      <c r="O1244" s="19">
        <v>16.664999999999999</v>
      </c>
      <c r="P1244" s="19">
        <v>0</v>
      </c>
      <c r="Q1244" s="19">
        <v>0</v>
      </c>
      <c r="R1244" s="19" t="s">
        <v>870</v>
      </c>
      <c r="S1244" s="19">
        <v>0.9</v>
      </c>
      <c r="T1244" s="19">
        <v>1</v>
      </c>
      <c r="U1244" s="19">
        <v>0</v>
      </c>
      <c r="V1244" s="19" t="s">
        <v>41</v>
      </c>
      <c r="W1244" s="19">
        <v>1</v>
      </c>
      <c r="Y1244" s="19" t="s">
        <v>110</v>
      </c>
      <c r="Z1244" s="19">
        <v>16.664999999999999</v>
      </c>
      <c r="AA1244" s="19">
        <v>16.664999999999999</v>
      </c>
    </row>
    <row r="1245" spans="1:27" x14ac:dyDescent="0.25">
      <c r="A1245" s="19" t="s">
        <v>2781</v>
      </c>
      <c r="B1245" s="19" t="s">
        <v>2747</v>
      </c>
      <c r="C1245" s="19">
        <v>46002</v>
      </c>
      <c r="D1245" s="19">
        <v>0</v>
      </c>
      <c r="E1245" s="19" t="s">
        <v>123</v>
      </c>
      <c r="F1245" s="19" t="s">
        <v>124</v>
      </c>
      <c r="G1245" s="19" t="s">
        <v>32</v>
      </c>
      <c r="H1245" s="19" t="s">
        <v>114</v>
      </c>
      <c r="I1245" s="19" t="s">
        <v>115</v>
      </c>
      <c r="J1245" s="19">
        <v>27</v>
      </c>
      <c r="K1245" s="19">
        <v>2.1700000000000001E-2</v>
      </c>
      <c r="L1245" s="19" t="s">
        <v>35</v>
      </c>
      <c r="M1245" s="19" t="s">
        <v>103</v>
      </c>
      <c r="N1245" s="19">
        <v>0</v>
      </c>
      <c r="O1245" s="19">
        <v>0</v>
      </c>
      <c r="P1245" s="19">
        <v>0</v>
      </c>
      <c r="Q1245" s="19">
        <v>0</v>
      </c>
      <c r="R1245" s="19" t="s">
        <v>870</v>
      </c>
      <c r="S1245" s="19">
        <v>0.9</v>
      </c>
      <c r="T1245" s="19">
        <v>1</v>
      </c>
      <c r="U1245" s="19">
        <v>0</v>
      </c>
      <c r="V1245" s="19" t="s">
        <v>36</v>
      </c>
      <c r="W1245" s="19">
        <v>0</v>
      </c>
      <c r="Y1245" s="19" t="s">
        <v>103</v>
      </c>
      <c r="Z1245" s="19">
        <v>50</v>
      </c>
      <c r="AA1245" s="19">
        <v>0</v>
      </c>
    </row>
    <row r="1246" spans="1:27" x14ac:dyDescent="0.25">
      <c r="A1246" s="19" t="s">
        <v>2782</v>
      </c>
      <c r="B1246" s="19" t="s">
        <v>2747</v>
      </c>
      <c r="C1246" s="19">
        <v>46002</v>
      </c>
      <c r="D1246" s="19">
        <v>0</v>
      </c>
      <c r="E1246" s="19" t="s">
        <v>96</v>
      </c>
      <c r="F1246" s="19" t="s">
        <v>97</v>
      </c>
      <c r="G1246" s="19" t="s">
        <v>32</v>
      </c>
      <c r="H1246" s="19" t="s">
        <v>87</v>
      </c>
      <c r="I1246" s="19" t="s">
        <v>88</v>
      </c>
      <c r="J1246" s="19">
        <v>36</v>
      </c>
      <c r="K1246" s="19">
        <v>3.2500000000000001E-2</v>
      </c>
      <c r="L1246" s="19" t="s">
        <v>35</v>
      </c>
      <c r="N1246" s="19">
        <v>0</v>
      </c>
      <c r="O1246" s="19">
        <v>0</v>
      </c>
      <c r="P1246" s="19">
        <v>0</v>
      </c>
      <c r="Q1246" s="19">
        <v>0</v>
      </c>
      <c r="R1246" s="19" t="s">
        <v>870</v>
      </c>
      <c r="S1246" s="19">
        <v>0.9</v>
      </c>
      <c r="T1246" s="19">
        <v>1</v>
      </c>
      <c r="U1246" s="19">
        <v>0</v>
      </c>
      <c r="V1246" s="19" t="s">
        <v>36</v>
      </c>
      <c r="W1246" s="19">
        <v>0</v>
      </c>
      <c r="Z1246" s="19">
        <v>0</v>
      </c>
      <c r="AA1246" s="19">
        <v>0</v>
      </c>
    </row>
    <row r="1247" spans="1:27" x14ac:dyDescent="0.25">
      <c r="A1247" s="19" t="s">
        <v>2783</v>
      </c>
      <c r="B1247" s="19" t="s">
        <v>2747</v>
      </c>
      <c r="C1247" s="19">
        <v>46002</v>
      </c>
      <c r="D1247" s="19">
        <v>2.2197779999999998</v>
      </c>
      <c r="E1247" s="19" t="s">
        <v>161</v>
      </c>
      <c r="F1247" s="19" t="s">
        <v>162</v>
      </c>
      <c r="G1247" s="19" t="s">
        <v>163</v>
      </c>
      <c r="I1247" s="19" t="s">
        <v>164</v>
      </c>
      <c r="J1247" s="19">
        <v>1</v>
      </c>
      <c r="K1247" s="19">
        <v>3.3300000000000003E-2</v>
      </c>
      <c r="L1247" s="19" t="s">
        <v>35</v>
      </c>
      <c r="M1247" s="19" t="s">
        <v>165</v>
      </c>
      <c r="N1247" s="19">
        <v>66.66</v>
      </c>
      <c r="O1247" s="19">
        <v>66.66</v>
      </c>
      <c r="P1247" s="19">
        <v>0</v>
      </c>
      <c r="Q1247" s="19">
        <v>0</v>
      </c>
      <c r="R1247" s="19" t="s">
        <v>870</v>
      </c>
      <c r="S1247" s="19">
        <v>0.9</v>
      </c>
      <c r="T1247" s="19">
        <v>1</v>
      </c>
      <c r="U1247" s="19">
        <v>0</v>
      </c>
      <c r="W1247" s="19">
        <v>0</v>
      </c>
      <c r="X1247" s="19">
        <v>66.66</v>
      </c>
      <c r="Z1247" s="19">
        <v>0</v>
      </c>
      <c r="AA1247" s="19">
        <v>66.66</v>
      </c>
    </row>
    <row r="1248" spans="1:27" x14ac:dyDescent="0.25">
      <c r="A1248" s="19" t="s">
        <v>2784</v>
      </c>
      <c r="B1248" s="19" t="s">
        <v>2747</v>
      </c>
      <c r="C1248" s="19">
        <v>46002</v>
      </c>
      <c r="D1248" s="19">
        <v>1.1098889999999999</v>
      </c>
      <c r="E1248" s="19" t="s">
        <v>167</v>
      </c>
      <c r="F1248" s="19" t="s">
        <v>168</v>
      </c>
      <c r="G1248" s="19" t="s">
        <v>163</v>
      </c>
      <c r="I1248" s="19" t="s">
        <v>164</v>
      </c>
      <c r="J1248" s="19">
        <v>3</v>
      </c>
      <c r="K1248" s="19">
        <v>3.3300000000000003E-2</v>
      </c>
      <c r="L1248" s="19" t="s">
        <v>35</v>
      </c>
      <c r="M1248" s="19" t="s">
        <v>165</v>
      </c>
      <c r="N1248" s="19">
        <v>33.33</v>
      </c>
      <c r="O1248" s="19">
        <v>33.33</v>
      </c>
      <c r="P1248" s="19">
        <v>0</v>
      </c>
      <c r="Q1248" s="19">
        <v>0</v>
      </c>
      <c r="R1248" s="19" t="s">
        <v>870</v>
      </c>
      <c r="S1248" s="19">
        <v>0.9</v>
      </c>
      <c r="T1248" s="19">
        <v>1</v>
      </c>
      <c r="U1248" s="19">
        <v>0</v>
      </c>
      <c r="W1248" s="19">
        <v>0</v>
      </c>
      <c r="X1248" s="19">
        <v>33.33</v>
      </c>
      <c r="Z1248" s="19">
        <v>0</v>
      </c>
      <c r="AA1248" s="19">
        <v>33.33</v>
      </c>
    </row>
    <row r="1249" spans="1:27" x14ac:dyDescent="0.25">
      <c r="A1249" s="19" t="s">
        <v>2785</v>
      </c>
      <c r="B1249" s="19" t="s">
        <v>2747</v>
      </c>
      <c r="C1249" s="19">
        <v>46002</v>
      </c>
      <c r="D1249" s="19">
        <v>3.1301999999999999</v>
      </c>
      <c r="E1249" s="19" t="s">
        <v>170</v>
      </c>
      <c r="F1249" s="19" t="s">
        <v>171</v>
      </c>
      <c r="G1249" s="19" t="s">
        <v>163</v>
      </c>
      <c r="I1249" s="19" t="s">
        <v>164</v>
      </c>
      <c r="J1249" s="19">
        <v>2</v>
      </c>
      <c r="K1249" s="19">
        <v>3.3300000000000003E-2</v>
      </c>
      <c r="L1249" s="19" t="s">
        <v>35</v>
      </c>
      <c r="M1249" s="19" t="s">
        <v>165</v>
      </c>
      <c r="N1249" s="19">
        <v>94</v>
      </c>
      <c r="O1249" s="19">
        <v>94</v>
      </c>
      <c r="P1249" s="19">
        <v>0</v>
      </c>
      <c r="Q1249" s="19">
        <v>0</v>
      </c>
      <c r="R1249" s="19" t="s">
        <v>870</v>
      </c>
      <c r="S1249" s="19">
        <v>0.9</v>
      </c>
      <c r="T1249" s="19">
        <v>1</v>
      </c>
      <c r="U1249" s="19">
        <v>0</v>
      </c>
      <c r="W1249" s="19">
        <v>0</v>
      </c>
      <c r="X1249" s="19">
        <v>94</v>
      </c>
      <c r="Z1249" s="19">
        <v>0</v>
      </c>
      <c r="AA1249" s="19">
        <v>94</v>
      </c>
    </row>
    <row r="1250" spans="1:27" x14ac:dyDescent="0.25">
      <c r="A1250" s="19" t="s">
        <v>1440</v>
      </c>
      <c r="B1250" s="19" t="s">
        <v>1441</v>
      </c>
      <c r="C1250" s="19" t="s">
        <v>1442</v>
      </c>
      <c r="D1250" s="19">
        <v>2.78</v>
      </c>
      <c r="E1250" s="19" t="s">
        <v>137</v>
      </c>
      <c r="F1250" s="19" t="s">
        <v>138</v>
      </c>
      <c r="G1250" s="19" t="s">
        <v>134</v>
      </c>
      <c r="H1250" s="19" t="s">
        <v>87</v>
      </c>
      <c r="I1250" s="19" t="s">
        <v>135</v>
      </c>
      <c r="J1250" s="19">
        <v>9</v>
      </c>
      <c r="K1250" s="19">
        <v>4.1700000000000001E-2</v>
      </c>
      <c r="L1250" s="19" t="s">
        <v>541</v>
      </c>
      <c r="M1250" s="19" t="s">
        <v>541</v>
      </c>
      <c r="N1250" s="19">
        <v>50</v>
      </c>
      <c r="O1250" s="19">
        <v>66.666666666699996</v>
      </c>
      <c r="P1250" s="19">
        <v>33.333333333299997</v>
      </c>
      <c r="Q1250" s="19">
        <v>16.666666666699999</v>
      </c>
      <c r="R1250" s="19" t="s">
        <v>1033</v>
      </c>
      <c r="S1250" s="19">
        <v>0.5</v>
      </c>
      <c r="T1250" s="19">
        <v>1</v>
      </c>
      <c r="U1250" s="19">
        <v>16.666666666699999</v>
      </c>
      <c r="AA1250" s="19">
        <v>0</v>
      </c>
    </row>
    <row r="1251" spans="1:27" x14ac:dyDescent="0.25">
      <c r="A1251" s="19" t="s">
        <v>1443</v>
      </c>
      <c r="B1251" s="19" t="s">
        <v>1441</v>
      </c>
      <c r="C1251" s="19" t="s">
        <v>1442</v>
      </c>
      <c r="D1251" s="19">
        <v>2.78</v>
      </c>
      <c r="E1251" s="19" t="s">
        <v>140</v>
      </c>
      <c r="F1251" s="19" t="s">
        <v>141</v>
      </c>
      <c r="G1251" s="19" t="s">
        <v>134</v>
      </c>
      <c r="H1251" s="19" t="s">
        <v>87</v>
      </c>
      <c r="I1251" s="19" t="s">
        <v>135</v>
      </c>
      <c r="J1251" s="19">
        <v>10</v>
      </c>
      <c r="K1251" s="19">
        <v>4.1700000000000001E-2</v>
      </c>
      <c r="L1251" s="19" t="s">
        <v>541</v>
      </c>
      <c r="M1251" s="19" t="s">
        <v>541</v>
      </c>
      <c r="N1251" s="19">
        <v>50</v>
      </c>
      <c r="O1251" s="19">
        <v>66.666666666699996</v>
      </c>
      <c r="P1251" s="19">
        <v>33.333333333299997</v>
      </c>
      <c r="Q1251" s="19">
        <v>16.666666666699999</v>
      </c>
      <c r="R1251" s="19" t="s">
        <v>1033</v>
      </c>
      <c r="S1251" s="19">
        <v>0.5</v>
      </c>
      <c r="T1251" s="19">
        <v>1</v>
      </c>
      <c r="U1251" s="19">
        <v>16.666666666699999</v>
      </c>
      <c r="AA1251" s="19">
        <v>0</v>
      </c>
    </row>
    <row r="1252" spans="1:27" x14ac:dyDescent="0.25">
      <c r="A1252" s="19" t="s">
        <v>1444</v>
      </c>
      <c r="B1252" s="19" t="s">
        <v>1441</v>
      </c>
      <c r="C1252" s="19" t="s">
        <v>1442</v>
      </c>
      <c r="D1252" s="19">
        <v>1.2224999999999999</v>
      </c>
      <c r="E1252" s="19" t="s">
        <v>30</v>
      </c>
      <c r="F1252" s="19" t="s">
        <v>31</v>
      </c>
      <c r="G1252" s="19" t="s">
        <v>32</v>
      </c>
      <c r="H1252" s="19" t="s">
        <v>33</v>
      </c>
      <c r="I1252" s="19" t="s">
        <v>34</v>
      </c>
      <c r="J1252" s="19">
        <v>17</v>
      </c>
      <c r="K1252" s="19">
        <v>1.6299999999999999E-2</v>
      </c>
      <c r="L1252" s="19" t="s">
        <v>541</v>
      </c>
      <c r="M1252" s="19" t="s">
        <v>541</v>
      </c>
      <c r="N1252" s="19">
        <v>50</v>
      </c>
      <c r="O1252" s="19">
        <v>75</v>
      </c>
      <c r="P1252" s="19">
        <v>100</v>
      </c>
      <c r="Q1252" s="19">
        <v>50</v>
      </c>
      <c r="R1252" s="19" t="s">
        <v>1033</v>
      </c>
      <c r="S1252" s="19">
        <v>0.5</v>
      </c>
      <c r="T1252" s="19">
        <v>0.5</v>
      </c>
      <c r="U1252" s="19">
        <v>25</v>
      </c>
      <c r="AA1252" s="19">
        <v>0</v>
      </c>
    </row>
    <row r="1253" spans="1:27" x14ac:dyDescent="0.25">
      <c r="A1253" s="19" t="s">
        <v>1445</v>
      </c>
      <c r="B1253" s="19" t="s">
        <v>1441</v>
      </c>
      <c r="C1253" s="19" t="s">
        <v>1442</v>
      </c>
      <c r="D1253" s="19">
        <v>1.2224999999999999</v>
      </c>
      <c r="E1253" s="19" t="s">
        <v>43</v>
      </c>
      <c r="F1253" s="19" t="s">
        <v>44</v>
      </c>
      <c r="G1253" s="19" t="s">
        <v>32</v>
      </c>
      <c r="H1253" s="19" t="s">
        <v>33</v>
      </c>
      <c r="I1253" s="19" t="s">
        <v>34</v>
      </c>
      <c r="J1253" s="19">
        <v>18</v>
      </c>
      <c r="K1253" s="19">
        <v>1.6299999999999999E-2</v>
      </c>
      <c r="L1253" s="19" t="s">
        <v>541</v>
      </c>
      <c r="M1253" s="19" t="s">
        <v>541</v>
      </c>
      <c r="N1253" s="19">
        <v>50</v>
      </c>
      <c r="O1253" s="19">
        <v>75</v>
      </c>
      <c r="P1253" s="19">
        <v>100</v>
      </c>
      <c r="Q1253" s="19">
        <v>50</v>
      </c>
      <c r="R1253" s="19" t="s">
        <v>1033</v>
      </c>
      <c r="S1253" s="19">
        <v>0.5</v>
      </c>
      <c r="T1253" s="19">
        <v>0.5</v>
      </c>
      <c r="U1253" s="19">
        <v>25</v>
      </c>
      <c r="AA1253" s="19">
        <v>0</v>
      </c>
    </row>
    <row r="1254" spans="1:27" x14ac:dyDescent="0.25">
      <c r="A1254" s="19" t="s">
        <v>1446</v>
      </c>
      <c r="B1254" s="19" t="s">
        <v>1441</v>
      </c>
      <c r="C1254" s="19" t="s">
        <v>1442</v>
      </c>
      <c r="D1254" s="19">
        <v>1.08797024952015</v>
      </c>
      <c r="E1254" s="19" t="s">
        <v>49</v>
      </c>
      <c r="F1254" s="19" t="s">
        <v>50</v>
      </c>
      <c r="G1254" s="19" t="s">
        <v>32</v>
      </c>
      <c r="H1254" s="19" t="s">
        <v>33</v>
      </c>
      <c r="I1254" s="19" t="s">
        <v>34</v>
      </c>
      <c r="J1254" s="19">
        <v>12</v>
      </c>
      <c r="K1254" s="19">
        <v>1.6299999999999999E-2</v>
      </c>
      <c r="L1254" s="19" t="s">
        <v>541</v>
      </c>
      <c r="M1254" s="19" t="s">
        <v>541</v>
      </c>
      <c r="N1254" s="19">
        <v>50</v>
      </c>
      <c r="O1254" s="19">
        <v>66.746641074899998</v>
      </c>
      <c r="P1254" s="19">
        <v>66.986564299400001</v>
      </c>
      <c r="Q1254" s="19">
        <v>33.493282149700001</v>
      </c>
      <c r="R1254" s="19" t="s">
        <v>1033</v>
      </c>
      <c r="S1254" s="19">
        <v>0.5</v>
      </c>
      <c r="T1254" s="19">
        <v>0.5</v>
      </c>
      <c r="U1254" s="19">
        <v>16.746641074900001</v>
      </c>
      <c r="AA1254" s="19">
        <v>0</v>
      </c>
    </row>
    <row r="1255" spans="1:27" x14ac:dyDescent="0.25">
      <c r="A1255" s="19" t="s">
        <v>1447</v>
      </c>
      <c r="B1255" s="19" t="s">
        <v>1441</v>
      </c>
      <c r="C1255" s="19" t="s">
        <v>1442</v>
      </c>
      <c r="D1255" s="19">
        <v>1.0187499999999901</v>
      </c>
      <c r="E1255" s="19" t="s">
        <v>52</v>
      </c>
      <c r="F1255" s="19" t="s">
        <v>53</v>
      </c>
      <c r="G1255" s="19" t="s">
        <v>32</v>
      </c>
      <c r="H1255" s="19" t="s">
        <v>33</v>
      </c>
      <c r="I1255" s="19" t="s">
        <v>34</v>
      </c>
      <c r="J1255" s="19">
        <v>16</v>
      </c>
      <c r="K1255" s="19">
        <v>1.6299999999999999E-2</v>
      </c>
      <c r="L1255" s="19" t="s">
        <v>541</v>
      </c>
      <c r="M1255" s="19" t="s">
        <v>541</v>
      </c>
      <c r="N1255" s="19">
        <v>50</v>
      </c>
      <c r="O1255" s="19">
        <v>62.5</v>
      </c>
      <c r="P1255" s="19">
        <v>50</v>
      </c>
      <c r="Q1255" s="19">
        <v>25</v>
      </c>
      <c r="R1255" s="19" t="s">
        <v>1033</v>
      </c>
      <c r="S1255" s="19">
        <v>0.5</v>
      </c>
      <c r="T1255" s="19">
        <v>0.5</v>
      </c>
      <c r="U1255" s="19">
        <v>12.5</v>
      </c>
      <c r="AA1255" s="19">
        <v>0</v>
      </c>
    </row>
    <row r="1256" spans="1:27" x14ac:dyDescent="0.25">
      <c r="A1256" s="19" t="s">
        <v>1448</v>
      </c>
      <c r="B1256" s="19" t="s">
        <v>1441</v>
      </c>
      <c r="C1256" s="19" t="s">
        <v>1442</v>
      </c>
      <c r="D1256" s="19">
        <v>1.2209357005758099</v>
      </c>
      <c r="E1256" s="19" t="s">
        <v>55</v>
      </c>
      <c r="F1256" s="19" t="s">
        <v>56</v>
      </c>
      <c r="G1256" s="19" t="s">
        <v>32</v>
      </c>
      <c r="H1256" s="19" t="s">
        <v>33</v>
      </c>
      <c r="I1256" s="19" t="s">
        <v>34</v>
      </c>
      <c r="J1256" s="19">
        <v>14</v>
      </c>
      <c r="K1256" s="19">
        <v>1.6299999999999999E-2</v>
      </c>
      <c r="L1256" s="19" t="s">
        <v>541</v>
      </c>
      <c r="M1256" s="19" t="s">
        <v>541</v>
      </c>
      <c r="N1256" s="19">
        <v>50</v>
      </c>
      <c r="O1256" s="19">
        <v>74.904030710200004</v>
      </c>
      <c r="P1256" s="19">
        <v>99.616122840700001</v>
      </c>
      <c r="Q1256" s="19">
        <v>49.8080614203</v>
      </c>
      <c r="R1256" s="19" t="s">
        <v>1033</v>
      </c>
      <c r="S1256" s="19">
        <v>0.5</v>
      </c>
      <c r="T1256" s="19">
        <v>0.5</v>
      </c>
      <c r="U1256" s="19">
        <v>24.904030710200001</v>
      </c>
      <c r="AA1256" s="19">
        <v>0</v>
      </c>
    </row>
    <row r="1257" spans="1:27" x14ac:dyDescent="0.25">
      <c r="A1257" s="19" t="s">
        <v>1449</v>
      </c>
      <c r="B1257" s="19" t="s">
        <v>1441</v>
      </c>
      <c r="C1257" s="19" t="s">
        <v>1442</v>
      </c>
      <c r="D1257" s="19">
        <v>1.2224999999999999</v>
      </c>
      <c r="E1257" s="19" t="s">
        <v>58</v>
      </c>
      <c r="F1257" s="19" t="s">
        <v>59</v>
      </c>
      <c r="G1257" s="19" t="s">
        <v>32</v>
      </c>
      <c r="H1257" s="19" t="s">
        <v>33</v>
      </c>
      <c r="I1257" s="19" t="s">
        <v>34</v>
      </c>
      <c r="J1257" s="19">
        <v>13</v>
      </c>
      <c r="K1257" s="19">
        <v>1.6299999999999999E-2</v>
      </c>
      <c r="L1257" s="19" t="s">
        <v>541</v>
      </c>
      <c r="M1257" s="19" t="s">
        <v>541</v>
      </c>
      <c r="N1257" s="19">
        <v>50</v>
      </c>
      <c r="O1257" s="19">
        <v>75</v>
      </c>
      <c r="P1257" s="19">
        <v>100</v>
      </c>
      <c r="Q1257" s="19">
        <v>50</v>
      </c>
      <c r="R1257" s="19" t="s">
        <v>1033</v>
      </c>
      <c r="S1257" s="19">
        <v>0.5</v>
      </c>
      <c r="T1257" s="19">
        <v>0.5</v>
      </c>
      <c r="U1257" s="19">
        <v>25</v>
      </c>
      <c r="AA1257" s="19">
        <v>0</v>
      </c>
    </row>
    <row r="1258" spans="1:27" x14ac:dyDescent="0.25">
      <c r="A1258" s="19" t="s">
        <v>1450</v>
      </c>
      <c r="B1258" s="19" t="s">
        <v>1441</v>
      </c>
      <c r="C1258" s="19" t="s">
        <v>1442</v>
      </c>
      <c r="D1258" s="19">
        <v>1.24148752399232</v>
      </c>
      <c r="E1258" s="19" t="s">
        <v>61</v>
      </c>
      <c r="F1258" s="19" t="s">
        <v>62</v>
      </c>
      <c r="G1258" s="19" t="s">
        <v>32</v>
      </c>
      <c r="H1258" s="19" t="s">
        <v>63</v>
      </c>
      <c r="I1258" s="19" t="s">
        <v>64</v>
      </c>
      <c r="J1258" s="19">
        <v>22</v>
      </c>
      <c r="K1258" s="19">
        <v>1.8599999999999998E-2</v>
      </c>
      <c r="L1258" s="19" t="s">
        <v>541</v>
      </c>
      <c r="M1258" s="19" t="s">
        <v>541</v>
      </c>
      <c r="N1258" s="19">
        <v>50</v>
      </c>
      <c r="O1258" s="19">
        <v>66.746641074899998</v>
      </c>
      <c r="P1258" s="19">
        <v>66.986564299400001</v>
      </c>
      <c r="Q1258" s="19">
        <v>33.493282149700001</v>
      </c>
      <c r="R1258" s="19" t="s">
        <v>1033</v>
      </c>
      <c r="S1258" s="19">
        <v>0.5</v>
      </c>
      <c r="T1258" s="19">
        <v>0.5</v>
      </c>
      <c r="U1258" s="19">
        <v>16.746641074900001</v>
      </c>
      <c r="AA1258" s="19">
        <v>0</v>
      </c>
    </row>
    <row r="1259" spans="1:27" x14ac:dyDescent="0.25">
      <c r="A1259" s="19" t="s">
        <v>1451</v>
      </c>
      <c r="B1259" s="19" t="s">
        <v>1441</v>
      </c>
      <c r="C1259" s="19" t="s">
        <v>1442</v>
      </c>
      <c r="D1259" s="19">
        <v>1.39499999999999</v>
      </c>
      <c r="E1259" s="19" t="s">
        <v>66</v>
      </c>
      <c r="F1259" s="19" t="s">
        <v>67</v>
      </c>
      <c r="G1259" s="19" t="s">
        <v>32</v>
      </c>
      <c r="H1259" s="19" t="s">
        <v>63</v>
      </c>
      <c r="I1259" s="19" t="s">
        <v>64</v>
      </c>
      <c r="J1259" s="19">
        <v>20</v>
      </c>
      <c r="K1259" s="19">
        <v>1.8599999999999998E-2</v>
      </c>
      <c r="L1259" s="19" t="s">
        <v>541</v>
      </c>
      <c r="M1259" s="19" t="s">
        <v>541</v>
      </c>
      <c r="N1259" s="19">
        <v>50</v>
      </c>
      <c r="O1259" s="19">
        <v>75</v>
      </c>
      <c r="P1259" s="19">
        <v>100</v>
      </c>
      <c r="Q1259" s="19">
        <v>50</v>
      </c>
      <c r="R1259" s="19" t="s">
        <v>1033</v>
      </c>
      <c r="S1259" s="19">
        <v>0.5</v>
      </c>
      <c r="T1259" s="19">
        <v>0.5</v>
      </c>
      <c r="U1259" s="19">
        <v>25</v>
      </c>
      <c r="AA1259" s="19">
        <v>0</v>
      </c>
    </row>
    <row r="1260" spans="1:27" x14ac:dyDescent="0.25">
      <c r="A1260" s="19" t="s">
        <v>1452</v>
      </c>
      <c r="B1260" s="19" t="s">
        <v>1441</v>
      </c>
      <c r="C1260" s="19" t="s">
        <v>1442</v>
      </c>
      <c r="D1260" s="19">
        <v>1.39499999999999</v>
      </c>
      <c r="E1260" s="19" t="s">
        <v>69</v>
      </c>
      <c r="F1260" s="19" t="s">
        <v>70</v>
      </c>
      <c r="G1260" s="19" t="s">
        <v>32</v>
      </c>
      <c r="H1260" s="19" t="s">
        <v>63</v>
      </c>
      <c r="I1260" s="19" t="s">
        <v>64</v>
      </c>
      <c r="J1260" s="19">
        <v>23</v>
      </c>
      <c r="K1260" s="19">
        <v>1.8599999999999998E-2</v>
      </c>
      <c r="L1260" s="19" t="s">
        <v>541</v>
      </c>
      <c r="M1260" s="19" t="s">
        <v>541</v>
      </c>
      <c r="N1260" s="19">
        <v>50</v>
      </c>
      <c r="O1260" s="19">
        <v>75</v>
      </c>
      <c r="P1260" s="19">
        <v>100</v>
      </c>
      <c r="Q1260" s="19">
        <v>50</v>
      </c>
      <c r="R1260" s="19" t="s">
        <v>1033</v>
      </c>
      <c r="S1260" s="19">
        <v>0.5</v>
      </c>
      <c r="T1260" s="19">
        <v>0.5</v>
      </c>
      <c r="U1260" s="19">
        <v>25</v>
      </c>
      <c r="AA1260" s="19">
        <v>0</v>
      </c>
    </row>
    <row r="1261" spans="1:27" x14ac:dyDescent="0.25">
      <c r="A1261" s="19" t="s">
        <v>1453</v>
      </c>
      <c r="B1261" s="19" t="s">
        <v>1441</v>
      </c>
      <c r="C1261" s="19" t="s">
        <v>1442</v>
      </c>
      <c r="D1261" s="19">
        <v>1.39499999999999</v>
      </c>
      <c r="E1261" s="19" t="s">
        <v>72</v>
      </c>
      <c r="F1261" s="19" t="s">
        <v>73</v>
      </c>
      <c r="G1261" s="19" t="s">
        <v>32</v>
      </c>
      <c r="H1261" s="19" t="s">
        <v>63</v>
      </c>
      <c r="I1261" s="19" t="s">
        <v>64</v>
      </c>
      <c r="J1261" s="19">
        <v>21</v>
      </c>
      <c r="K1261" s="19">
        <v>1.8599999999999998E-2</v>
      </c>
      <c r="L1261" s="19" t="s">
        <v>541</v>
      </c>
      <c r="M1261" s="19" t="s">
        <v>541</v>
      </c>
      <c r="N1261" s="19">
        <v>50</v>
      </c>
      <c r="O1261" s="19">
        <v>75</v>
      </c>
      <c r="P1261" s="19">
        <v>100</v>
      </c>
      <c r="Q1261" s="19">
        <v>50</v>
      </c>
      <c r="R1261" s="19" t="s">
        <v>1033</v>
      </c>
      <c r="S1261" s="19">
        <v>0.5</v>
      </c>
      <c r="T1261" s="19">
        <v>0.5</v>
      </c>
      <c r="U1261" s="19">
        <v>25</v>
      </c>
      <c r="AA1261" s="19">
        <v>0</v>
      </c>
    </row>
    <row r="1262" spans="1:27" x14ac:dyDescent="0.25">
      <c r="A1262" s="19" t="s">
        <v>1454</v>
      </c>
      <c r="B1262" s="19" t="s">
        <v>1441</v>
      </c>
      <c r="C1262" s="19" t="s">
        <v>1442</v>
      </c>
      <c r="D1262" s="19">
        <v>1.39499999999999</v>
      </c>
      <c r="E1262" s="19" t="s">
        <v>75</v>
      </c>
      <c r="F1262" s="19" t="s">
        <v>76</v>
      </c>
      <c r="G1262" s="19" t="s">
        <v>32</v>
      </c>
      <c r="H1262" s="19" t="s">
        <v>63</v>
      </c>
      <c r="I1262" s="19" t="s">
        <v>64</v>
      </c>
      <c r="J1262" s="19">
        <v>24</v>
      </c>
      <c r="K1262" s="19">
        <v>1.8599999999999998E-2</v>
      </c>
      <c r="L1262" s="19" t="s">
        <v>541</v>
      </c>
      <c r="M1262" s="19" t="s">
        <v>541</v>
      </c>
      <c r="N1262" s="19">
        <v>50</v>
      </c>
      <c r="O1262" s="19">
        <v>75</v>
      </c>
      <c r="P1262" s="19">
        <v>100</v>
      </c>
      <c r="Q1262" s="19">
        <v>50</v>
      </c>
      <c r="R1262" s="19" t="s">
        <v>1033</v>
      </c>
      <c r="S1262" s="19">
        <v>0.5</v>
      </c>
      <c r="T1262" s="19">
        <v>0.5</v>
      </c>
      <c r="U1262" s="19">
        <v>25</v>
      </c>
      <c r="AA1262" s="19">
        <v>0</v>
      </c>
    </row>
    <row r="1263" spans="1:27" x14ac:dyDescent="0.25">
      <c r="A1263" s="19" t="s">
        <v>1455</v>
      </c>
      <c r="B1263" s="19" t="s">
        <v>1441</v>
      </c>
      <c r="C1263" s="19" t="s">
        <v>1442</v>
      </c>
      <c r="D1263" s="19">
        <v>1.39499999999999</v>
      </c>
      <c r="E1263" s="19" t="s">
        <v>82</v>
      </c>
      <c r="F1263" s="19" t="s">
        <v>83</v>
      </c>
      <c r="G1263" s="19" t="s">
        <v>32</v>
      </c>
      <c r="H1263" s="19" t="s">
        <v>63</v>
      </c>
      <c r="I1263" s="19" t="s">
        <v>64</v>
      </c>
      <c r="J1263" s="19">
        <v>26</v>
      </c>
      <c r="K1263" s="19">
        <v>1.8599999999999998E-2</v>
      </c>
      <c r="L1263" s="19" t="s">
        <v>541</v>
      </c>
      <c r="M1263" s="19" t="s">
        <v>541</v>
      </c>
      <c r="N1263" s="19">
        <v>50</v>
      </c>
      <c r="O1263" s="19">
        <v>75</v>
      </c>
      <c r="P1263" s="19">
        <v>100</v>
      </c>
      <c r="Q1263" s="19">
        <v>50</v>
      </c>
      <c r="R1263" s="19" t="s">
        <v>1033</v>
      </c>
      <c r="S1263" s="19">
        <v>0.5</v>
      </c>
      <c r="T1263" s="19">
        <v>0.5</v>
      </c>
      <c r="U1263" s="19">
        <v>25</v>
      </c>
      <c r="AA1263" s="19">
        <v>0</v>
      </c>
    </row>
    <row r="1264" spans="1:27" x14ac:dyDescent="0.25">
      <c r="A1264" s="19" t="s">
        <v>1456</v>
      </c>
      <c r="B1264" s="19" t="s">
        <v>1441</v>
      </c>
      <c r="C1264" s="19" t="s">
        <v>1442</v>
      </c>
      <c r="D1264" s="19">
        <v>2.16926583493282</v>
      </c>
      <c r="E1264" s="19" t="s">
        <v>85</v>
      </c>
      <c r="F1264" s="19" t="s">
        <v>86</v>
      </c>
      <c r="G1264" s="19" t="s">
        <v>32</v>
      </c>
      <c r="H1264" s="19" t="s">
        <v>87</v>
      </c>
      <c r="I1264" s="19" t="s">
        <v>88</v>
      </c>
      <c r="J1264" s="19">
        <v>35</v>
      </c>
      <c r="K1264" s="19">
        <v>3.2500000000000001E-2</v>
      </c>
      <c r="L1264" s="19" t="s">
        <v>541</v>
      </c>
      <c r="M1264" s="19" t="s">
        <v>541</v>
      </c>
      <c r="N1264" s="19">
        <v>50</v>
      </c>
      <c r="O1264" s="19">
        <v>66.746641074899998</v>
      </c>
      <c r="P1264" s="19">
        <v>66.986564299400001</v>
      </c>
      <c r="Q1264" s="19">
        <v>33.493282149700001</v>
      </c>
      <c r="R1264" s="19" t="s">
        <v>1033</v>
      </c>
      <c r="S1264" s="19">
        <v>0.5</v>
      </c>
      <c r="T1264" s="19">
        <v>0.5</v>
      </c>
      <c r="U1264" s="19">
        <v>16.746641074900001</v>
      </c>
      <c r="AA1264" s="19">
        <v>0</v>
      </c>
    </row>
    <row r="1265" spans="1:27" x14ac:dyDescent="0.25">
      <c r="A1265" s="19" t="s">
        <v>1457</v>
      </c>
      <c r="B1265" s="19" t="s">
        <v>1441</v>
      </c>
      <c r="C1265" s="19" t="s">
        <v>1442</v>
      </c>
      <c r="D1265" s="19">
        <v>1.9341814159291999</v>
      </c>
      <c r="E1265" s="19" t="s">
        <v>90</v>
      </c>
      <c r="F1265" s="19" t="s">
        <v>91</v>
      </c>
      <c r="G1265" s="19" t="s">
        <v>32</v>
      </c>
      <c r="H1265" s="19" t="s">
        <v>87</v>
      </c>
      <c r="I1265" s="19" t="s">
        <v>88</v>
      </c>
      <c r="J1265" s="19">
        <v>33</v>
      </c>
      <c r="K1265" s="19">
        <v>3.2500000000000001E-2</v>
      </c>
      <c r="L1265" s="19" t="s">
        <v>541</v>
      </c>
      <c r="M1265" s="19" t="s">
        <v>541</v>
      </c>
      <c r="N1265" s="19">
        <v>50</v>
      </c>
      <c r="O1265" s="19">
        <v>59.5132743363</v>
      </c>
      <c r="P1265" s="19">
        <v>38.053097345099999</v>
      </c>
      <c r="Q1265" s="19">
        <v>19.026548672600001</v>
      </c>
      <c r="R1265" s="19" t="s">
        <v>1033</v>
      </c>
      <c r="S1265" s="19">
        <v>0.5</v>
      </c>
      <c r="T1265" s="19">
        <v>0.5</v>
      </c>
      <c r="U1265" s="19">
        <v>9.5132743362800003</v>
      </c>
      <c r="AA1265" s="19">
        <v>0</v>
      </c>
    </row>
    <row r="1266" spans="1:27" x14ac:dyDescent="0.25">
      <c r="A1266" s="19" t="s">
        <v>1458</v>
      </c>
      <c r="B1266" s="19" t="s">
        <v>1441</v>
      </c>
      <c r="C1266" s="19" t="s">
        <v>1442</v>
      </c>
      <c r="D1266" s="19">
        <v>2.5</v>
      </c>
      <c r="E1266" s="19" t="s">
        <v>149</v>
      </c>
      <c r="F1266" s="19" t="s">
        <v>150</v>
      </c>
      <c r="G1266" s="19" t="s">
        <v>134</v>
      </c>
      <c r="H1266" s="19" t="s">
        <v>146</v>
      </c>
      <c r="I1266" s="19" t="s">
        <v>147</v>
      </c>
      <c r="J1266" s="19">
        <v>5</v>
      </c>
      <c r="K1266" s="19">
        <v>2.5000000000000001E-2</v>
      </c>
      <c r="L1266" s="19" t="s">
        <v>541</v>
      </c>
      <c r="M1266" s="19" t="s">
        <v>541</v>
      </c>
      <c r="N1266" s="19">
        <v>50</v>
      </c>
      <c r="O1266" s="19">
        <v>100</v>
      </c>
      <c r="P1266" s="19">
        <v>100</v>
      </c>
      <c r="Q1266" s="19">
        <v>50</v>
      </c>
      <c r="R1266" s="19" t="s">
        <v>1033</v>
      </c>
      <c r="S1266" s="19">
        <v>0.5</v>
      </c>
      <c r="T1266" s="19">
        <v>1</v>
      </c>
      <c r="U1266" s="19">
        <v>50</v>
      </c>
      <c r="AA1266" s="19">
        <v>0</v>
      </c>
    </row>
    <row r="1267" spans="1:27" x14ac:dyDescent="0.25">
      <c r="A1267" s="19" t="s">
        <v>1459</v>
      </c>
      <c r="B1267" s="19" t="s">
        <v>1441</v>
      </c>
      <c r="C1267" s="19" t="s">
        <v>1442</v>
      </c>
      <c r="D1267" s="19">
        <v>2.085</v>
      </c>
      <c r="E1267" s="19" t="s">
        <v>132</v>
      </c>
      <c r="F1267" s="19" t="s">
        <v>133</v>
      </c>
      <c r="G1267" s="19" t="s">
        <v>134</v>
      </c>
      <c r="H1267" s="19" t="s">
        <v>87</v>
      </c>
      <c r="I1267" s="19" t="s">
        <v>135</v>
      </c>
      <c r="J1267" s="19">
        <v>11</v>
      </c>
      <c r="K1267" s="19">
        <v>4.1700000000000001E-2</v>
      </c>
      <c r="L1267" s="19" t="s">
        <v>35</v>
      </c>
      <c r="M1267" s="19" t="s">
        <v>103</v>
      </c>
      <c r="N1267" s="19">
        <v>50</v>
      </c>
      <c r="O1267" s="19">
        <v>50</v>
      </c>
      <c r="P1267" s="19">
        <v>0</v>
      </c>
      <c r="Q1267" s="19">
        <v>0</v>
      </c>
      <c r="R1267" s="19" t="s">
        <v>1033</v>
      </c>
      <c r="S1267" s="19">
        <v>0.5</v>
      </c>
      <c r="T1267" s="19">
        <v>1</v>
      </c>
      <c r="U1267" s="19">
        <v>0</v>
      </c>
      <c r="V1267" s="19" t="s">
        <v>41</v>
      </c>
      <c r="W1267" s="19">
        <v>1</v>
      </c>
      <c r="Y1267" s="19" t="s">
        <v>103</v>
      </c>
      <c r="Z1267" s="19">
        <v>50</v>
      </c>
      <c r="AA1267" s="19">
        <v>50</v>
      </c>
    </row>
    <row r="1268" spans="1:27" x14ac:dyDescent="0.25">
      <c r="A1268" s="19" t="s">
        <v>1460</v>
      </c>
      <c r="B1268" s="19" t="s">
        <v>1441</v>
      </c>
      <c r="C1268" s="19" t="s">
        <v>1442</v>
      </c>
      <c r="D1268" s="19">
        <v>1.25</v>
      </c>
      <c r="E1268" s="19" t="s">
        <v>144</v>
      </c>
      <c r="F1268" s="19" t="s">
        <v>145</v>
      </c>
      <c r="G1268" s="19" t="s">
        <v>134</v>
      </c>
      <c r="H1268" s="19" t="s">
        <v>146</v>
      </c>
      <c r="I1268" s="19" t="s">
        <v>147</v>
      </c>
      <c r="J1268" s="19">
        <v>4</v>
      </c>
      <c r="K1268" s="19">
        <v>2.5000000000000001E-2</v>
      </c>
      <c r="L1268" s="19" t="s">
        <v>35</v>
      </c>
      <c r="M1268" s="19" t="s">
        <v>103</v>
      </c>
      <c r="N1268" s="19">
        <v>50</v>
      </c>
      <c r="O1268" s="19">
        <v>50</v>
      </c>
      <c r="P1268" s="19">
        <v>0</v>
      </c>
      <c r="Q1268" s="19">
        <v>0</v>
      </c>
      <c r="R1268" s="19" t="s">
        <v>1033</v>
      </c>
      <c r="S1268" s="19">
        <v>0.5</v>
      </c>
      <c r="T1268" s="19">
        <v>1</v>
      </c>
      <c r="U1268" s="19">
        <v>0</v>
      </c>
      <c r="V1268" s="19" t="s">
        <v>41</v>
      </c>
      <c r="W1268" s="19">
        <v>1</v>
      </c>
      <c r="Y1268" s="19" t="s">
        <v>103</v>
      </c>
      <c r="Z1268" s="19">
        <v>50</v>
      </c>
      <c r="AA1268" s="19">
        <v>50</v>
      </c>
    </row>
    <row r="1269" spans="1:27" x14ac:dyDescent="0.25">
      <c r="A1269" s="19" t="s">
        <v>1461</v>
      </c>
      <c r="B1269" s="19" t="s">
        <v>1441</v>
      </c>
      <c r="C1269" s="19" t="s">
        <v>1442</v>
      </c>
      <c r="D1269" s="19">
        <v>0.54327899999999996</v>
      </c>
      <c r="E1269" s="19" t="s">
        <v>38</v>
      </c>
      <c r="F1269" s="19" t="s">
        <v>39</v>
      </c>
      <c r="G1269" s="19" t="s">
        <v>32</v>
      </c>
      <c r="H1269" s="19" t="s">
        <v>33</v>
      </c>
      <c r="I1269" s="19" t="s">
        <v>34</v>
      </c>
      <c r="J1269" s="19">
        <v>19</v>
      </c>
      <c r="K1269" s="19">
        <v>1.6299999999999999E-2</v>
      </c>
      <c r="L1269" s="19" t="s">
        <v>35</v>
      </c>
      <c r="M1269" s="19" t="s">
        <v>40</v>
      </c>
      <c r="N1269" s="19">
        <v>33.33</v>
      </c>
      <c r="O1269" s="19">
        <v>33.33</v>
      </c>
      <c r="P1269" s="19">
        <v>0</v>
      </c>
      <c r="Q1269" s="19">
        <v>0</v>
      </c>
      <c r="R1269" s="19" t="s">
        <v>1033</v>
      </c>
      <c r="S1269" s="19">
        <v>0.5</v>
      </c>
      <c r="T1269" s="19">
        <v>1</v>
      </c>
      <c r="U1269" s="19">
        <v>0</v>
      </c>
      <c r="V1269" s="19" t="s">
        <v>41</v>
      </c>
      <c r="W1269" s="19">
        <v>1</v>
      </c>
      <c r="Y1269" s="19" t="s">
        <v>40</v>
      </c>
      <c r="Z1269" s="19">
        <v>33.33</v>
      </c>
      <c r="AA1269" s="19">
        <v>33.33</v>
      </c>
    </row>
    <row r="1270" spans="1:27" x14ac:dyDescent="0.25">
      <c r="A1270" s="19" t="s">
        <v>1462</v>
      </c>
      <c r="B1270" s="19" t="s">
        <v>1441</v>
      </c>
      <c r="C1270" s="19" t="s">
        <v>1442</v>
      </c>
      <c r="D1270" s="19">
        <v>1.25</v>
      </c>
      <c r="E1270" s="19" t="s">
        <v>155</v>
      </c>
      <c r="F1270" s="19" t="s">
        <v>156</v>
      </c>
      <c r="G1270" s="19" t="s">
        <v>134</v>
      </c>
      <c r="H1270" s="19" t="s">
        <v>146</v>
      </c>
      <c r="I1270" s="19" t="s">
        <v>147</v>
      </c>
      <c r="J1270" s="19">
        <v>7</v>
      </c>
      <c r="K1270" s="19">
        <v>2.5000000000000001E-2</v>
      </c>
      <c r="L1270" s="19" t="s">
        <v>35</v>
      </c>
      <c r="M1270" s="19" t="s">
        <v>103</v>
      </c>
      <c r="N1270" s="19">
        <v>50</v>
      </c>
      <c r="O1270" s="19">
        <v>50</v>
      </c>
      <c r="P1270" s="19">
        <v>0</v>
      </c>
      <c r="Q1270" s="19">
        <v>0</v>
      </c>
      <c r="R1270" s="19" t="s">
        <v>1033</v>
      </c>
      <c r="S1270" s="19">
        <v>0.5</v>
      </c>
      <c r="T1270" s="19">
        <v>1</v>
      </c>
      <c r="U1270" s="19">
        <v>0</v>
      </c>
      <c r="V1270" s="19" t="s">
        <v>41</v>
      </c>
      <c r="W1270" s="19">
        <v>1</v>
      </c>
      <c r="Y1270" s="19" t="s">
        <v>103</v>
      </c>
      <c r="Z1270" s="19">
        <v>50</v>
      </c>
      <c r="AA1270" s="19">
        <v>50</v>
      </c>
    </row>
    <row r="1271" spans="1:27" x14ac:dyDescent="0.25">
      <c r="A1271" s="19" t="s">
        <v>1463</v>
      </c>
      <c r="B1271" s="19" t="s">
        <v>1441</v>
      </c>
      <c r="C1271" s="19" t="s">
        <v>1442</v>
      </c>
      <c r="D1271" s="19">
        <v>0</v>
      </c>
      <c r="E1271" s="19" t="s">
        <v>46</v>
      </c>
      <c r="F1271" s="19" t="s">
        <v>47</v>
      </c>
      <c r="G1271" s="19" t="s">
        <v>32</v>
      </c>
      <c r="H1271" s="19" t="s">
        <v>33</v>
      </c>
      <c r="I1271" s="19" t="s">
        <v>34</v>
      </c>
      <c r="J1271" s="19">
        <v>15</v>
      </c>
      <c r="K1271" s="19">
        <v>1.6299999999999999E-2</v>
      </c>
      <c r="L1271" s="19" t="s">
        <v>35</v>
      </c>
      <c r="M1271" s="19" t="s">
        <v>40</v>
      </c>
      <c r="N1271" s="19">
        <v>0</v>
      </c>
      <c r="O1271" s="19">
        <v>0</v>
      </c>
      <c r="P1271" s="19">
        <v>0</v>
      </c>
      <c r="Q1271" s="19">
        <v>0</v>
      </c>
      <c r="R1271" s="19" t="s">
        <v>1033</v>
      </c>
      <c r="S1271" s="19">
        <v>0.5</v>
      </c>
      <c r="T1271" s="19">
        <v>1</v>
      </c>
      <c r="U1271" s="19">
        <v>0</v>
      </c>
      <c r="V1271" s="19" t="s">
        <v>80</v>
      </c>
      <c r="W1271" s="19">
        <v>0</v>
      </c>
      <c r="Y1271" s="19" t="s">
        <v>40</v>
      </c>
      <c r="Z1271" s="19">
        <v>33.33</v>
      </c>
      <c r="AA1271" s="19">
        <v>0</v>
      </c>
    </row>
    <row r="1272" spans="1:27" x14ac:dyDescent="0.25">
      <c r="A1272" s="19" t="s">
        <v>1464</v>
      </c>
      <c r="B1272" s="19" t="s">
        <v>1441</v>
      </c>
      <c r="C1272" s="19" t="s">
        <v>1442</v>
      </c>
      <c r="D1272" s="19">
        <v>1.25</v>
      </c>
      <c r="E1272" s="19" t="s">
        <v>158</v>
      </c>
      <c r="F1272" s="19" t="s">
        <v>159</v>
      </c>
      <c r="G1272" s="19" t="s">
        <v>134</v>
      </c>
      <c r="H1272" s="19" t="s">
        <v>146</v>
      </c>
      <c r="I1272" s="19" t="s">
        <v>147</v>
      </c>
      <c r="J1272" s="19">
        <v>8</v>
      </c>
      <c r="K1272" s="19">
        <v>2.5000000000000001E-2</v>
      </c>
      <c r="L1272" s="19" t="s">
        <v>35</v>
      </c>
      <c r="M1272" s="19" t="s">
        <v>103</v>
      </c>
      <c r="N1272" s="19">
        <v>50</v>
      </c>
      <c r="O1272" s="19">
        <v>50</v>
      </c>
      <c r="P1272" s="19">
        <v>0</v>
      </c>
      <c r="Q1272" s="19">
        <v>0</v>
      </c>
      <c r="R1272" s="19" t="s">
        <v>1033</v>
      </c>
      <c r="S1272" s="19">
        <v>0.5</v>
      </c>
      <c r="T1272" s="19">
        <v>1</v>
      </c>
      <c r="U1272" s="19">
        <v>0</v>
      </c>
      <c r="V1272" s="19" t="s">
        <v>41</v>
      </c>
      <c r="W1272" s="19">
        <v>1</v>
      </c>
      <c r="Y1272" s="19" t="s">
        <v>103</v>
      </c>
      <c r="Z1272" s="19">
        <v>50</v>
      </c>
      <c r="AA1272" s="19">
        <v>50</v>
      </c>
    </row>
    <row r="1273" spans="1:27" x14ac:dyDescent="0.25">
      <c r="A1273" s="19" t="s">
        <v>1465</v>
      </c>
      <c r="B1273" s="19" t="s">
        <v>1441</v>
      </c>
      <c r="C1273" s="19" t="s">
        <v>1442</v>
      </c>
      <c r="D1273" s="19">
        <v>0</v>
      </c>
      <c r="E1273" s="19" t="s">
        <v>78</v>
      </c>
      <c r="F1273" s="19" t="s">
        <v>79</v>
      </c>
      <c r="G1273" s="19" t="s">
        <v>32</v>
      </c>
      <c r="H1273" s="19" t="s">
        <v>63</v>
      </c>
      <c r="I1273" s="19" t="s">
        <v>64</v>
      </c>
      <c r="J1273" s="19">
        <v>25</v>
      </c>
      <c r="K1273" s="19">
        <v>1.8599999999999998E-2</v>
      </c>
      <c r="L1273" s="19" t="s">
        <v>35</v>
      </c>
      <c r="M1273" s="19" t="s">
        <v>40</v>
      </c>
      <c r="N1273" s="19">
        <v>0</v>
      </c>
      <c r="O1273" s="19">
        <v>0</v>
      </c>
      <c r="P1273" s="19">
        <v>0</v>
      </c>
      <c r="Q1273" s="19">
        <v>0</v>
      </c>
      <c r="R1273" s="19" t="s">
        <v>1033</v>
      </c>
      <c r="S1273" s="19">
        <v>0.5</v>
      </c>
      <c r="T1273" s="19">
        <v>1</v>
      </c>
      <c r="U1273" s="19">
        <v>0</v>
      </c>
      <c r="V1273" s="19" t="s">
        <v>80</v>
      </c>
      <c r="W1273" s="19">
        <v>0</v>
      </c>
      <c r="Y1273" s="19" t="s">
        <v>40</v>
      </c>
      <c r="Z1273" s="19">
        <v>33.33</v>
      </c>
      <c r="AA1273" s="19">
        <v>0</v>
      </c>
    </row>
    <row r="1274" spans="1:27" x14ac:dyDescent="0.25">
      <c r="A1274" s="19" t="s">
        <v>1466</v>
      </c>
      <c r="B1274" s="19" t="s">
        <v>1441</v>
      </c>
      <c r="C1274" s="19" t="s">
        <v>1442</v>
      </c>
      <c r="D1274" s="19">
        <v>1.25</v>
      </c>
      <c r="E1274" s="19" t="s">
        <v>152</v>
      </c>
      <c r="F1274" s="19" t="s">
        <v>153</v>
      </c>
      <c r="G1274" s="19" t="s">
        <v>134</v>
      </c>
      <c r="H1274" s="19" t="s">
        <v>146</v>
      </c>
      <c r="I1274" s="19" t="s">
        <v>147</v>
      </c>
      <c r="J1274" s="19">
        <v>6</v>
      </c>
      <c r="K1274" s="19">
        <v>2.5000000000000001E-2</v>
      </c>
      <c r="L1274" s="19" t="s">
        <v>35</v>
      </c>
      <c r="M1274" s="19" t="s">
        <v>103</v>
      </c>
      <c r="N1274" s="19">
        <v>50</v>
      </c>
      <c r="O1274" s="19">
        <v>50</v>
      </c>
      <c r="P1274" s="19">
        <v>0</v>
      </c>
      <c r="Q1274" s="19">
        <v>0</v>
      </c>
      <c r="R1274" s="19" t="s">
        <v>1033</v>
      </c>
      <c r="S1274" s="19">
        <v>0.5</v>
      </c>
      <c r="T1274" s="19">
        <v>1</v>
      </c>
      <c r="U1274" s="19">
        <v>0</v>
      </c>
      <c r="V1274" s="19" t="s">
        <v>41</v>
      </c>
      <c r="W1274" s="19">
        <v>1</v>
      </c>
      <c r="Y1274" s="19" t="s">
        <v>103</v>
      </c>
      <c r="Z1274" s="19">
        <v>50</v>
      </c>
      <c r="AA1274" s="19">
        <v>50</v>
      </c>
    </row>
    <row r="1275" spans="1:27" x14ac:dyDescent="0.25">
      <c r="A1275" s="19" t="s">
        <v>1467</v>
      </c>
      <c r="B1275" s="19" t="s">
        <v>1441</v>
      </c>
      <c r="C1275" s="19" t="s">
        <v>1442</v>
      </c>
      <c r="D1275" s="19">
        <v>0</v>
      </c>
      <c r="E1275" s="19" t="s">
        <v>93</v>
      </c>
      <c r="F1275" s="19" t="s">
        <v>94</v>
      </c>
      <c r="G1275" s="19" t="s">
        <v>32</v>
      </c>
      <c r="H1275" s="19" t="s">
        <v>87</v>
      </c>
      <c r="I1275" s="19" t="s">
        <v>88</v>
      </c>
      <c r="J1275" s="19">
        <v>34</v>
      </c>
      <c r="K1275" s="19">
        <v>3.2500000000000001E-2</v>
      </c>
      <c r="L1275" s="19" t="s">
        <v>35</v>
      </c>
      <c r="N1275" s="19">
        <v>0</v>
      </c>
      <c r="O1275" s="19">
        <v>0</v>
      </c>
      <c r="P1275" s="19">
        <v>0</v>
      </c>
      <c r="Q1275" s="19">
        <v>0</v>
      </c>
      <c r="R1275" s="19" t="s">
        <v>1033</v>
      </c>
      <c r="S1275" s="19">
        <v>0.5</v>
      </c>
      <c r="T1275" s="19">
        <v>1</v>
      </c>
      <c r="U1275" s="19">
        <v>0</v>
      </c>
      <c r="V1275" s="19" t="s">
        <v>36</v>
      </c>
      <c r="W1275" s="19">
        <v>0</v>
      </c>
      <c r="Z1275" s="19">
        <v>0</v>
      </c>
      <c r="AA1275" s="19">
        <v>0</v>
      </c>
    </row>
    <row r="1276" spans="1:27" x14ac:dyDescent="0.25">
      <c r="A1276" s="19" t="s">
        <v>1468</v>
      </c>
      <c r="B1276" s="19" t="s">
        <v>1441</v>
      </c>
      <c r="C1276" s="19" t="s">
        <v>1442</v>
      </c>
      <c r="D1276" s="19">
        <v>0</v>
      </c>
      <c r="E1276" s="19" t="s">
        <v>96</v>
      </c>
      <c r="F1276" s="19" t="s">
        <v>97</v>
      </c>
      <c r="G1276" s="19" t="s">
        <v>32</v>
      </c>
      <c r="H1276" s="19" t="s">
        <v>87</v>
      </c>
      <c r="I1276" s="19" t="s">
        <v>88</v>
      </c>
      <c r="J1276" s="19">
        <v>36</v>
      </c>
      <c r="K1276" s="19">
        <v>3.2500000000000001E-2</v>
      </c>
      <c r="L1276" s="19" t="s">
        <v>35</v>
      </c>
      <c r="N1276" s="19">
        <v>0</v>
      </c>
      <c r="O1276" s="19">
        <v>0</v>
      </c>
      <c r="P1276" s="19">
        <v>0</v>
      </c>
      <c r="Q1276" s="19">
        <v>0</v>
      </c>
      <c r="R1276" s="19" t="s">
        <v>1033</v>
      </c>
      <c r="S1276" s="19">
        <v>0.5</v>
      </c>
      <c r="T1276" s="19">
        <v>1</v>
      </c>
      <c r="U1276" s="19">
        <v>0</v>
      </c>
      <c r="V1276" s="19" t="s">
        <v>36</v>
      </c>
      <c r="W1276" s="19">
        <v>0</v>
      </c>
      <c r="Z1276" s="19">
        <v>0</v>
      </c>
      <c r="AA1276" s="19">
        <v>0</v>
      </c>
    </row>
    <row r="1277" spans="1:27" x14ac:dyDescent="0.25">
      <c r="A1277" s="19" t="s">
        <v>1469</v>
      </c>
      <c r="B1277" s="19" t="s">
        <v>1441</v>
      </c>
      <c r="C1277" s="19" t="s">
        <v>1442</v>
      </c>
      <c r="D1277" s="19">
        <v>0</v>
      </c>
      <c r="E1277" s="19" t="s">
        <v>99</v>
      </c>
      <c r="F1277" s="19" t="s">
        <v>100</v>
      </c>
      <c r="G1277" s="19" t="s">
        <v>32</v>
      </c>
      <c r="H1277" s="19" t="s">
        <v>101</v>
      </c>
      <c r="I1277" s="19" t="s">
        <v>102</v>
      </c>
      <c r="J1277" s="19">
        <v>39</v>
      </c>
      <c r="K1277" s="19">
        <v>4.3299999999999998E-2</v>
      </c>
      <c r="L1277" s="19" t="s">
        <v>35</v>
      </c>
      <c r="M1277" s="19" t="s">
        <v>103</v>
      </c>
      <c r="N1277" s="19">
        <v>0</v>
      </c>
      <c r="O1277" s="19">
        <v>0</v>
      </c>
      <c r="P1277" s="19">
        <v>0</v>
      </c>
      <c r="Q1277" s="19">
        <v>0</v>
      </c>
      <c r="R1277" s="19" t="s">
        <v>1033</v>
      </c>
      <c r="S1277" s="19">
        <v>0.5</v>
      </c>
      <c r="T1277" s="19">
        <v>1</v>
      </c>
      <c r="U1277" s="19">
        <v>0</v>
      </c>
      <c r="V1277" s="19" t="s">
        <v>36</v>
      </c>
      <c r="W1277" s="19">
        <v>0</v>
      </c>
      <c r="Y1277" s="19" t="s">
        <v>103</v>
      </c>
      <c r="Z1277" s="19">
        <v>50</v>
      </c>
      <c r="AA1277" s="19">
        <v>0</v>
      </c>
    </row>
    <row r="1278" spans="1:27" x14ac:dyDescent="0.25">
      <c r="A1278" s="19" t="s">
        <v>1470</v>
      </c>
      <c r="B1278" s="19" t="s">
        <v>1441</v>
      </c>
      <c r="C1278" s="19" t="s">
        <v>1442</v>
      </c>
      <c r="D1278" s="19">
        <v>0</v>
      </c>
      <c r="E1278" s="19" t="s">
        <v>105</v>
      </c>
      <c r="F1278" s="19" t="s">
        <v>106</v>
      </c>
      <c r="G1278" s="19" t="s">
        <v>32</v>
      </c>
      <c r="H1278" s="19" t="s">
        <v>101</v>
      </c>
      <c r="I1278" s="19" t="s">
        <v>102</v>
      </c>
      <c r="J1278" s="19">
        <v>38</v>
      </c>
      <c r="K1278" s="19">
        <v>4.3299999999999998E-2</v>
      </c>
      <c r="L1278" s="19" t="s">
        <v>35</v>
      </c>
      <c r="M1278" s="19" t="s">
        <v>103</v>
      </c>
      <c r="N1278" s="19">
        <v>0</v>
      </c>
      <c r="O1278" s="19">
        <v>0</v>
      </c>
      <c r="P1278" s="19">
        <v>0</v>
      </c>
      <c r="Q1278" s="19">
        <v>0</v>
      </c>
      <c r="R1278" s="19" t="s">
        <v>1033</v>
      </c>
      <c r="S1278" s="19">
        <v>0.5</v>
      </c>
      <c r="T1278" s="19">
        <v>1</v>
      </c>
      <c r="U1278" s="19">
        <v>0</v>
      </c>
      <c r="V1278" s="19" t="s">
        <v>36</v>
      </c>
      <c r="W1278" s="19">
        <v>0</v>
      </c>
      <c r="Y1278" s="19" t="s">
        <v>103</v>
      </c>
      <c r="Z1278" s="19">
        <v>50</v>
      </c>
      <c r="AA1278" s="19">
        <v>0</v>
      </c>
    </row>
    <row r="1279" spans="1:27" x14ac:dyDescent="0.25">
      <c r="A1279" s="19" t="s">
        <v>1471</v>
      </c>
      <c r="B1279" s="19" t="s">
        <v>1441</v>
      </c>
      <c r="C1279" s="19" t="s">
        <v>1442</v>
      </c>
      <c r="D1279" s="19">
        <v>0</v>
      </c>
      <c r="E1279" s="19" t="s">
        <v>108</v>
      </c>
      <c r="F1279" s="19" t="s">
        <v>109</v>
      </c>
      <c r="G1279" s="19" t="s">
        <v>32</v>
      </c>
      <c r="H1279" s="19" t="s">
        <v>101</v>
      </c>
      <c r="I1279" s="19" t="s">
        <v>102</v>
      </c>
      <c r="J1279" s="19">
        <v>37</v>
      </c>
      <c r="K1279" s="19">
        <v>4.3299999999999998E-2</v>
      </c>
      <c r="L1279" s="19" t="s">
        <v>35</v>
      </c>
      <c r="M1279" s="19" t="s">
        <v>110</v>
      </c>
      <c r="N1279" s="19">
        <v>0</v>
      </c>
      <c r="O1279" s="19">
        <v>0</v>
      </c>
      <c r="P1279" s="19">
        <v>0</v>
      </c>
      <c r="Q1279" s="19">
        <v>0</v>
      </c>
      <c r="R1279" s="19" t="s">
        <v>1033</v>
      </c>
      <c r="S1279" s="19">
        <v>0.5</v>
      </c>
      <c r="T1279" s="19">
        <v>1</v>
      </c>
      <c r="U1279" s="19">
        <v>0</v>
      </c>
      <c r="V1279" s="19" t="s">
        <v>80</v>
      </c>
      <c r="W1279" s="19">
        <v>0</v>
      </c>
      <c r="Y1279" s="19" t="s">
        <v>110</v>
      </c>
      <c r="Z1279" s="19">
        <v>16.664999999999999</v>
      </c>
      <c r="AA1279" s="19">
        <v>0</v>
      </c>
    </row>
    <row r="1280" spans="1:27" x14ac:dyDescent="0.25">
      <c r="A1280" s="19" t="s">
        <v>1472</v>
      </c>
      <c r="B1280" s="19" t="s">
        <v>1441</v>
      </c>
      <c r="C1280" s="19" t="s">
        <v>1442</v>
      </c>
      <c r="D1280" s="19">
        <v>0</v>
      </c>
      <c r="E1280" s="19" t="s">
        <v>112</v>
      </c>
      <c r="F1280" s="19" t="s">
        <v>113</v>
      </c>
      <c r="G1280" s="19" t="s">
        <v>32</v>
      </c>
      <c r="H1280" s="19" t="s">
        <v>114</v>
      </c>
      <c r="I1280" s="19" t="s">
        <v>115</v>
      </c>
      <c r="J1280" s="19">
        <v>30</v>
      </c>
      <c r="K1280" s="19">
        <v>2.1700000000000001E-2</v>
      </c>
      <c r="L1280" s="19" t="s">
        <v>35</v>
      </c>
      <c r="M1280" s="19" t="s">
        <v>103</v>
      </c>
      <c r="N1280" s="19">
        <v>0</v>
      </c>
      <c r="O1280" s="19">
        <v>0</v>
      </c>
      <c r="P1280" s="19">
        <v>0</v>
      </c>
      <c r="Q1280" s="19">
        <v>0</v>
      </c>
      <c r="R1280" s="19" t="s">
        <v>1033</v>
      </c>
      <c r="S1280" s="19">
        <v>0.5</v>
      </c>
      <c r="T1280" s="19">
        <v>1</v>
      </c>
      <c r="U1280" s="19">
        <v>0</v>
      </c>
      <c r="V1280" s="19" t="s">
        <v>36</v>
      </c>
      <c r="W1280" s="19">
        <v>0</v>
      </c>
      <c r="Y1280" s="19" t="s">
        <v>103</v>
      </c>
      <c r="Z1280" s="19">
        <v>50</v>
      </c>
      <c r="AA1280" s="19">
        <v>0</v>
      </c>
    </row>
    <row r="1281" spans="1:27" x14ac:dyDescent="0.25">
      <c r="A1281" s="19" t="s">
        <v>1473</v>
      </c>
      <c r="B1281" s="19" t="s">
        <v>1441</v>
      </c>
      <c r="C1281" s="19" t="s">
        <v>1442</v>
      </c>
      <c r="D1281" s="19">
        <v>0</v>
      </c>
      <c r="E1281" s="19" t="s">
        <v>117</v>
      </c>
      <c r="F1281" s="19" t="s">
        <v>118</v>
      </c>
      <c r="G1281" s="19" t="s">
        <v>32</v>
      </c>
      <c r="H1281" s="19" t="s">
        <v>114</v>
      </c>
      <c r="I1281" s="19" t="s">
        <v>115</v>
      </c>
      <c r="J1281" s="19">
        <v>31</v>
      </c>
      <c r="K1281" s="19">
        <v>2.1700000000000001E-2</v>
      </c>
      <c r="L1281" s="19" t="s">
        <v>35</v>
      </c>
      <c r="M1281" s="19" t="s">
        <v>103</v>
      </c>
      <c r="N1281" s="19">
        <v>0</v>
      </c>
      <c r="O1281" s="19">
        <v>0</v>
      </c>
      <c r="P1281" s="19">
        <v>0</v>
      </c>
      <c r="Q1281" s="19">
        <v>0</v>
      </c>
      <c r="R1281" s="19" t="s">
        <v>1033</v>
      </c>
      <c r="S1281" s="19">
        <v>0.5</v>
      </c>
      <c r="T1281" s="19">
        <v>1</v>
      </c>
      <c r="U1281" s="19">
        <v>0</v>
      </c>
      <c r="V1281" s="19" t="s">
        <v>36</v>
      </c>
      <c r="W1281" s="19">
        <v>0</v>
      </c>
      <c r="Y1281" s="19" t="s">
        <v>103</v>
      </c>
      <c r="Z1281" s="19">
        <v>50</v>
      </c>
      <c r="AA1281" s="19">
        <v>0</v>
      </c>
    </row>
    <row r="1282" spans="1:27" x14ac:dyDescent="0.25">
      <c r="A1282" s="19" t="s">
        <v>1474</v>
      </c>
      <c r="B1282" s="19" t="s">
        <v>1441</v>
      </c>
      <c r="C1282" s="19" t="s">
        <v>1442</v>
      </c>
      <c r="D1282" s="19">
        <v>1.085</v>
      </c>
      <c r="E1282" s="19" t="s">
        <v>120</v>
      </c>
      <c r="F1282" s="19" t="s">
        <v>121</v>
      </c>
      <c r="G1282" s="19" t="s">
        <v>32</v>
      </c>
      <c r="H1282" s="19" t="s">
        <v>114</v>
      </c>
      <c r="I1282" s="19" t="s">
        <v>115</v>
      </c>
      <c r="J1282" s="19">
        <v>28</v>
      </c>
      <c r="K1282" s="19">
        <v>2.1700000000000001E-2</v>
      </c>
      <c r="L1282" s="19" t="s">
        <v>35</v>
      </c>
      <c r="M1282" s="19" t="s">
        <v>103</v>
      </c>
      <c r="N1282" s="19">
        <v>50</v>
      </c>
      <c r="O1282" s="19">
        <v>50</v>
      </c>
      <c r="P1282" s="19">
        <v>0</v>
      </c>
      <c r="Q1282" s="19">
        <v>0</v>
      </c>
      <c r="R1282" s="19" t="s">
        <v>1033</v>
      </c>
      <c r="S1282" s="19">
        <v>0.5</v>
      </c>
      <c r="T1282" s="19">
        <v>1</v>
      </c>
      <c r="U1282" s="19">
        <v>0</v>
      </c>
      <c r="V1282" s="19" t="s">
        <v>41</v>
      </c>
      <c r="W1282" s="19">
        <v>1</v>
      </c>
      <c r="Y1282" s="19" t="s">
        <v>103</v>
      </c>
      <c r="Z1282" s="19">
        <v>50</v>
      </c>
      <c r="AA1282" s="19">
        <v>50</v>
      </c>
    </row>
    <row r="1283" spans="1:27" x14ac:dyDescent="0.25">
      <c r="A1283" s="19" t="s">
        <v>1475</v>
      </c>
      <c r="B1283" s="19" t="s">
        <v>1441</v>
      </c>
      <c r="C1283" s="19" t="s">
        <v>1442</v>
      </c>
      <c r="D1283" s="19">
        <v>0</v>
      </c>
      <c r="E1283" s="19" t="s">
        <v>123</v>
      </c>
      <c r="F1283" s="19" t="s">
        <v>124</v>
      </c>
      <c r="G1283" s="19" t="s">
        <v>32</v>
      </c>
      <c r="H1283" s="19" t="s">
        <v>114</v>
      </c>
      <c r="I1283" s="19" t="s">
        <v>115</v>
      </c>
      <c r="J1283" s="19">
        <v>27</v>
      </c>
      <c r="K1283" s="19">
        <v>2.1700000000000001E-2</v>
      </c>
      <c r="L1283" s="19" t="s">
        <v>35</v>
      </c>
      <c r="M1283" s="19" t="s">
        <v>103</v>
      </c>
      <c r="N1283" s="19">
        <v>0</v>
      </c>
      <c r="O1283" s="19">
        <v>0</v>
      </c>
      <c r="P1283" s="19">
        <v>0</v>
      </c>
      <c r="Q1283" s="19">
        <v>0</v>
      </c>
      <c r="R1283" s="19" t="s">
        <v>1033</v>
      </c>
      <c r="S1283" s="19">
        <v>0.5</v>
      </c>
      <c r="T1283" s="19">
        <v>1</v>
      </c>
      <c r="U1283" s="19">
        <v>0</v>
      </c>
      <c r="V1283" s="19" t="s">
        <v>36</v>
      </c>
      <c r="W1283" s="19">
        <v>0</v>
      </c>
      <c r="Y1283" s="19" t="s">
        <v>103</v>
      </c>
      <c r="Z1283" s="19">
        <v>50</v>
      </c>
      <c r="AA1283" s="19">
        <v>0</v>
      </c>
    </row>
    <row r="1284" spans="1:27" x14ac:dyDescent="0.25">
      <c r="A1284" s="19" t="s">
        <v>1476</v>
      </c>
      <c r="B1284" s="19" t="s">
        <v>1441</v>
      </c>
      <c r="C1284" s="19" t="s">
        <v>1442</v>
      </c>
      <c r="D1284" s="19">
        <v>0</v>
      </c>
      <c r="E1284" s="19" t="s">
        <v>126</v>
      </c>
      <c r="F1284" s="19" t="s">
        <v>127</v>
      </c>
      <c r="G1284" s="19" t="s">
        <v>32</v>
      </c>
      <c r="H1284" s="19" t="s">
        <v>114</v>
      </c>
      <c r="I1284" s="19" t="s">
        <v>115</v>
      </c>
      <c r="J1284" s="19">
        <v>29</v>
      </c>
      <c r="K1284" s="19">
        <v>2.1700000000000001E-2</v>
      </c>
      <c r="L1284" s="19" t="s">
        <v>35</v>
      </c>
      <c r="M1284" s="19" t="s">
        <v>103</v>
      </c>
      <c r="N1284" s="19">
        <v>0</v>
      </c>
      <c r="O1284" s="19">
        <v>0</v>
      </c>
      <c r="P1284" s="19">
        <v>0</v>
      </c>
      <c r="Q1284" s="19">
        <v>0</v>
      </c>
      <c r="R1284" s="19" t="s">
        <v>1033</v>
      </c>
      <c r="S1284" s="19">
        <v>0.5</v>
      </c>
      <c r="T1284" s="19">
        <v>1</v>
      </c>
      <c r="U1284" s="19">
        <v>0</v>
      </c>
      <c r="V1284" s="19" t="s">
        <v>80</v>
      </c>
      <c r="W1284" s="19">
        <v>0</v>
      </c>
      <c r="Y1284" s="19" t="s">
        <v>103</v>
      </c>
      <c r="Z1284" s="19">
        <v>50</v>
      </c>
      <c r="AA1284" s="19">
        <v>0</v>
      </c>
    </row>
    <row r="1285" spans="1:27" x14ac:dyDescent="0.25">
      <c r="A1285" s="19" t="s">
        <v>1477</v>
      </c>
      <c r="B1285" s="19" t="s">
        <v>1441</v>
      </c>
      <c r="C1285" s="19" t="s">
        <v>1442</v>
      </c>
      <c r="D1285" s="19">
        <v>1.085</v>
      </c>
      <c r="E1285" s="19" t="s">
        <v>129</v>
      </c>
      <c r="F1285" s="19" t="s">
        <v>130</v>
      </c>
      <c r="G1285" s="19" t="s">
        <v>32</v>
      </c>
      <c r="H1285" s="19" t="s">
        <v>114</v>
      </c>
      <c r="I1285" s="19" t="s">
        <v>115</v>
      </c>
      <c r="J1285" s="19">
        <v>32</v>
      </c>
      <c r="K1285" s="19">
        <v>2.1700000000000001E-2</v>
      </c>
      <c r="L1285" s="19" t="s">
        <v>35</v>
      </c>
      <c r="M1285" s="19" t="s">
        <v>103</v>
      </c>
      <c r="N1285" s="19">
        <v>50</v>
      </c>
      <c r="O1285" s="19">
        <v>50</v>
      </c>
      <c r="P1285" s="19">
        <v>0</v>
      </c>
      <c r="Q1285" s="19">
        <v>0</v>
      </c>
      <c r="R1285" s="19" t="s">
        <v>1033</v>
      </c>
      <c r="S1285" s="19">
        <v>0.5</v>
      </c>
      <c r="T1285" s="19">
        <v>1</v>
      </c>
      <c r="U1285" s="19">
        <v>0</v>
      </c>
      <c r="V1285" s="19" t="s">
        <v>41</v>
      </c>
      <c r="W1285" s="19">
        <v>1</v>
      </c>
      <c r="Y1285" s="19" t="s">
        <v>103</v>
      </c>
      <c r="Z1285" s="19">
        <v>50</v>
      </c>
      <c r="AA1285" s="19">
        <v>50</v>
      </c>
    </row>
    <row r="1286" spans="1:27" x14ac:dyDescent="0.25">
      <c r="A1286" s="19" t="s">
        <v>1478</v>
      </c>
      <c r="B1286" s="19" t="s">
        <v>1441</v>
      </c>
      <c r="C1286" s="19" t="s">
        <v>1442</v>
      </c>
      <c r="D1286" s="19">
        <v>3.33</v>
      </c>
      <c r="E1286" s="19" t="s">
        <v>161</v>
      </c>
      <c r="F1286" s="19" t="s">
        <v>162</v>
      </c>
      <c r="G1286" s="19" t="s">
        <v>163</v>
      </c>
      <c r="I1286" s="19" t="s">
        <v>164</v>
      </c>
      <c r="J1286" s="19">
        <v>1</v>
      </c>
      <c r="K1286" s="19">
        <v>3.3300000000000003E-2</v>
      </c>
      <c r="L1286" s="19" t="s">
        <v>35</v>
      </c>
      <c r="M1286" s="19" t="s">
        <v>165</v>
      </c>
      <c r="N1286" s="19">
        <v>100</v>
      </c>
      <c r="O1286" s="19">
        <v>100</v>
      </c>
      <c r="P1286" s="19">
        <v>0</v>
      </c>
      <c r="Q1286" s="19">
        <v>0</v>
      </c>
      <c r="R1286" s="19" t="s">
        <v>1033</v>
      </c>
      <c r="S1286" s="19">
        <v>0.5</v>
      </c>
      <c r="T1286" s="19">
        <v>1</v>
      </c>
      <c r="U1286" s="19">
        <v>0</v>
      </c>
      <c r="W1286" s="19">
        <v>0</v>
      </c>
      <c r="X1286" s="19">
        <v>100</v>
      </c>
      <c r="Z1286" s="19">
        <v>0</v>
      </c>
      <c r="AA1286" s="19">
        <v>100</v>
      </c>
    </row>
    <row r="1287" spans="1:27" x14ac:dyDescent="0.25">
      <c r="A1287" s="19" t="s">
        <v>1479</v>
      </c>
      <c r="B1287" s="19" t="s">
        <v>1441</v>
      </c>
      <c r="C1287" s="19" t="s">
        <v>1442</v>
      </c>
      <c r="D1287" s="19">
        <v>0</v>
      </c>
      <c r="E1287" s="19" t="s">
        <v>167</v>
      </c>
      <c r="F1287" s="19" t="s">
        <v>168</v>
      </c>
      <c r="G1287" s="19" t="s">
        <v>163</v>
      </c>
      <c r="I1287" s="19" t="s">
        <v>164</v>
      </c>
      <c r="J1287" s="19">
        <v>3</v>
      </c>
      <c r="K1287" s="19">
        <v>3.3300000000000003E-2</v>
      </c>
      <c r="L1287" s="19" t="s">
        <v>35</v>
      </c>
      <c r="M1287" s="19" t="s">
        <v>165</v>
      </c>
      <c r="N1287" s="19">
        <v>0</v>
      </c>
      <c r="O1287" s="19">
        <v>0</v>
      </c>
      <c r="P1287" s="19">
        <v>0</v>
      </c>
      <c r="Q1287" s="19">
        <v>0</v>
      </c>
      <c r="R1287" s="19" t="s">
        <v>1033</v>
      </c>
      <c r="S1287" s="19">
        <v>0.5</v>
      </c>
      <c r="T1287" s="19">
        <v>1</v>
      </c>
      <c r="U1287" s="19">
        <v>0</v>
      </c>
      <c r="W1287" s="19">
        <v>0</v>
      </c>
      <c r="X1287" s="19">
        <v>0</v>
      </c>
      <c r="Z1287" s="19">
        <v>0</v>
      </c>
      <c r="AA1287" s="19">
        <v>0</v>
      </c>
    </row>
    <row r="1288" spans="1:27" x14ac:dyDescent="0.25">
      <c r="A1288" s="19" t="s">
        <v>1480</v>
      </c>
      <c r="B1288" s="19" t="s">
        <v>1441</v>
      </c>
      <c r="C1288" s="19" t="s">
        <v>1442</v>
      </c>
      <c r="D1288" s="19">
        <v>1.9646999999999999</v>
      </c>
      <c r="E1288" s="19" t="s">
        <v>170</v>
      </c>
      <c r="F1288" s="19" t="s">
        <v>171</v>
      </c>
      <c r="G1288" s="19" t="s">
        <v>163</v>
      </c>
      <c r="I1288" s="19" t="s">
        <v>164</v>
      </c>
      <c r="J1288" s="19">
        <v>2</v>
      </c>
      <c r="K1288" s="19">
        <v>3.3300000000000003E-2</v>
      </c>
      <c r="L1288" s="19" t="s">
        <v>35</v>
      </c>
      <c r="M1288" s="19" t="s">
        <v>165</v>
      </c>
      <c r="N1288" s="19">
        <v>59</v>
      </c>
      <c r="O1288" s="19">
        <v>59</v>
      </c>
      <c r="P1288" s="19">
        <v>0</v>
      </c>
      <c r="Q1288" s="19">
        <v>0</v>
      </c>
      <c r="R1288" s="19" t="s">
        <v>1033</v>
      </c>
      <c r="S1288" s="19">
        <v>0.5</v>
      </c>
      <c r="T1288" s="19">
        <v>1</v>
      </c>
      <c r="U1288" s="19">
        <v>0</v>
      </c>
      <c r="W1288" s="19">
        <v>0</v>
      </c>
      <c r="X1288" s="19">
        <v>59</v>
      </c>
      <c r="Z1288" s="19">
        <v>0</v>
      </c>
      <c r="AA1288" s="19">
        <v>59</v>
      </c>
    </row>
    <row r="1289" spans="1:27" x14ac:dyDescent="0.25">
      <c r="A1289" s="19" t="s">
        <v>909</v>
      </c>
      <c r="B1289" s="19" t="s">
        <v>910</v>
      </c>
      <c r="C1289" s="19" t="s">
        <v>911</v>
      </c>
      <c r="D1289" s="19">
        <v>1.54849999999999</v>
      </c>
      <c r="E1289" s="19" t="s">
        <v>30</v>
      </c>
      <c r="F1289" s="19" t="s">
        <v>31</v>
      </c>
      <c r="G1289" s="19" t="s">
        <v>32</v>
      </c>
      <c r="H1289" s="19" t="s">
        <v>33</v>
      </c>
      <c r="I1289" s="19" t="s">
        <v>34</v>
      </c>
      <c r="J1289" s="19">
        <v>17</v>
      </c>
      <c r="K1289" s="19">
        <v>1.6299999999999999E-2</v>
      </c>
      <c r="L1289" s="19" t="s">
        <v>541</v>
      </c>
      <c r="M1289" s="19" t="s">
        <v>541</v>
      </c>
      <c r="N1289" s="19">
        <v>50</v>
      </c>
      <c r="O1289" s="19">
        <v>95</v>
      </c>
      <c r="P1289" s="19">
        <v>100</v>
      </c>
      <c r="Q1289" s="19">
        <v>50</v>
      </c>
      <c r="R1289" s="19" t="s">
        <v>870</v>
      </c>
      <c r="S1289" s="19">
        <v>0.9</v>
      </c>
      <c r="T1289" s="19">
        <v>0.9</v>
      </c>
      <c r="U1289" s="19">
        <v>45</v>
      </c>
      <c r="AA1289" s="19">
        <v>0</v>
      </c>
    </row>
    <row r="1290" spans="1:27" x14ac:dyDescent="0.25">
      <c r="A1290" s="19" t="s">
        <v>912</v>
      </c>
      <c r="B1290" s="19" t="s">
        <v>910</v>
      </c>
      <c r="C1290" s="19" t="s">
        <v>911</v>
      </c>
      <c r="D1290" s="19">
        <v>1.54849999999999</v>
      </c>
      <c r="E1290" s="19" t="s">
        <v>38</v>
      </c>
      <c r="F1290" s="19" t="s">
        <v>39</v>
      </c>
      <c r="G1290" s="19" t="s">
        <v>32</v>
      </c>
      <c r="H1290" s="19" t="s">
        <v>33</v>
      </c>
      <c r="I1290" s="19" t="s">
        <v>34</v>
      </c>
      <c r="J1290" s="19">
        <v>19</v>
      </c>
      <c r="K1290" s="19">
        <v>1.6299999999999999E-2</v>
      </c>
      <c r="L1290" s="19" t="s">
        <v>541</v>
      </c>
      <c r="M1290" s="19" t="s">
        <v>541</v>
      </c>
      <c r="N1290" s="19">
        <v>50</v>
      </c>
      <c r="O1290" s="19">
        <v>95</v>
      </c>
      <c r="P1290" s="19">
        <v>100</v>
      </c>
      <c r="Q1290" s="19">
        <v>50</v>
      </c>
      <c r="R1290" s="19" t="s">
        <v>870</v>
      </c>
      <c r="S1290" s="19">
        <v>0.9</v>
      </c>
      <c r="T1290" s="19">
        <v>0.9</v>
      </c>
      <c r="U1290" s="19">
        <v>45</v>
      </c>
      <c r="AA1290" s="19">
        <v>0</v>
      </c>
    </row>
    <row r="1291" spans="1:27" x14ac:dyDescent="0.25">
      <c r="A1291" s="19" t="s">
        <v>913</v>
      </c>
      <c r="B1291" s="19" t="s">
        <v>910</v>
      </c>
      <c r="C1291" s="19" t="s">
        <v>911</v>
      </c>
      <c r="D1291" s="19">
        <v>1.54849999999999</v>
      </c>
      <c r="E1291" s="19" t="s">
        <v>43</v>
      </c>
      <c r="F1291" s="19" t="s">
        <v>44</v>
      </c>
      <c r="G1291" s="19" t="s">
        <v>32</v>
      </c>
      <c r="H1291" s="19" t="s">
        <v>33</v>
      </c>
      <c r="I1291" s="19" t="s">
        <v>34</v>
      </c>
      <c r="J1291" s="19">
        <v>18</v>
      </c>
      <c r="K1291" s="19">
        <v>1.6299999999999999E-2</v>
      </c>
      <c r="L1291" s="19" t="s">
        <v>541</v>
      </c>
      <c r="M1291" s="19" t="s">
        <v>541</v>
      </c>
      <c r="N1291" s="19">
        <v>50</v>
      </c>
      <c r="O1291" s="19">
        <v>95</v>
      </c>
      <c r="P1291" s="19">
        <v>100</v>
      </c>
      <c r="Q1291" s="19">
        <v>50</v>
      </c>
      <c r="R1291" s="19" t="s">
        <v>870</v>
      </c>
      <c r="S1291" s="19">
        <v>0.9</v>
      </c>
      <c r="T1291" s="19">
        <v>0.9</v>
      </c>
      <c r="U1291" s="19">
        <v>45</v>
      </c>
      <c r="AA1291" s="19">
        <v>0</v>
      </c>
    </row>
    <row r="1292" spans="1:27" x14ac:dyDescent="0.25">
      <c r="A1292" s="19" t="s">
        <v>914</v>
      </c>
      <c r="B1292" s="19" t="s">
        <v>910</v>
      </c>
      <c r="C1292" s="19" t="s">
        <v>911</v>
      </c>
      <c r="D1292" s="19">
        <v>1.54849999999999</v>
      </c>
      <c r="E1292" s="19" t="s">
        <v>46</v>
      </c>
      <c r="F1292" s="19" t="s">
        <v>47</v>
      </c>
      <c r="G1292" s="19" t="s">
        <v>32</v>
      </c>
      <c r="H1292" s="19" t="s">
        <v>33</v>
      </c>
      <c r="I1292" s="19" t="s">
        <v>34</v>
      </c>
      <c r="J1292" s="19">
        <v>15</v>
      </c>
      <c r="K1292" s="19">
        <v>1.6299999999999999E-2</v>
      </c>
      <c r="L1292" s="19" t="s">
        <v>541</v>
      </c>
      <c r="M1292" s="19" t="s">
        <v>541</v>
      </c>
      <c r="N1292" s="19">
        <v>50</v>
      </c>
      <c r="O1292" s="19">
        <v>95</v>
      </c>
      <c r="P1292" s="19">
        <v>100</v>
      </c>
      <c r="Q1292" s="19">
        <v>50</v>
      </c>
      <c r="R1292" s="19" t="s">
        <v>870</v>
      </c>
      <c r="S1292" s="19">
        <v>0.9</v>
      </c>
      <c r="T1292" s="19">
        <v>0.9</v>
      </c>
      <c r="U1292" s="19">
        <v>45</v>
      </c>
      <c r="AA1292" s="19">
        <v>0</v>
      </c>
    </row>
    <row r="1293" spans="1:27" x14ac:dyDescent="0.25">
      <c r="A1293" s="19" t="s">
        <v>915</v>
      </c>
      <c r="B1293" s="19" t="s">
        <v>910</v>
      </c>
      <c r="C1293" s="19" t="s">
        <v>911</v>
      </c>
      <c r="D1293" s="19">
        <v>1.54849999999999</v>
      </c>
      <c r="E1293" s="19" t="s">
        <v>49</v>
      </c>
      <c r="F1293" s="19" t="s">
        <v>50</v>
      </c>
      <c r="G1293" s="19" t="s">
        <v>32</v>
      </c>
      <c r="H1293" s="19" t="s">
        <v>33</v>
      </c>
      <c r="I1293" s="19" t="s">
        <v>34</v>
      </c>
      <c r="J1293" s="19">
        <v>12</v>
      </c>
      <c r="K1293" s="19">
        <v>1.6299999999999999E-2</v>
      </c>
      <c r="L1293" s="19" t="s">
        <v>541</v>
      </c>
      <c r="M1293" s="19" t="s">
        <v>541</v>
      </c>
      <c r="N1293" s="19">
        <v>50</v>
      </c>
      <c r="O1293" s="19">
        <v>95</v>
      </c>
      <c r="P1293" s="19">
        <v>100</v>
      </c>
      <c r="Q1293" s="19">
        <v>50</v>
      </c>
      <c r="R1293" s="19" t="s">
        <v>870</v>
      </c>
      <c r="S1293" s="19">
        <v>0.9</v>
      </c>
      <c r="T1293" s="19">
        <v>0.9</v>
      </c>
      <c r="U1293" s="19">
        <v>45</v>
      </c>
      <c r="AA1293" s="19">
        <v>0</v>
      </c>
    </row>
    <row r="1294" spans="1:27" x14ac:dyDescent="0.25">
      <c r="A1294" s="19" t="s">
        <v>916</v>
      </c>
      <c r="B1294" s="19" t="s">
        <v>910</v>
      </c>
      <c r="C1294" s="19" t="s">
        <v>911</v>
      </c>
      <c r="D1294" s="19">
        <v>1.11181612478031</v>
      </c>
      <c r="E1294" s="19" t="s">
        <v>52</v>
      </c>
      <c r="F1294" s="19" t="s">
        <v>53</v>
      </c>
      <c r="G1294" s="19" t="s">
        <v>32</v>
      </c>
      <c r="H1294" s="19" t="s">
        <v>33</v>
      </c>
      <c r="I1294" s="19" t="s">
        <v>34</v>
      </c>
      <c r="J1294" s="19">
        <v>16</v>
      </c>
      <c r="K1294" s="19">
        <v>1.6299999999999999E-2</v>
      </c>
      <c r="L1294" s="19" t="s">
        <v>541</v>
      </c>
      <c r="M1294" s="19" t="s">
        <v>541</v>
      </c>
      <c r="N1294" s="19">
        <v>50</v>
      </c>
      <c r="O1294" s="19">
        <v>68.2095782074</v>
      </c>
      <c r="P1294" s="19">
        <v>40.465729349699998</v>
      </c>
      <c r="Q1294" s="19">
        <v>20.2328646749</v>
      </c>
      <c r="R1294" s="19" t="s">
        <v>870</v>
      </c>
      <c r="S1294" s="19">
        <v>0.9</v>
      </c>
      <c r="T1294" s="19">
        <v>0.9</v>
      </c>
      <c r="U1294" s="19">
        <v>18.2095782074</v>
      </c>
      <c r="AA1294" s="19">
        <v>0</v>
      </c>
    </row>
    <row r="1295" spans="1:27" x14ac:dyDescent="0.25">
      <c r="A1295" s="19" t="s">
        <v>917</v>
      </c>
      <c r="B1295" s="19" t="s">
        <v>910</v>
      </c>
      <c r="C1295" s="19" t="s">
        <v>911</v>
      </c>
      <c r="D1295" s="19">
        <v>1.54849999999999</v>
      </c>
      <c r="E1295" s="19" t="s">
        <v>55</v>
      </c>
      <c r="F1295" s="19" t="s">
        <v>56</v>
      </c>
      <c r="G1295" s="19" t="s">
        <v>32</v>
      </c>
      <c r="H1295" s="19" t="s">
        <v>33</v>
      </c>
      <c r="I1295" s="19" t="s">
        <v>34</v>
      </c>
      <c r="J1295" s="19">
        <v>14</v>
      </c>
      <c r="K1295" s="19">
        <v>1.6299999999999999E-2</v>
      </c>
      <c r="L1295" s="19" t="s">
        <v>541</v>
      </c>
      <c r="M1295" s="19" t="s">
        <v>541</v>
      </c>
      <c r="N1295" s="19">
        <v>50</v>
      </c>
      <c r="O1295" s="19">
        <v>95</v>
      </c>
      <c r="P1295" s="19">
        <v>100</v>
      </c>
      <c r="Q1295" s="19">
        <v>50</v>
      </c>
      <c r="R1295" s="19" t="s">
        <v>870</v>
      </c>
      <c r="S1295" s="19">
        <v>0.9</v>
      </c>
      <c r="T1295" s="19">
        <v>0.9</v>
      </c>
      <c r="U1295" s="19">
        <v>45</v>
      </c>
      <c r="AA1295" s="19">
        <v>0</v>
      </c>
    </row>
    <row r="1296" spans="1:27" x14ac:dyDescent="0.25">
      <c r="A1296" s="19" t="s">
        <v>918</v>
      </c>
      <c r="B1296" s="19" t="s">
        <v>910</v>
      </c>
      <c r="C1296" s="19" t="s">
        <v>911</v>
      </c>
      <c r="D1296" s="19">
        <v>1.54849999999999</v>
      </c>
      <c r="E1296" s="19" t="s">
        <v>58</v>
      </c>
      <c r="F1296" s="19" t="s">
        <v>59</v>
      </c>
      <c r="G1296" s="19" t="s">
        <v>32</v>
      </c>
      <c r="H1296" s="19" t="s">
        <v>33</v>
      </c>
      <c r="I1296" s="19" t="s">
        <v>34</v>
      </c>
      <c r="J1296" s="19">
        <v>13</v>
      </c>
      <c r="K1296" s="19">
        <v>1.6299999999999999E-2</v>
      </c>
      <c r="L1296" s="19" t="s">
        <v>541</v>
      </c>
      <c r="M1296" s="19" t="s">
        <v>541</v>
      </c>
      <c r="N1296" s="19">
        <v>50</v>
      </c>
      <c r="O1296" s="19">
        <v>95</v>
      </c>
      <c r="P1296" s="19">
        <v>100</v>
      </c>
      <c r="Q1296" s="19">
        <v>50</v>
      </c>
      <c r="R1296" s="19" t="s">
        <v>870</v>
      </c>
      <c r="S1296" s="19">
        <v>0.9</v>
      </c>
      <c r="T1296" s="19">
        <v>0.9</v>
      </c>
      <c r="U1296" s="19">
        <v>45</v>
      </c>
      <c r="AA1296" s="19">
        <v>0</v>
      </c>
    </row>
    <row r="1297" spans="1:27" x14ac:dyDescent="0.25">
      <c r="A1297" s="19" t="s">
        <v>919</v>
      </c>
      <c r="B1297" s="19" t="s">
        <v>910</v>
      </c>
      <c r="C1297" s="19" t="s">
        <v>911</v>
      </c>
      <c r="D1297" s="19">
        <v>1.7669999999999999</v>
      </c>
      <c r="E1297" s="19" t="s">
        <v>61</v>
      </c>
      <c r="F1297" s="19" t="s">
        <v>62</v>
      </c>
      <c r="G1297" s="19" t="s">
        <v>32</v>
      </c>
      <c r="H1297" s="19" t="s">
        <v>63</v>
      </c>
      <c r="I1297" s="19" t="s">
        <v>64</v>
      </c>
      <c r="J1297" s="19">
        <v>22</v>
      </c>
      <c r="K1297" s="19">
        <v>1.8599999999999998E-2</v>
      </c>
      <c r="L1297" s="19" t="s">
        <v>541</v>
      </c>
      <c r="M1297" s="19" t="s">
        <v>541</v>
      </c>
      <c r="N1297" s="19">
        <v>50</v>
      </c>
      <c r="O1297" s="19">
        <v>95</v>
      </c>
      <c r="P1297" s="19">
        <v>100</v>
      </c>
      <c r="Q1297" s="19">
        <v>50</v>
      </c>
      <c r="R1297" s="19" t="s">
        <v>870</v>
      </c>
      <c r="S1297" s="19">
        <v>0.9</v>
      </c>
      <c r="T1297" s="19">
        <v>0.9</v>
      </c>
      <c r="U1297" s="19">
        <v>45</v>
      </c>
      <c r="AA1297" s="19">
        <v>0</v>
      </c>
    </row>
    <row r="1298" spans="1:27" x14ac:dyDescent="0.25">
      <c r="A1298" s="19" t="s">
        <v>920</v>
      </c>
      <c r="B1298" s="19" t="s">
        <v>910</v>
      </c>
      <c r="C1298" s="19" t="s">
        <v>911</v>
      </c>
      <c r="D1298" s="19">
        <v>1.7669999999999999</v>
      </c>
      <c r="E1298" s="19" t="s">
        <v>66</v>
      </c>
      <c r="F1298" s="19" t="s">
        <v>67</v>
      </c>
      <c r="G1298" s="19" t="s">
        <v>32</v>
      </c>
      <c r="H1298" s="19" t="s">
        <v>63</v>
      </c>
      <c r="I1298" s="19" t="s">
        <v>64</v>
      </c>
      <c r="J1298" s="19">
        <v>20</v>
      </c>
      <c r="K1298" s="19">
        <v>1.8599999999999998E-2</v>
      </c>
      <c r="L1298" s="19" t="s">
        <v>541</v>
      </c>
      <c r="M1298" s="19" t="s">
        <v>541</v>
      </c>
      <c r="N1298" s="19">
        <v>50</v>
      </c>
      <c r="O1298" s="19">
        <v>95</v>
      </c>
      <c r="P1298" s="19">
        <v>100</v>
      </c>
      <c r="Q1298" s="19">
        <v>50</v>
      </c>
      <c r="R1298" s="19" t="s">
        <v>870</v>
      </c>
      <c r="S1298" s="19">
        <v>0.9</v>
      </c>
      <c r="T1298" s="19">
        <v>0.9</v>
      </c>
      <c r="U1298" s="19">
        <v>45</v>
      </c>
      <c r="AA1298" s="19">
        <v>0</v>
      </c>
    </row>
    <row r="1299" spans="1:27" x14ac:dyDescent="0.25">
      <c r="A1299" s="19" t="s">
        <v>921</v>
      </c>
      <c r="B1299" s="19" t="s">
        <v>910</v>
      </c>
      <c r="C1299" s="19" t="s">
        <v>911</v>
      </c>
      <c r="D1299" s="19">
        <v>1.7669999999999999</v>
      </c>
      <c r="E1299" s="19" t="s">
        <v>69</v>
      </c>
      <c r="F1299" s="19" t="s">
        <v>70</v>
      </c>
      <c r="G1299" s="19" t="s">
        <v>32</v>
      </c>
      <c r="H1299" s="19" t="s">
        <v>63</v>
      </c>
      <c r="I1299" s="19" t="s">
        <v>64</v>
      </c>
      <c r="J1299" s="19">
        <v>23</v>
      </c>
      <c r="K1299" s="19">
        <v>1.8599999999999998E-2</v>
      </c>
      <c r="L1299" s="19" t="s">
        <v>541</v>
      </c>
      <c r="M1299" s="19" t="s">
        <v>541</v>
      </c>
      <c r="N1299" s="19">
        <v>50</v>
      </c>
      <c r="O1299" s="19">
        <v>95</v>
      </c>
      <c r="P1299" s="19">
        <v>100</v>
      </c>
      <c r="Q1299" s="19">
        <v>50</v>
      </c>
      <c r="R1299" s="19" t="s">
        <v>870</v>
      </c>
      <c r="S1299" s="19">
        <v>0.9</v>
      </c>
      <c r="T1299" s="19">
        <v>0.9</v>
      </c>
      <c r="U1299" s="19">
        <v>45</v>
      </c>
      <c r="AA1299" s="19">
        <v>0</v>
      </c>
    </row>
    <row r="1300" spans="1:27" x14ac:dyDescent="0.25">
      <c r="A1300" s="19" t="s">
        <v>922</v>
      </c>
      <c r="B1300" s="19" t="s">
        <v>910</v>
      </c>
      <c r="C1300" s="19" t="s">
        <v>911</v>
      </c>
      <c r="D1300" s="19">
        <v>1.7669999999999999</v>
      </c>
      <c r="E1300" s="19" t="s">
        <v>72</v>
      </c>
      <c r="F1300" s="19" t="s">
        <v>73</v>
      </c>
      <c r="G1300" s="19" t="s">
        <v>32</v>
      </c>
      <c r="H1300" s="19" t="s">
        <v>63</v>
      </c>
      <c r="I1300" s="19" t="s">
        <v>64</v>
      </c>
      <c r="J1300" s="19">
        <v>21</v>
      </c>
      <c r="K1300" s="19">
        <v>1.8599999999999998E-2</v>
      </c>
      <c r="L1300" s="19" t="s">
        <v>541</v>
      </c>
      <c r="M1300" s="19" t="s">
        <v>541</v>
      </c>
      <c r="N1300" s="19">
        <v>50</v>
      </c>
      <c r="O1300" s="19">
        <v>95</v>
      </c>
      <c r="P1300" s="19">
        <v>100</v>
      </c>
      <c r="Q1300" s="19">
        <v>50</v>
      </c>
      <c r="R1300" s="19" t="s">
        <v>870</v>
      </c>
      <c r="S1300" s="19">
        <v>0.9</v>
      </c>
      <c r="T1300" s="19">
        <v>0.9</v>
      </c>
      <c r="U1300" s="19">
        <v>45</v>
      </c>
      <c r="AA1300" s="19">
        <v>0</v>
      </c>
    </row>
    <row r="1301" spans="1:27" x14ac:dyDescent="0.25">
      <c r="A1301" s="19" t="s">
        <v>923</v>
      </c>
      <c r="B1301" s="19" t="s">
        <v>910</v>
      </c>
      <c r="C1301" s="19" t="s">
        <v>911</v>
      </c>
      <c r="D1301" s="19">
        <v>1.7669999999999999</v>
      </c>
      <c r="E1301" s="19" t="s">
        <v>75</v>
      </c>
      <c r="F1301" s="19" t="s">
        <v>76</v>
      </c>
      <c r="G1301" s="19" t="s">
        <v>32</v>
      </c>
      <c r="H1301" s="19" t="s">
        <v>63</v>
      </c>
      <c r="I1301" s="19" t="s">
        <v>64</v>
      </c>
      <c r="J1301" s="19">
        <v>24</v>
      </c>
      <c r="K1301" s="19">
        <v>1.8599999999999998E-2</v>
      </c>
      <c r="L1301" s="19" t="s">
        <v>541</v>
      </c>
      <c r="M1301" s="19" t="s">
        <v>541</v>
      </c>
      <c r="N1301" s="19">
        <v>50</v>
      </c>
      <c r="O1301" s="19">
        <v>95</v>
      </c>
      <c r="P1301" s="19">
        <v>100</v>
      </c>
      <c r="Q1301" s="19">
        <v>50</v>
      </c>
      <c r="R1301" s="19" t="s">
        <v>870</v>
      </c>
      <c r="S1301" s="19">
        <v>0.9</v>
      </c>
      <c r="T1301" s="19">
        <v>0.9</v>
      </c>
      <c r="U1301" s="19">
        <v>45</v>
      </c>
      <c r="AA1301" s="19">
        <v>0</v>
      </c>
    </row>
    <row r="1302" spans="1:27" x14ac:dyDescent="0.25">
      <c r="A1302" s="19" t="s">
        <v>924</v>
      </c>
      <c r="B1302" s="19" t="s">
        <v>910</v>
      </c>
      <c r="C1302" s="19" t="s">
        <v>911</v>
      </c>
      <c r="D1302" s="19">
        <v>2.2102583922261401</v>
      </c>
      <c r="E1302" s="19" t="s">
        <v>90</v>
      </c>
      <c r="F1302" s="19" t="s">
        <v>91</v>
      </c>
      <c r="G1302" s="19" t="s">
        <v>32</v>
      </c>
      <c r="H1302" s="19" t="s">
        <v>87</v>
      </c>
      <c r="I1302" s="19" t="s">
        <v>88</v>
      </c>
      <c r="J1302" s="19">
        <v>33</v>
      </c>
      <c r="K1302" s="19">
        <v>3.2500000000000001E-2</v>
      </c>
      <c r="L1302" s="19" t="s">
        <v>541</v>
      </c>
      <c r="M1302" s="19" t="s">
        <v>541</v>
      </c>
      <c r="N1302" s="19">
        <v>50</v>
      </c>
      <c r="O1302" s="19">
        <v>68.007950530000002</v>
      </c>
      <c r="P1302" s="19">
        <v>40.017667844499996</v>
      </c>
      <c r="Q1302" s="19">
        <v>20.008833922299999</v>
      </c>
      <c r="R1302" s="19" t="s">
        <v>870</v>
      </c>
      <c r="S1302" s="19">
        <v>0.9</v>
      </c>
      <c r="T1302" s="19">
        <v>0.9</v>
      </c>
      <c r="U1302" s="19">
        <v>18.007950529999999</v>
      </c>
      <c r="AA1302" s="19">
        <v>0</v>
      </c>
    </row>
    <row r="1303" spans="1:27" x14ac:dyDescent="0.25">
      <c r="A1303" s="19" t="s">
        <v>925</v>
      </c>
      <c r="B1303" s="19" t="s">
        <v>910</v>
      </c>
      <c r="C1303" s="19" t="s">
        <v>911</v>
      </c>
      <c r="D1303" s="19">
        <v>3.0874999999999999</v>
      </c>
      <c r="E1303" s="19" t="s">
        <v>93</v>
      </c>
      <c r="F1303" s="19" t="s">
        <v>94</v>
      </c>
      <c r="G1303" s="19" t="s">
        <v>32</v>
      </c>
      <c r="H1303" s="19" t="s">
        <v>87</v>
      </c>
      <c r="I1303" s="19" t="s">
        <v>88</v>
      </c>
      <c r="J1303" s="19">
        <v>34</v>
      </c>
      <c r="K1303" s="19">
        <v>3.2500000000000001E-2</v>
      </c>
      <c r="L1303" s="19" t="s">
        <v>541</v>
      </c>
      <c r="M1303" s="19" t="s">
        <v>541</v>
      </c>
      <c r="N1303" s="19">
        <v>50</v>
      </c>
      <c r="O1303" s="19">
        <v>95</v>
      </c>
      <c r="P1303" s="19">
        <v>100</v>
      </c>
      <c r="Q1303" s="19">
        <v>50</v>
      </c>
      <c r="R1303" s="19" t="s">
        <v>870</v>
      </c>
      <c r="S1303" s="19">
        <v>0.9</v>
      </c>
      <c r="T1303" s="19">
        <v>0.9</v>
      </c>
      <c r="U1303" s="19">
        <v>45</v>
      </c>
      <c r="AA1303" s="19">
        <v>0</v>
      </c>
    </row>
    <row r="1304" spans="1:27" x14ac:dyDescent="0.25">
      <c r="A1304" s="19" t="s">
        <v>926</v>
      </c>
      <c r="B1304" s="19" t="s">
        <v>910</v>
      </c>
      <c r="C1304" s="19" t="s">
        <v>911</v>
      </c>
      <c r="D1304" s="19">
        <v>3.1392499999999899</v>
      </c>
      <c r="E1304" s="19" t="s">
        <v>99</v>
      </c>
      <c r="F1304" s="19" t="s">
        <v>100</v>
      </c>
      <c r="G1304" s="19" t="s">
        <v>32</v>
      </c>
      <c r="H1304" s="19" t="s">
        <v>101</v>
      </c>
      <c r="I1304" s="19" t="s">
        <v>102</v>
      </c>
      <c r="J1304" s="19">
        <v>39</v>
      </c>
      <c r="K1304" s="19">
        <v>4.3299999999999998E-2</v>
      </c>
      <c r="L1304" s="19" t="s">
        <v>541</v>
      </c>
      <c r="M1304" s="19" t="s">
        <v>541</v>
      </c>
      <c r="N1304" s="19">
        <v>50</v>
      </c>
      <c r="O1304" s="19">
        <v>72.5</v>
      </c>
      <c r="P1304" s="19">
        <v>50</v>
      </c>
      <c r="Q1304" s="19">
        <v>25</v>
      </c>
      <c r="R1304" s="19" t="s">
        <v>870</v>
      </c>
      <c r="S1304" s="19">
        <v>0.9</v>
      </c>
      <c r="T1304" s="19">
        <v>0.9</v>
      </c>
      <c r="U1304" s="19">
        <v>22.5</v>
      </c>
      <c r="AA1304" s="19">
        <v>0</v>
      </c>
    </row>
    <row r="1305" spans="1:27" x14ac:dyDescent="0.25">
      <c r="A1305" s="19" t="s">
        <v>927</v>
      </c>
      <c r="B1305" s="19" t="s">
        <v>910</v>
      </c>
      <c r="C1305" s="19" t="s">
        <v>911</v>
      </c>
      <c r="D1305" s="19">
        <v>2.9449136643233702</v>
      </c>
      <c r="E1305" s="19" t="s">
        <v>108</v>
      </c>
      <c r="F1305" s="19" t="s">
        <v>109</v>
      </c>
      <c r="G1305" s="19" t="s">
        <v>32</v>
      </c>
      <c r="H1305" s="19" t="s">
        <v>101</v>
      </c>
      <c r="I1305" s="19" t="s">
        <v>102</v>
      </c>
      <c r="J1305" s="19">
        <v>37</v>
      </c>
      <c r="K1305" s="19">
        <v>4.3299999999999998E-2</v>
      </c>
      <c r="L1305" s="19" t="s">
        <v>541</v>
      </c>
      <c r="M1305" s="19" t="s">
        <v>541</v>
      </c>
      <c r="N1305" s="19">
        <v>50</v>
      </c>
      <c r="O1305" s="19">
        <v>68.011862917399995</v>
      </c>
      <c r="P1305" s="19">
        <v>40.0263620387</v>
      </c>
      <c r="Q1305" s="19">
        <v>20.013181019299999</v>
      </c>
      <c r="R1305" s="19" t="s">
        <v>870</v>
      </c>
      <c r="S1305" s="19">
        <v>0.9</v>
      </c>
      <c r="T1305" s="19">
        <v>0.9</v>
      </c>
      <c r="U1305" s="19">
        <v>18.011862917399998</v>
      </c>
      <c r="AA1305" s="19">
        <v>0</v>
      </c>
    </row>
    <row r="1306" spans="1:27" x14ac:dyDescent="0.25">
      <c r="A1306" s="19" t="s">
        <v>928</v>
      </c>
      <c r="B1306" s="19" t="s">
        <v>910</v>
      </c>
      <c r="C1306" s="19" t="s">
        <v>911</v>
      </c>
      <c r="D1306" s="19">
        <v>2.0615000000000001</v>
      </c>
      <c r="E1306" s="19" t="s">
        <v>126</v>
      </c>
      <c r="F1306" s="19" t="s">
        <v>127</v>
      </c>
      <c r="G1306" s="19" t="s">
        <v>32</v>
      </c>
      <c r="H1306" s="19" t="s">
        <v>114</v>
      </c>
      <c r="I1306" s="19" t="s">
        <v>115</v>
      </c>
      <c r="J1306" s="19">
        <v>29</v>
      </c>
      <c r="K1306" s="19">
        <v>2.1700000000000001E-2</v>
      </c>
      <c r="L1306" s="19" t="s">
        <v>541</v>
      </c>
      <c r="M1306" s="19" t="s">
        <v>541</v>
      </c>
      <c r="N1306" s="19">
        <v>50</v>
      </c>
      <c r="O1306" s="19">
        <v>95</v>
      </c>
      <c r="P1306" s="19">
        <v>100</v>
      </c>
      <c r="Q1306" s="19">
        <v>50</v>
      </c>
      <c r="R1306" s="19" t="s">
        <v>870</v>
      </c>
      <c r="S1306" s="19">
        <v>0.9</v>
      </c>
      <c r="T1306" s="19">
        <v>0.9</v>
      </c>
      <c r="U1306" s="19">
        <v>45</v>
      </c>
      <c r="AA1306" s="19">
        <v>0</v>
      </c>
    </row>
    <row r="1307" spans="1:27" x14ac:dyDescent="0.25">
      <c r="A1307" s="19" t="s">
        <v>929</v>
      </c>
      <c r="B1307" s="19" t="s">
        <v>910</v>
      </c>
      <c r="C1307" s="19" t="s">
        <v>911</v>
      </c>
      <c r="D1307" s="19">
        <v>4.17</v>
      </c>
      <c r="E1307" s="19" t="s">
        <v>132</v>
      </c>
      <c r="F1307" s="19" t="s">
        <v>133</v>
      </c>
      <c r="G1307" s="19" t="s">
        <v>134</v>
      </c>
      <c r="H1307" s="19" t="s">
        <v>87</v>
      </c>
      <c r="I1307" s="19" t="s">
        <v>135</v>
      </c>
      <c r="J1307" s="19">
        <v>11</v>
      </c>
      <c r="K1307" s="19">
        <v>4.1700000000000001E-2</v>
      </c>
      <c r="L1307" s="19" t="s">
        <v>541</v>
      </c>
      <c r="M1307" s="19" t="s">
        <v>541</v>
      </c>
      <c r="N1307" s="19">
        <v>50</v>
      </c>
      <c r="O1307" s="19">
        <v>100</v>
      </c>
      <c r="P1307" s="19">
        <v>100</v>
      </c>
      <c r="Q1307" s="19">
        <v>50</v>
      </c>
      <c r="R1307" s="19" t="s">
        <v>870</v>
      </c>
      <c r="S1307" s="19">
        <v>0.9</v>
      </c>
      <c r="T1307" s="19">
        <v>1</v>
      </c>
      <c r="U1307" s="19">
        <v>50</v>
      </c>
      <c r="AA1307" s="19">
        <v>0</v>
      </c>
    </row>
    <row r="1308" spans="1:27" x14ac:dyDescent="0.25">
      <c r="A1308" s="19" t="s">
        <v>930</v>
      </c>
      <c r="B1308" s="19" t="s">
        <v>910</v>
      </c>
      <c r="C1308" s="19" t="s">
        <v>911</v>
      </c>
      <c r="D1308" s="19">
        <v>4.17</v>
      </c>
      <c r="E1308" s="19" t="s">
        <v>137</v>
      </c>
      <c r="F1308" s="19" t="s">
        <v>138</v>
      </c>
      <c r="G1308" s="19" t="s">
        <v>134</v>
      </c>
      <c r="H1308" s="19" t="s">
        <v>87</v>
      </c>
      <c r="I1308" s="19" t="s">
        <v>135</v>
      </c>
      <c r="J1308" s="19">
        <v>9</v>
      </c>
      <c r="K1308" s="19">
        <v>4.1700000000000001E-2</v>
      </c>
      <c r="L1308" s="19" t="s">
        <v>541</v>
      </c>
      <c r="M1308" s="19" t="s">
        <v>541</v>
      </c>
      <c r="N1308" s="19">
        <v>50</v>
      </c>
      <c r="O1308" s="19">
        <v>100</v>
      </c>
      <c r="P1308" s="19">
        <v>100</v>
      </c>
      <c r="Q1308" s="19">
        <v>50</v>
      </c>
      <c r="R1308" s="19" t="s">
        <v>870</v>
      </c>
      <c r="S1308" s="19">
        <v>0.9</v>
      </c>
      <c r="T1308" s="19">
        <v>1</v>
      </c>
      <c r="U1308" s="19">
        <v>50</v>
      </c>
      <c r="AA1308" s="19">
        <v>0</v>
      </c>
    </row>
    <row r="1309" spans="1:27" x14ac:dyDescent="0.25">
      <c r="A1309" s="19" t="s">
        <v>931</v>
      </c>
      <c r="B1309" s="19" t="s">
        <v>910</v>
      </c>
      <c r="C1309" s="19" t="s">
        <v>911</v>
      </c>
      <c r="D1309" s="19">
        <v>4.17</v>
      </c>
      <c r="E1309" s="19" t="s">
        <v>140</v>
      </c>
      <c r="F1309" s="19" t="s">
        <v>141</v>
      </c>
      <c r="G1309" s="19" t="s">
        <v>134</v>
      </c>
      <c r="H1309" s="19" t="s">
        <v>87</v>
      </c>
      <c r="I1309" s="19" t="s">
        <v>135</v>
      </c>
      <c r="J1309" s="19">
        <v>10</v>
      </c>
      <c r="K1309" s="19">
        <v>4.1700000000000001E-2</v>
      </c>
      <c r="L1309" s="19" t="s">
        <v>541</v>
      </c>
      <c r="M1309" s="19" t="s">
        <v>541</v>
      </c>
      <c r="N1309" s="19">
        <v>50</v>
      </c>
      <c r="O1309" s="19">
        <v>100</v>
      </c>
      <c r="P1309" s="19">
        <v>100</v>
      </c>
      <c r="Q1309" s="19">
        <v>50</v>
      </c>
      <c r="R1309" s="19" t="s">
        <v>870</v>
      </c>
      <c r="S1309" s="19">
        <v>0.9</v>
      </c>
      <c r="T1309" s="19">
        <v>1</v>
      </c>
      <c r="U1309" s="19">
        <v>50</v>
      </c>
      <c r="AA1309" s="19">
        <v>0</v>
      </c>
    </row>
    <row r="1310" spans="1:27" x14ac:dyDescent="0.25">
      <c r="A1310" s="19" t="s">
        <v>932</v>
      </c>
      <c r="B1310" s="19" t="s">
        <v>910</v>
      </c>
      <c r="C1310" s="19" t="s">
        <v>911</v>
      </c>
      <c r="D1310" s="19">
        <v>2.5</v>
      </c>
      <c r="E1310" s="19" t="s">
        <v>144</v>
      </c>
      <c r="F1310" s="19" t="s">
        <v>145</v>
      </c>
      <c r="G1310" s="19" t="s">
        <v>134</v>
      </c>
      <c r="H1310" s="19" t="s">
        <v>146</v>
      </c>
      <c r="I1310" s="19" t="s">
        <v>147</v>
      </c>
      <c r="J1310" s="19">
        <v>4</v>
      </c>
      <c r="K1310" s="19">
        <v>2.5000000000000001E-2</v>
      </c>
      <c r="L1310" s="19" t="s">
        <v>541</v>
      </c>
      <c r="M1310" s="19" t="s">
        <v>541</v>
      </c>
      <c r="N1310" s="19">
        <v>50</v>
      </c>
      <c r="O1310" s="19">
        <v>100</v>
      </c>
      <c r="P1310" s="19">
        <v>100</v>
      </c>
      <c r="Q1310" s="19">
        <v>50</v>
      </c>
      <c r="R1310" s="19" t="s">
        <v>870</v>
      </c>
      <c r="S1310" s="19">
        <v>0.9</v>
      </c>
      <c r="T1310" s="19">
        <v>1</v>
      </c>
      <c r="U1310" s="19">
        <v>50</v>
      </c>
      <c r="AA1310" s="19">
        <v>0</v>
      </c>
    </row>
    <row r="1311" spans="1:27" x14ac:dyDescent="0.25">
      <c r="A1311" s="19" t="s">
        <v>933</v>
      </c>
      <c r="B1311" s="19" t="s">
        <v>910</v>
      </c>
      <c r="C1311" s="19" t="s">
        <v>911</v>
      </c>
      <c r="D1311" s="19">
        <v>2.5</v>
      </c>
      <c r="E1311" s="19" t="s">
        <v>149</v>
      </c>
      <c r="F1311" s="19" t="s">
        <v>150</v>
      </c>
      <c r="G1311" s="19" t="s">
        <v>134</v>
      </c>
      <c r="H1311" s="19" t="s">
        <v>146</v>
      </c>
      <c r="I1311" s="19" t="s">
        <v>147</v>
      </c>
      <c r="J1311" s="19">
        <v>5</v>
      </c>
      <c r="K1311" s="19">
        <v>2.5000000000000001E-2</v>
      </c>
      <c r="L1311" s="19" t="s">
        <v>541</v>
      </c>
      <c r="M1311" s="19" t="s">
        <v>541</v>
      </c>
      <c r="N1311" s="19">
        <v>50</v>
      </c>
      <c r="O1311" s="19">
        <v>100</v>
      </c>
      <c r="P1311" s="19">
        <v>100</v>
      </c>
      <c r="Q1311" s="19">
        <v>50</v>
      </c>
      <c r="R1311" s="19" t="s">
        <v>870</v>
      </c>
      <c r="S1311" s="19">
        <v>0.9</v>
      </c>
      <c r="T1311" s="19">
        <v>1</v>
      </c>
      <c r="U1311" s="19">
        <v>50</v>
      </c>
      <c r="AA1311" s="19">
        <v>0</v>
      </c>
    </row>
    <row r="1312" spans="1:27" x14ac:dyDescent="0.25">
      <c r="A1312" s="19" t="s">
        <v>934</v>
      </c>
      <c r="B1312" s="19" t="s">
        <v>910</v>
      </c>
      <c r="C1312" s="19" t="s">
        <v>911</v>
      </c>
      <c r="D1312" s="19">
        <v>2.5</v>
      </c>
      <c r="E1312" s="19" t="s">
        <v>152</v>
      </c>
      <c r="F1312" s="19" t="s">
        <v>153</v>
      </c>
      <c r="G1312" s="19" t="s">
        <v>134</v>
      </c>
      <c r="H1312" s="19" t="s">
        <v>146</v>
      </c>
      <c r="I1312" s="19" t="s">
        <v>147</v>
      </c>
      <c r="J1312" s="19">
        <v>6</v>
      </c>
      <c r="K1312" s="19">
        <v>2.5000000000000001E-2</v>
      </c>
      <c r="L1312" s="19" t="s">
        <v>541</v>
      </c>
      <c r="M1312" s="19" t="s">
        <v>541</v>
      </c>
      <c r="N1312" s="19">
        <v>50</v>
      </c>
      <c r="O1312" s="19">
        <v>100</v>
      </c>
      <c r="P1312" s="19">
        <v>100</v>
      </c>
      <c r="Q1312" s="19">
        <v>50</v>
      </c>
      <c r="R1312" s="19" t="s">
        <v>870</v>
      </c>
      <c r="S1312" s="19">
        <v>0.9</v>
      </c>
      <c r="T1312" s="19">
        <v>1</v>
      </c>
      <c r="U1312" s="19">
        <v>50</v>
      </c>
      <c r="AA1312" s="19">
        <v>0</v>
      </c>
    </row>
    <row r="1313" spans="1:27" x14ac:dyDescent="0.25">
      <c r="A1313" s="19" t="s">
        <v>935</v>
      </c>
      <c r="B1313" s="19" t="s">
        <v>910</v>
      </c>
      <c r="C1313" s="19" t="s">
        <v>911</v>
      </c>
      <c r="D1313" s="19">
        <v>2.5</v>
      </c>
      <c r="E1313" s="19" t="s">
        <v>155</v>
      </c>
      <c r="F1313" s="19" t="s">
        <v>156</v>
      </c>
      <c r="G1313" s="19" t="s">
        <v>134</v>
      </c>
      <c r="H1313" s="19" t="s">
        <v>146</v>
      </c>
      <c r="I1313" s="19" t="s">
        <v>147</v>
      </c>
      <c r="J1313" s="19">
        <v>7</v>
      </c>
      <c r="K1313" s="19">
        <v>2.5000000000000001E-2</v>
      </c>
      <c r="L1313" s="19" t="s">
        <v>541</v>
      </c>
      <c r="M1313" s="19" t="s">
        <v>541</v>
      </c>
      <c r="N1313" s="19">
        <v>50</v>
      </c>
      <c r="O1313" s="19">
        <v>100</v>
      </c>
      <c r="P1313" s="19">
        <v>100</v>
      </c>
      <c r="Q1313" s="19">
        <v>50</v>
      </c>
      <c r="R1313" s="19" t="s">
        <v>870</v>
      </c>
      <c r="S1313" s="19">
        <v>0.9</v>
      </c>
      <c r="T1313" s="19">
        <v>1</v>
      </c>
      <c r="U1313" s="19">
        <v>50</v>
      </c>
      <c r="AA1313" s="19">
        <v>0</v>
      </c>
    </row>
    <row r="1314" spans="1:27" x14ac:dyDescent="0.25">
      <c r="A1314" s="19" t="s">
        <v>936</v>
      </c>
      <c r="B1314" s="19" t="s">
        <v>910</v>
      </c>
      <c r="C1314" s="19" t="s">
        <v>911</v>
      </c>
      <c r="D1314" s="19">
        <v>1.7567567567567499</v>
      </c>
      <c r="E1314" s="19" t="s">
        <v>158</v>
      </c>
      <c r="F1314" s="19" t="s">
        <v>159</v>
      </c>
      <c r="G1314" s="19" t="s">
        <v>134</v>
      </c>
      <c r="H1314" s="19" t="s">
        <v>146</v>
      </c>
      <c r="I1314" s="19" t="s">
        <v>147</v>
      </c>
      <c r="J1314" s="19">
        <v>8</v>
      </c>
      <c r="K1314" s="19">
        <v>2.5000000000000001E-2</v>
      </c>
      <c r="L1314" s="19" t="s">
        <v>541</v>
      </c>
      <c r="M1314" s="19" t="s">
        <v>541</v>
      </c>
      <c r="N1314" s="19">
        <v>50</v>
      </c>
      <c r="O1314" s="19">
        <v>70.270270270300003</v>
      </c>
      <c r="P1314" s="19">
        <v>40.540540540499997</v>
      </c>
      <c r="Q1314" s="19">
        <v>20.270270270299999</v>
      </c>
      <c r="R1314" s="19" t="s">
        <v>870</v>
      </c>
      <c r="S1314" s="19">
        <v>0.9</v>
      </c>
      <c r="T1314" s="19">
        <v>1</v>
      </c>
      <c r="U1314" s="19">
        <v>20.270270270299999</v>
      </c>
      <c r="AA1314" s="19">
        <v>0</v>
      </c>
    </row>
    <row r="1315" spans="1:27" x14ac:dyDescent="0.25">
      <c r="A1315" s="19" t="s">
        <v>937</v>
      </c>
      <c r="B1315" s="19" t="s">
        <v>910</v>
      </c>
      <c r="C1315" s="19" t="s">
        <v>911</v>
      </c>
      <c r="D1315" s="19">
        <v>0.61993799999999899</v>
      </c>
      <c r="E1315" s="19" t="s">
        <v>78</v>
      </c>
      <c r="F1315" s="19" t="s">
        <v>79</v>
      </c>
      <c r="G1315" s="19" t="s">
        <v>32</v>
      </c>
      <c r="H1315" s="19" t="s">
        <v>63</v>
      </c>
      <c r="I1315" s="19" t="s">
        <v>64</v>
      </c>
      <c r="J1315" s="19">
        <v>25</v>
      </c>
      <c r="K1315" s="19">
        <v>1.8599999999999998E-2</v>
      </c>
      <c r="L1315" s="19" t="s">
        <v>35</v>
      </c>
      <c r="M1315" s="19" t="s">
        <v>40</v>
      </c>
      <c r="N1315" s="19">
        <v>33.33</v>
      </c>
      <c r="O1315" s="19">
        <v>33.33</v>
      </c>
      <c r="P1315" s="19">
        <v>0</v>
      </c>
      <c r="Q1315" s="19">
        <v>0</v>
      </c>
      <c r="R1315" s="19" t="s">
        <v>870</v>
      </c>
      <c r="S1315" s="19">
        <v>0.9</v>
      </c>
      <c r="T1315" s="19">
        <v>1</v>
      </c>
      <c r="U1315" s="19">
        <v>0</v>
      </c>
      <c r="V1315" s="19" t="s">
        <v>41</v>
      </c>
      <c r="W1315" s="19">
        <v>1</v>
      </c>
      <c r="Y1315" s="19" t="s">
        <v>40</v>
      </c>
      <c r="Z1315" s="19">
        <v>33.33</v>
      </c>
      <c r="AA1315" s="19">
        <v>33.33</v>
      </c>
    </row>
    <row r="1316" spans="1:27" x14ac:dyDescent="0.25">
      <c r="A1316" s="19" t="s">
        <v>938</v>
      </c>
      <c r="B1316" s="19" t="s">
        <v>910</v>
      </c>
      <c r="C1316" s="19" t="s">
        <v>911</v>
      </c>
      <c r="D1316" s="19">
        <v>0.61993799999999899</v>
      </c>
      <c r="E1316" s="19" t="s">
        <v>82</v>
      </c>
      <c r="F1316" s="19" t="s">
        <v>83</v>
      </c>
      <c r="G1316" s="19" t="s">
        <v>32</v>
      </c>
      <c r="H1316" s="19" t="s">
        <v>63</v>
      </c>
      <c r="I1316" s="19" t="s">
        <v>64</v>
      </c>
      <c r="J1316" s="19">
        <v>26</v>
      </c>
      <c r="K1316" s="19">
        <v>1.8599999999999998E-2</v>
      </c>
      <c r="L1316" s="19" t="s">
        <v>35</v>
      </c>
      <c r="M1316" s="19" t="s">
        <v>40</v>
      </c>
      <c r="N1316" s="19">
        <v>33.33</v>
      </c>
      <c r="O1316" s="19">
        <v>33.33</v>
      </c>
      <c r="P1316" s="19">
        <v>0</v>
      </c>
      <c r="Q1316" s="19">
        <v>0</v>
      </c>
      <c r="R1316" s="19" t="s">
        <v>870</v>
      </c>
      <c r="S1316" s="19">
        <v>0.9</v>
      </c>
      <c r="T1316" s="19">
        <v>1</v>
      </c>
      <c r="U1316" s="19">
        <v>0</v>
      </c>
      <c r="V1316" s="19" t="s">
        <v>41</v>
      </c>
      <c r="W1316" s="19">
        <v>1</v>
      </c>
      <c r="Y1316" s="19" t="s">
        <v>40</v>
      </c>
      <c r="Z1316" s="19">
        <v>33.33</v>
      </c>
      <c r="AA1316" s="19">
        <v>33.33</v>
      </c>
    </row>
    <row r="1317" spans="1:27" x14ac:dyDescent="0.25">
      <c r="A1317" s="19" t="s">
        <v>939</v>
      </c>
      <c r="B1317" s="19" t="s">
        <v>910</v>
      </c>
      <c r="C1317" s="19" t="s">
        <v>911</v>
      </c>
      <c r="D1317" s="19">
        <v>0</v>
      </c>
      <c r="E1317" s="19" t="s">
        <v>85</v>
      </c>
      <c r="F1317" s="19" t="s">
        <v>86</v>
      </c>
      <c r="G1317" s="19" t="s">
        <v>32</v>
      </c>
      <c r="H1317" s="19" t="s">
        <v>87</v>
      </c>
      <c r="I1317" s="19" t="s">
        <v>88</v>
      </c>
      <c r="J1317" s="19">
        <v>35</v>
      </c>
      <c r="K1317" s="19">
        <v>3.2500000000000001E-2</v>
      </c>
      <c r="L1317" s="19" t="s">
        <v>35</v>
      </c>
      <c r="N1317" s="19">
        <v>0</v>
      </c>
      <c r="O1317" s="19">
        <v>0</v>
      </c>
      <c r="P1317" s="19">
        <v>0</v>
      </c>
      <c r="Q1317" s="19">
        <v>0</v>
      </c>
      <c r="R1317" s="19" t="s">
        <v>870</v>
      </c>
      <c r="S1317" s="19">
        <v>0.9</v>
      </c>
      <c r="T1317" s="19">
        <v>1</v>
      </c>
      <c r="U1317" s="19">
        <v>0</v>
      </c>
      <c r="V1317" s="19" t="s">
        <v>36</v>
      </c>
      <c r="W1317" s="19">
        <v>0</v>
      </c>
      <c r="Z1317" s="19">
        <v>0</v>
      </c>
      <c r="AA1317" s="19">
        <v>0</v>
      </c>
    </row>
    <row r="1318" spans="1:27" x14ac:dyDescent="0.25">
      <c r="A1318" s="19" t="s">
        <v>940</v>
      </c>
      <c r="B1318" s="19" t="s">
        <v>910</v>
      </c>
      <c r="C1318" s="19" t="s">
        <v>911</v>
      </c>
      <c r="D1318" s="19">
        <v>0</v>
      </c>
      <c r="E1318" s="19" t="s">
        <v>96</v>
      </c>
      <c r="F1318" s="19" t="s">
        <v>97</v>
      </c>
      <c r="G1318" s="19" t="s">
        <v>32</v>
      </c>
      <c r="H1318" s="19" t="s">
        <v>87</v>
      </c>
      <c r="I1318" s="19" t="s">
        <v>88</v>
      </c>
      <c r="J1318" s="19">
        <v>36</v>
      </c>
      <c r="K1318" s="19">
        <v>3.2500000000000001E-2</v>
      </c>
      <c r="L1318" s="19" t="s">
        <v>35</v>
      </c>
      <c r="N1318" s="19">
        <v>0</v>
      </c>
      <c r="O1318" s="19">
        <v>0</v>
      </c>
      <c r="P1318" s="19">
        <v>0</v>
      </c>
      <c r="Q1318" s="19">
        <v>0</v>
      </c>
      <c r="R1318" s="19" t="s">
        <v>870</v>
      </c>
      <c r="S1318" s="19">
        <v>0.9</v>
      </c>
      <c r="T1318" s="19">
        <v>1</v>
      </c>
      <c r="U1318" s="19">
        <v>0</v>
      </c>
      <c r="V1318" s="19" t="s">
        <v>36</v>
      </c>
      <c r="W1318" s="19">
        <v>0</v>
      </c>
      <c r="Z1318" s="19">
        <v>0</v>
      </c>
      <c r="AA1318" s="19">
        <v>0</v>
      </c>
    </row>
    <row r="1319" spans="1:27" x14ac:dyDescent="0.25">
      <c r="A1319" s="19" t="s">
        <v>941</v>
      </c>
      <c r="B1319" s="19" t="s">
        <v>910</v>
      </c>
      <c r="C1319" s="19" t="s">
        <v>911</v>
      </c>
      <c r="D1319" s="19">
        <v>0</v>
      </c>
      <c r="E1319" s="19" t="s">
        <v>105</v>
      </c>
      <c r="F1319" s="19" t="s">
        <v>106</v>
      </c>
      <c r="G1319" s="19" t="s">
        <v>32</v>
      </c>
      <c r="H1319" s="19" t="s">
        <v>101</v>
      </c>
      <c r="I1319" s="19" t="s">
        <v>102</v>
      </c>
      <c r="J1319" s="19">
        <v>38</v>
      </c>
      <c r="K1319" s="19">
        <v>4.3299999999999998E-2</v>
      </c>
      <c r="L1319" s="19" t="s">
        <v>35</v>
      </c>
      <c r="M1319" s="19" t="s">
        <v>103</v>
      </c>
      <c r="N1319" s="19">
        <v>0</v>
      </c>
      <c r="O1319" s="19">
        <v>0</v>
      </c>
      <c r="P1319" s="19">
        <v>0</v>
      </c>
      <c r="Q1319" s="19">
        <v>0</v>
      </c>
      <c r="R1319" s="19" t="s">
        <v>870</v>
      </c>
      <c r="S1319" s="19">
        <v>0.9</v>
      </c>
      <c r="T1319" s="19">
        <v>1</v>
      </c>
      <c r="U1319" s="19">
        <v>0</v>
      </c>
      <c r="V1319" s="19" t="s">
        <v>36</v>
      </c>
      <c r="W1319" s="19">
        <v>0</v>
      </c>
      <c r="Y1319" s="19" t="s">
        <v>103</v>
      </c>
      <c r="Z1319" s="19">
        <v>50</v>
      </c>
      <c r="AA1319" s="19">
        <v>0</v>
      </c>
    </row>
    <row r="1320" spans="1:27" x14ac:dyDescent="0.25">
      <c r="A1320" s="19" t="s">
        <v>942</v>
      </c>
      <c r="B1320" s="19" t="s">
        <v>910</v>
      </c>
      <c r="C1320" s="19" t="s">
        <v>911</v>
      </c>
      <c r="D1320" s="19">
        <v>0</v>
      </c>
      <c r="E1320" s="19" t="s">
        <v>112</v>
      </c>
      <c r="F1320" s="19" t="s">
        <v>113</v>
      </c>
      <c r="G1320" s="19" t="s">
        <v>32</v>
      </c>
      <c r="H1320" s="19" t="s">
        <v>114</v>
      </c>
      <c r="I1320" s="19" t="s">
        <v>115</v>
      </c>
      <c r="J1320" s="19">
        <v>30</v>
      </c>
      <c r="K1320" s="19">
        <v>2.1700000000000001E-2</v>
      </c>
      <c r="L1320" s="19" t="s">
        <v>35</v>
      </c>
      <c r="M1320" s="19" t="s">
        <v>103</v>
      </c>
      <c r="N1320" s="19">
        <v>0</v>
      </c>
      <c r="O1320" s="19">
        <v>0</v>
      </c>
      <c r="P1320" s="19">
        <v>0</v>
      </c>
      <c r="Q1320" s="19">
        <v>0</v>
      </c>
      <c r="R1320" s="19" t="s">
        <v>870</v>
      </c>
      <c r="S1320" s="19">
        <v>0.9</v>
      </c>
      <c r="T1320" s="19">
        <v>1</v>
      </c>
      <c r="U1320" s="19">
        <v>0</v>
      </c>
      <c r="V1320" s="19" t="s">
        <v>36</v>
      </c>
      <c r="W1320" s="19">
        <v>0</v>
      </c>
      <c r="Y1320" s="19" t="s">
        <v>103</v>
      </c>
      <c r="Z1320" s="19">
        <v>50</v>
      </c>
      <c r="AA1320" s="19">
        <v>0</v>
      </c>
    </row>
    <row r="1321" spans="1:27" x14ac:dyDescent="0.25">
      <c r="A1321" s="19" t="s">
        <v>943</v>
      </c>
      <c r="B1321" s="19" t="s">
        <v>910</v>
      </c>
      <c r="C1321" s="19" t="s">
        <v>911</v>
      </c>
      <c r="D1321" s="19">
        <v>1.085</v>
      </c>
      <c r="E1321" s="19" t="s">
        <v>117</v>
      </c>
      <c r="F1321" s="19" t="s">
        <v>118</v>
      </c>
      <c r="G1321" s="19" t="s">
        <v>32</v>
      </c>
      <c r="H1321" s="19" t="s">
        <v>114</v>
      </c>
      <c r="I1321" s="19" t="s">
        <v>115</v>
      </c>
      <c r="J1321" s="19">
        <v>31</v>
      </c>
      <c r="K1321" s="19">
        <v>2.1700000000000001E-2</v>
      </c>
      <c r="L1321" s="19" t="s">
        <v>35</v>
      </c>
      <c r="M1321" s="19" t="s">
        <v>103</v>
      </c>
      <c r="N1321" s="19">
        <v>50</v>
      </c>
      <c r="O1321" s="19">
        <v>50</v>
      </c>
      <c r="P1321" s="19">
        <v>0</v>
      </c>
      <c r="Q1321" s="19">
        <v>0</v>
      </c>
      <c r="R1321" s="19" t="s">
        <v>870</v>
      </c>
      <c r="S1321" s="19">
        <v>0.9</v>
      </c>
      <c r="T1321" s="19">
        <v>1</v>
      </c>
      <c r="U1321" s="19">
        <v>0</v>
      </c>
      <c r="V1321" s="19" t="s">
        <v>41</v>
      </c>
      <c r="W1321" s="19">
        <v>1</v>
      </c>
      <c r="Y1321" s="19" t="s">
        <v>103</v>
      </c>
      <c r="Z1321" s="19">
        <v>50</v>
      </c>
      <c r="AA1321" s="19">
        <v>50</v>
      </c>
    </row>
    <row r="1322" spans="1:27" x14ac:dyDescent="0.25">
      <c r="A1322" s="19" t="s">
        <v>944</v>
      </c>
      <c r="B1322" s="19" t="s">
        <v>910</v>
      </c>
      <c r="C1322" s="19" t="s">
        <v>911</v>
      </c>
      <c r="D1322" s="19">
        <v>1.085</v>
      </c>
      <c r="E1322" s="19" t="s">
        <v>120</v>
      </c>
      <c r="F1322" s="19" t="s">
        <v>121</v>
      </c>
      <c r="G1322" s="19" t="s">
        <v>32</v>
      </c>
      <c r="H1322" s="19" t="s">
        <v>114</v>
      </c>
      <c r="I1322" s="19" t="s">
        <v>115</v>
      </c>
      <c r="J1322" s="19">
        <v>28</v>
      </c>
      <c r="K1322" s="19">
        <v>2.1700000000000001E-2</v>
      </c>
      <c r="L1322" s="19" t="s">
        <v>35</v>
      </c>
      <c r="M1322" s="19" t="s">
        <v>103</v>
      </c>
      <c r="N1322" s="19">
        <v>50</v>
      </c>
      <c r="O1322" s="19">
        <v>50</v>
      </c>
      <c r="P1322" s="19">
        <v>0</v>
      </c>
      <c r="Q1322" s="19">
        <v>0</v>
      </c>
      <c r="R1322" s="19" t="s">
        <v>870</v>
      </c>
      <c r="S1322" s="19">
        <v>0.9</v>
      </c>
      <c r="T1322" s="19">
        <v>1</v>
      </c>
      <c r="U1322" s="19">
        <v>0</v>
      </c>
      <c r="V1322" s="19" t="s">
        <v>41</v>
      </c>
      <c r="W1322" s="19">
        <v>1</v>
      </c>
      <c r="Y1322" s="19" t="s">
        <v>103</v>
      </c>
      <c r="Z1322" s="19">
        <v>50</v>
      </c>
      <c r="AA1322" s="19">
        <v>50</v>
      </c>
    </row>
    <row r="1323" spans="1:27" x14ac:dyDescent="0.25">
      <c r="A1323" s="19" t="s">
        <v>945</v>
      </c>
      <c r="B1323" s="19" t="s">
        <v>910</v>
      </c>
      <c r="C1323" s="19" t="s">
        <v>911</v>
      </c>
      <c r="D1323" s="19">
        <v>0</v>
      </c>
      <c r="E1323" s="19" t="s">
        <v>123</v>
      </c>
      <c r="F1323" s="19" t="s">
        <v>124</v>
      </c>
      <c r="G1323" s="19" t="s">
        <v>32</v>
      </c>
      <c r="H1323" s="19" t="s">
        <v>114</v>
      </c>
      <c r="I1323" s="19" t="s">
        <v>115</v>
      </c>
      <c r="J1323" s="19">
        <v>27</v>
      </c>
      <c r="K1323" s="19">
        <v>2.1700000000000001E-2</v>
      </c>
      <c r="L1323" s="19" t="s">
        <v>35</v>
      </c>
      <c r="M1323" s="19" t="s">
        <v>103</v>
      </c>
      <c r="N1323" s="19">
        <v>0</v>
      </c>
      <c r="O1323" s="19">
        <v>0</v>
      </c>
      <c r="P1323" s="19">
        <v>0</v>
      </c>
      <c r="Q1323" s="19">
        <v>0</v>
      </c>
      <c r="R1323" s="19" t="s">
        <v>870</v>
      </c>
      <c r="S1323" s="19">
        <v>0.9</v>
      </c>
      <c r="T1323" s="19">
        <v>1</v>
      </c>
      <c r="U1323" s="19">
        <v>0</v>
      </c>
      <c r="V1323" s="19" t="s">
        <v>36</v>
      </c>
      <c r="W1323" s="19">
        <v>0</v>
      </c>
      <c r="Y1323" s="19" t="s">
        <v>103</v>
      </c>
      <c r="Z1323" s="19">
        <v>50</v>
      </c>
      <c r="AA1323" s="19">
        <v>0</v>
      </c>
    </row>
    <row r="1324" spans="1:27" x14ac:dyDescent="0.25">
      <c r="A1324" s="19" t="s">
        <v>946</v>
      </c>
      <c r="B1324" s="19" t="s">
        <v>910</v>
      </c>
      <c r="C1324" s="19" t="s">
        <v>911</v>
      </c>
      <c r="D1324" s="19">
        <v>1.085</v>
      </c>
      <c r="E1324" s="19" t="s">
        <v>129</v>
      </c>
      <c r="F1324" s="19" t="s">
        <v>130</v>
      </c>
      <c r="G1324" s="19" t="s">
        <v>32</v>
      </c>
      <c r="H1324" s="19" t="s">
        <v>114</v>
      </c>
      <c r="I1324" s="19" t="s">
        <v>115</v>
      </c>
      <c r="J1324" s="19">
        <v>32</v>
      </c>
      <c r="K1324" s="19">
        <v>2.1700000000000001E-2</v>
      </c>
      <c r="L1324" s="19" t="s">
        <v>35</v>
      </c>
      <c r="M1324" s="19" t="s">
        <v>103</v>
      </c>
      <c r="N1324" s="19">
        <v>50</v>
      </c>
      <c r="O1324" s="19">
        <v>50</v>
      </c>
      <c r="P1324" s="19">
        <v>0</v>
      </c>
      <c r="Q1324" s="19">
        <v>0</v>
      </c>
      <c r="R1324" s="19" t="s">
        <v>870</v>
      </c>
      <c r="S1324" s="19">
        <v>0.9</v>
      </c>
      <c r="T1324" s="19">
        <v>1</v>
      </c>
      <c r="U1324" s="19">
        <v>0</v>
      </c>
      <c r="V1324" s="19" t="s">
        <v>41</v>
      </c>
      <c r="W1324" s="19">
        <v>1</v>
      </c>
      <c r="Y1324" s="19" t="s">
        <v>103</v>
      </c>
      <c r="Z1324" s="19">
        <v>50</v>
      </c>
      <c r="AA1324" s="19">
        <v>50</v>
      </c>
    </row>
    <row r="1325" spans="1:27" x14ac:dyDescent="0.25">
      <c r="A1325" s="19" t="s">
        <v>947</v>
      </c>
      <c r="B1325" s="19" t="s">
        <v>910</v>
      </c>
      <c r="C1325" s="19" t="s">
        <v>911</v>
      </c>
      <c r="D1325" s="19">
        <v>2.2197779999999998</v>
      </c>
      <c r="E1325" s="19" t="s">
        <v>161</v>
      </c>
      <c r="F1325" s="19" t="s">
        <v>162</v>
      </c>
      <c r="G1325" s="19" t="s">
        <v>163</v>
      </c>
      <c r="I1325" s="19" t="s">
        <v>164</v>
      </c>
      <c r="J1325" s="19">
        <v>1</v>
      </c>
      <c r="K1325" s="19">
        <v>3.3300000000000003E-2</v>
      </c>
      <c r="L1325" s="19" t="s">
        <v>35</v>
      </c>
      <c r="M1325" s="19" t="s">
        <v>165</v>
      </c>
      <c r="N1325" s="19">
        <v>66.66</v>
      </c>
      <c r="O1325" s="19">
        <v>66.66</v>
      </c>
      <c r="P1325" s="19">
        <v>0</v>
      </c>
      <c r="Q1325" s="19">
        <v>0</v>
      </c>
      <c r="R1325" s="19" t="s">
        <v>870</v>
      </c>
      <c r="S1325" s="19">
        <v>0.9</v>
      </c>
      <c r="T1325" s="19">
        <v>1</v>
      </c>
      <c r="U1325" s="19">
        <v>0</v>
      </c>
      <c r="W1325" s="19">
        <v>0</v>
      </c>
      <c r="X1325" s="19">
        <v>66.66</v>
      </c>
      <c r="Z1325" s="19">
        <v>0</v>
      </c>
      <c r="AA1325" s="19">
        <v>66.66</v>
      </c>
    </row>
    <row r="1326" spans="1:27" x14ac:dyDescent="0.25">
      <c r="A1326" s="19" t="s">
        <v>948</v>
      </c>
      <c r="B1326" s="19" t="s">
        <v>910</v>
      </c>
      <c r="C1326" s="19" t="s">
        <v>911</v>
      </c>
      <c r="D1326" s="19">
        <v>3.33</v>
      </c>
      <c r="E1326" s="19" t="s">
        <v>167</v>
      </c>
      <c r="F1326" s="19" t="s">
        <v>168</v>
      </c>
      <c r="G1326" s="19" t="s">
        <v>163</v>
      </c>
      <c r="I1326" s="19" t="s">
        <v>164</v>
      </c>
      <c r="J1326" s="19">
        <v>3</v>
      </c>
      <c r="K1326" s="19">
        <v>3.3300000000000003E-2</v>
      </c>
      <c r="L1326" s="19" t="s">
        <v>35</v>
      </c>
      <c r="M1326" s="19" t="s">
        <v>165</v>
      </c>
      <c r="N1326" s="19">
        <v>100</v>
      </c>
      <c r="O1326" s="19">
        <v>100</v>
      </c>
      <c r="P1326" s="19">
        <v>0</v>
      </c>
      <c r="Q1326" s="19">
        <v>0</v>
      </c>
      <c r="R1326" s="19" t="s">
        <v>870</v>
      </c>
      <c r="S1326" s="19">
        <v>0.9</v>
      </c>
      <c r="T1326" s="19">
        <v>1</v>
      </c>
      <c r="U1326" s="19">
        <v>0</v>
      </c>
      <c r="W1326" s="19">
        <v>0</v>
      </c>
      <c r="X1326" s="19">
        <v>100</v>
      </c>
      <c r="Z1326" s="19">
        <v>0</v>
      </c>
      <c r="AA1326" s="19">
        <v>100</v>
      </c>
    </row>
    <row r="1327" spans="1:27" x14ac:dyDescent="0.25">
      <c r="A1327" s="19" t="s">
        <v>949</v>
      </c>
      <c r="B1327" s="19" t="s">
        <v>910</v>
      </c>
      <c r="C1327" s="19" t="s">
        <v>911</v>
      </c>
      <c r="D1327" s="19">
        <v>3.1301999999999999</v>
      </c>
      <c r="E1327" s="19" t="s">
        <v>170</v>
      </c>
      <c r="F1327" s="19" t="s">
        <v>171</v>
      </c>
      <c r="G1327" s="19" t="s">
        <v>163</v>
      </c>
      <c r="I1327" s="19" t="s">
        <v>164</v>
      </c>
      <c r="J1327" s="19">
        <v>2</v>
      </c>
      <c r="K1327" s="19">
        <v>3.3300000000000003E-2</v>
      </c>
      <c r="L1327" s="19" t="s">
        <v>35</v>
      </c>
      <c r="M1327" s="19" t="s">
        <v>165</v>
      </c>
      <c r="N1327" s="19">
        <v>94</v>
      </c>
      <c r="O1327" s="19">
        <v>94</v>
      </c>
      <c r="P1327" s="19">
        <v>0</v>
      </c>
      <c r="Q1327" s="19">
        <v>0</v>
      </c>
      <c r="R1327" s="19" t="s">
        <v>870</v>
      </c>
      <c r="S1327" s="19">
        <v>0.9</v>
      </c>
      <c r="T1327" s="19">
        <v>1</v>
      </c>
      <c r="U1327" s="19">
        <v>0</v>
      </c>
      <c r="W1327" s="19">
        <v>0</v>
      </c>
      <c r="X1327" s="19">
        <v>94</v>
      </c>
      <c r="Z1327" s="19">
        <v>0</v>
      </c>
      <c r="AA1327" s="19">
        <v>94</v>
      </c>
    </row>
    <row r="1328" spans="1:27" x14ac:dyDescent="0.25">
      <c r="A1328" s="19" t="s">
        <v>1522</v>
      </c>
      <c r="B1328" s="19" t="s">
        <v>1523</v>
      </c>
      <c r="C1328" s="19" t="s">
        <v>1524</v>
      </c>
      <c r="D1328" s="19">
        <v>1.54849999999999</v>
      </c>
      <c r="E1328" s="19" t="s">
        <v>30</v>
      </c>
      <c r="F1328" s="19" t="s">
        <v>31</v>
      </c>
      <c r="G1328" s="19" t="s">
        <v>32</v>
      </c>
      <c r="H1328" s="19" t="s">
        <v>33</v>
      </c>
      <c r="I1328" s="19" t="s">
        <v>34</v>
      </c>
      <c r="J1328" s="19">
        <v>17</v>
      </c>
      <c r="K1328" s="19">
        <v>1.6299999999999999E-2</v>
      </c>
      <c r="L1328" s="19" t="s">
        <v>541</v>
      </c>
      <c r="M1328" s="19" t="s">
        <v>541</v>
      </c>
      <c r="N1328" s="19">
        <v>50</v>
      </c>
      <c r="O1328" s="19">
        <v>95</v>
      </c>
      <c r="P1328" s="19">
        <v>100</v>
      </c>
      <c r="Q1328" s="19">
        <v>50</v>
      </c>
      <c r="R1328" s="19" t="s">
        <v>870</v>
      </c>
      <c r="S1328" s="19">
        <v>0.9</v>
      </c>
      <c r="T1328" s="19">
        <v>0.9</v>
      </c>
      <c r="U1328" s="19">
        <v>45</v>
      </c>
      <c r="AA1328" s="19">
        <v>0</v>
      </c>
    </row>
    <row r="1329" spans="1:27" x14ac:dyDescent="0.25">
      <c r="A1329" s="19" t="s">
        <v>1525</v>
      </c>
      <c r="B1329" s="19" t="s">
        <v>1523</v>
      </c>
      <c r="C1329" s="19" t="s">
        <v>1524</v>
      </c>
      <c r="D1329" s="19">
        <v>1.54849999999999</v>
      </c>
      <c r="E1329" s="19" t="s">
        <v>38</v>
      </c>
      <c r="F1329" s="19" t="s">
        <v>39</v>
      </c>
      <c r="G1329" s="19" t="s">
        <v>32</v>
      </c>
      <c r="H1329" s="19" t="s">
        <v>33</v>
      </c>
      <c r="I1329" s="19" t="s">
        <v>34</v>
      </c>
      <c r="J1329" s="19">
        <v>19</v>
      </c>
      <c r="K1329" s="19">
        <v>1.6299999999999999E-2</v>
      </c>
      <c r="L1329" s="19" t="s">
        <v>541</v>
      </c>
      <c r="M1329" s="19" t="s">
        <v>541</v>
      </c>
      <c r="N1329" s="19">
        <v>50</v>
      </c>
      <c r="O1329" s="19">
        <v>95</v>
      </c>
      <c r="P1329" s="19">
        <v>100</v>
      </c>
      <c r="Q1329" s="19">
        <v>50</v>
      </c>
      <c r="R1329" s="19" t="s">
        <v>870</v>
      </c>
      <c r="S1329" s="19">
        <v>0.9</v>
      </c>
      <c r="T1329" s="19">
        <v>0.9</v>
      </c>
      <c r="U1329" s="19">
        <v>45</v>
      </c>
      <c r="AA1329" s="19">
        <v>0</v>
      </c>
    </row>
    <row r="1330" spans="1:27" x14ac:dyDescent="0.25">
      <c r="A1330" s="19" t="s">
        <v>1526</v>
      </c>
      <c r="B1330" s="19" t="s">
        <v>1523</v>
      </c>
      <c r="C1330" s="19" t="s">
        <v>1524</v>
      </c>
      <c r="D1330" s="19">
        <v>1.54849999999999</v>
      </c>
      <c r="E1330" s="19" t="s">
        <v>43</v>
      </c>
      <c r="F1330" s="19" t="s">
        <v>44</v>
      </c>
      <c r="G1330" s="19" t="s">
        <v>32</v>
      </c>
      <c r="H1330" s="19" t="s">
        <v>33</v>
      </c>
      <c r="I1330" s="19" t="s">
        <v>34</v>
      </c>
      <c r="J1330" s="19">
        <v>18</v>
      </c>
      <c r="K1330" s="19">
        <v>1.6299999999999999E-2</v>
      </c>
      <c r="L1330" s="19" t="s">
        <v>541</v>
      </c>
      <c r="M1330" s="19" t="s">
        <v>541</v>
      </c>
      <c r="N1330" s="19">
        <v>50</v>
      </c>
      <c r="O1330" s="19">
        <v>95</v>
      </c>
      <c r="P1330" s="19">
        <v>100</v>
      </c>
      <c r="Q1330" s="19">
        <v>50</v>
      </c>
      <c r="R1330" s="19" t="s">
        <v>870</v>
      </c>
      <c r="S1330" s="19">
        <v>0.9</v>
      </c>
      <c r="T1330" s="19">
        <v>0.9</v>
      </c>
      <c r="U1330" s="19">
        <v>45</v>
      </c>
      <c r="AA1330" s="19">
        <v>0</v>
      </c>
    </row>
    <row r="1331" spans="1:27" x14ac:dyDescent="0.25">
      <c r="A1331" s="19" t="s">
        <v>1527</v>
      </c>
      <c r="B1331" s="19" t="s">
        <v>1523</v>
      </c>
      <c r="C1331" s="19" t="s">
        <v>1524</v>
      </c>
      <c r="D1331" s="19">
        <v>1.5457548652694599</v>
      </c>
      <c r="E1331" s="19" t="s">
        <v>46</v>
      </c>
      <c r="F1331" s="19" t="s">
        <v>47</v>
      </c>
      <c r="G1331" s="19" t="s">
        <v>32</v>
      </c>
      <c r="H1331" s="19" t="s">
        <v>33</v>
      </c>
      <c r="I1331" s="19" t="s">
        <v>34</v>
      </c>
      <c r="J1331" s="19">
        <v>15</v>
      </c>
      <c r="K1331" s="19">
        <v>1.6299999999999999E-2</v>
      </c>
      <c r="L1331" s="19" t="s">
        <v>541</v>
      </c>
      <c r="M1331" s="19" t="s">
        <v>541</v>
      </c>
      <c r="N1331" s="19">
        <v>50</v>
      </c>
      <c r="O1331" s="19">
        <v>94.831586826299997</v>
      </c>
      <c r="P1331" s="19">
        <v>99.625748502999997</v>
      </c>
      <c r="Q1331" s="19">
        <v>49.812874251499998</v>
      </c>
      <c r="R1331" s="19" t="s">
        <v>870</v>
      </c>
      <c r="S1331" s="19">
        <v>0.9</v>
      </c>
      <c r="T1331" s="19">
        <v>0.9</v>
      </c>
      <c r="U1331" s="19">
        <v>44.831586826299997</v>
      </c>
      <c r="AA1331" s="19">
        <v>0</v>
      </c>
    </row>
    <row r="1332" spans="1:27" x14ac:dyDescent="0.25">
      <c r="A1332" s="19" t="s">
        <v>1528</v>
      </c>
      <c r="B1332" s="19" t="s">
        <v>1523</v>
      </c>
      <c r="C1332" s="19" t="s">
        <v>1524</v>
      </c>
      <c r="D1332" s="19">
        <v>1.54849999999999</v>
      </c>
      <c r="E1332" s="19" t="s">
        <v>52</v>
      </c>
      <c r="F1332" s="19" t="s">
        <v>53</v>
      </c>
      <c r="G1332" s="19" t="s">
        <v>32</v>
      </c>
      <c r="H1332" s="19" t="s">
        <v>33</v>
      </c>
      <c r="I1332" s="19" t="s">
        <v>34</v>
      </c>
      <c r="J1332" s="19">
        <v>16</v>
      </c>
      <c r="K1332" s="19">
        <v>1.6299999999999999E-2</v>
      </c>
      <c r="L1332" s="19" t="s">
        <v>541</v>
      </c>
      <c r="M1332" s="19" t="s">
        <v>541</v>
      </c>
      <c r="N1332" s="19">
        <v>50</v>
      </c>
      <c r="O1332" s="19">
        <v>95</v>
      </c>
      <c r="P1332" s="19">
        <v>100</v>
      </c>
      <c r="Q1332" s="19">
        <v>50</v>
      </c>
      <c r="R1332" s="19" t="s">
        <v>870</v>
      </c>
      <c r="S1332" s="19">
        <v>0.9</v>
      </c>
      <c r="T1332" s="19">
        <v>0.9</v>
      </c>
      <c r="U1332" s="19">
        <v>45</v>
      </c>
      <c r="AA1332" s="19">
        <v>0</v>
      </c>
    </row>
    <row r="1333" spans="1:27" x14ac:dyDescent="0.25">
      <c r="A1333" s="19" t="s">
        <v>1529</v>
      </c>
      <c r="B1333" s="19" t="s">
        <v>1523</v>
      </c>
      <c r="C1333" s="19" t="s">
        <v>1524</v>
      </c>
      <c r="D1333" s="19">
        <v>1.5441077844311299</v>
      </c>
      <c r="E1333" s="19" t="s">
        <v>55</v>
      </c>
      <c r="F1333" s="19" t="s">
        <v>56</v>
      </c>
      <c r="G1333" s="19" t="s">
        <v>32</v>
      </c>
      <c r="H1333" s="19" t="s">
        <v>33</v>
      </c>
      <c r="I1333" s="19" t="s">
        <v>34</v>
      </c>
      <c r="J1333" s="19">
        <v>14</v>
      </c>
      <c r="K1333" s="19">
        <v>1.6299999999999999E-2</v>
      </c>
      <c r="L1333" s="19" t="s">
        <v>541</v>
      </c>
      <c r="M1333" s="19" t="s">
        <v>541</v>
      </c>
      <c r="N1333" s="19">
        <v>50</v>
      </c>
      <c r="O1333" s="19">
        <v>94.730538922199997</v>
      </c>
      <c r="P1333" s="19">
        <v>99.401197604800004</v>
      </c>
      <c r="Q1333" s="19">
        <v>49.700598802400002</v>
      </c>
      <c r="R1333" s="19" t="s">
        <v>870</v>
      </c>
      <c r="S1333" s="19">
        <v>0.9</v>
      </c>
      <c r="T1333" s="19">
        <v>0.9</v>
      </c>
      <c r="U1333" s="19">
        <v>44.730538922199997</v>
      </c>
      <c r="AA1333" s="19">
        <v>0</v>
      </c>
    </row>
    <row r="1334" spans="1:27" x14ac:dyDescent="0.25">
      <c r="A1334" s="19" t="s">
        <v>1530</v>
      </c>
      <c r="B1334" s="19" t="s">
        <v>1523</v>
      </c>
      <c r="C1334" s="19" t="s">
        <v>1524</v>
      </c>
      <c r="D1334" s="19">
        <v>1.54849999999999</v>
      </c>
      <c r="E1334" s="19" t="s">
        <v>58</v>
      </c>
      <c r="F1334" s="19" t="s">
        <v>59</v>
      </c>
      <c r="G1334" s="19" t="s">
        <v>32</v>
      </c>
      <c r="H1334" s="19" t="s">
        <v>33</v>
      </c>
      <c r="I1334" s="19" t="s">
        <v>34</v>
      </c>
      <c r="J1334" s="19">
        <v>13</v>
      </c>
      <c r="K1334" s="19">
        <v>1.6299999999999999E-2</v>
      </c>
      <c r="L1334" s="19" t="s">
        <v>541</v>
      </c>
      <c r="M1334" s="19" t="s">
        <v>541</v>
      </c>
      <c r="N1334" s="19">
        <v>50</v>
      </c>
      <c r="O1334" s="19">
        <v>95</v>
      </c>
      <c r="P1334" s="19">
        <v>100</v>
      </c>
      <c r="Q1334" s="19">
        <v>50</v>
      </c>
      <c r="R1334" s="19" t="s">
        <v>870</v>
      </c>
      <c r="S1334" s="19">
        <v>0.9</v>
      </c>
      <c r="T1334" s="19">
        <v>0.9</v>
      </c>
      <c r="U1334" s="19">
        <v>45</v>
      </c>
      <c r="AA1334" s="19">
        <v>0</v>
      </c>
    </row>
    <row r="1335" spans="1:27" x14ac:dyDescent="0.25">
      <c r="A1335" s="19" t="s">
        <v>1531</v>
      </c>
      <c r="B1335" s="19" t="s">
        <v>1523</v>
      </c>
      <c r="C1335" s="19" t="s">
        <v>1524</v>
      </c>
      <c r="D1335" s="19">
        <v>1.7319161676646699</v>
      </c>
      <c r="E1335" s="19" t="s">
        <v>61</v>
      </c>
      <c r="F1335" s="19" t="s">
        <v>62</v>
      </c>
      <c r="G1335" s="19" t="s">
        <v>32</v>
      </c>
      <c r="H1335" s="19" t="s">
        <v>63</v>
      </c>
      <c r="I1335" s="19" t="s">
        <v>64</v>
      </c>
      <c r="J1335" s="19">
        <v>22</v>
      </c>
      <c r="K1335" s="19">
        <v>1.8599999999999998E-2</v>
      </c>
      <c r="L1335" s="19" t="s">
        <v>541</v>
      </c>
      <c r="M1335" s="19" t="s">
        <v>541</v>
      </c>
      <c r="N1335" s="19">
        <v>50</v>
      </c>
      <c r="O1335" s="19">
        <v>93.113772455100005</v>
      </c>
      <c r="P1335" s="19">
        <v>95.808383233499995</v>
      </c>
      <c r="Q1335" s="19">
        <v>47.904191616799999</v>
      </c>
      <c r="R1335" s="19" t="s">
        <v>870</v>
      </c>
      <c r="S1335" s="19">
        <v>0.9</v>
      </c>
      <c r="T1335" s="19">
        <v>0.9</v>
      </c>
      <c r="U1335" s="19">
        <v>43.113772455099998</v>
      </c>
      <c r="AA1335" s="19">
        <v>0</v>
      </c>
    </row>
    <row r="1336" spans="1:27" x14ac:dyDescent="0.25">
      <c r="A1336" s="19" t="s">
        <v>1532</v>
      </c>
      <c r="B1336" s="19" t="s">
        <v>1523</v>
      </c>
      <c r="C1336" s="19" t="s">
        <v>1524</v>
      </c>
      <c r="D1336" s="19">
        <v>1.7669999999999999</v>
      </c>
      <c r="E1336" s="19" t="s">
        <v>69</v>
      </c>
      <c r="F1336" s="19" t="s">
        <v>70</v>
      </c>
      <c r="G1336" s="19" t="s">
        <v>32</v>
      </c>
      <c r="H1336" s="19" t="s">
        <v>63</v>
      </c>
      <c r="I1336" s="19" t="s">
        <v>64</v>
      </c>
      <c r="J1336" s="19">
        <v>23</v>
      </c>
      <c r="K1336" s="19">
        <v>1.8599999999999998E-2</v>
      </c>
      <c r="L1336" s="19" t="s">
        <v>541</v>
      </c>
      <c r="M1336" s="19" t="s">
        <v>541</v>
      </c>
      <c r="N1336" s="19">
        <v>50</v>
      </c>
      <c r="O1336" s="19">
        <v>95</v>
      </c>
      <c r="P1336" s="19">
        <v>100</v>
      </c>
      <c r="Q1336" s="19">
        <v>50</v>
      </c>
      <c r="R1336" s="19" t="s">
        <v>870</v>
      </c>
      <c r="S1336" s="19">
        <v>0.9</v>
      </c>
      <c r="T1336" s="19">
        <v>0.9</v>
      </c>
      <c r="U1336" s="19">
        <v>45</v>
      </c>
      <c r="AA1336" s="19">
        <v>0</v>
      </c>
    </row>
    <row r="1337" spans="1:27" x14ac:dyDescent="0.25">
      <c r="A1337" s="19" t="s">
        <v>1533</v>
      </c>
      <c r="B1337" s="19" t="s">
        <v>1523</v>
      </c>
      <c r="C1337" s="19" t="s">
        <v>1524</v>
      </c>
      <c r="D1337" s="19">
        <v>1.7669999999999999</v>
      </c>
      <c r="E1337" s="19" t="s">
        <v>72</v>
      </c>
      <c r="F1337" s="19" t="s">
        <v>73</v>
      </c>
      <c r="G1337" s="19" t="s">
        <v>32</v>
      </c>
      <c r="H1337" s="19" t="s">
        <v>63</v>
      </c>
      <c r="I1337" s="19" t="s">
        <v>64</v>
      </c>
      <c r="J1337" s="19">
        <v>21</v>
      </c>
      <c r="K1337" s="19">
        <v>1.8599999999999998E-2</v>
      </c>
      <c r="L1337" s="19" t="s">
        <v>541</v>
      </c>
      <c r="M1337" s="19" t="s">
        <v>541</v>
      </c>
      <c r="N1337" s="19">
        <v>50</v>
      </c>
      <c r="O1337" s="19">
        <v>95</v>
      </c>
      <c r="P1337" s="19">
        <v>100</v>
      </c>
      <c r="Q1337" s="19">
        <v>50</v>
      </c>
      <c r="R1337" s="19" t="s">
        <v>870</v>
      </c>
      <c r="S1337" s="19">
        <v>0.9</v>
      </c>
      <c r="T1337" s="19">
        <v>0.9</v>
      </c>
      <c r="U1337" s="19">
        <v>45</v>
      </c>
      <c r="AA1337" s="19">
        <v>0</v>
      </c>
    </row>
    <row r="1338" spans="1:27" x14ac:dyDescent="0.25">
      <c r="A1338" s="19" t="s">
        <v>1534</v>
      </c>
      <c r="B1338" s="19" t="s">
        <v>1523</v>
      </c>
      <c r="C1338" s="19" t="s">
        <v>1524</v>
      </c>
      <c r="D1338" s="19">
        <v>1.7601085329341299</v>
      </c>
      <c r="E1338" s="19" t="s">
        <v>75</v>
      </c>
      <c r="F1338" s="19" t="s">
        <v>76</v>
      </c>
      <c r="G1338" s="19" t="s">
        <v>32</v>
      </c>
      <c r="H1338" s="19" t="s">
        <v>63</v>
      </c>
      <c r="I1338" s="19" t="s">
        <v>64</v>
      </c>
      <c r="J1338" s="19">
        <v>24</v>
      </c>
      <c r="K1338" s="19">
        <v>1.8599999999999998E-2</v>
      </c>
      <c r="L1338" s="19" t="s">
        <v>541</v>
      </c>
      <c r="M1338" s="19" t="s">
        <v>541</v>
      </c>
      <c r="N1338" s="19">
        <v>50</v>
      </c>
      <c r="O1338" s="19">
        <v>94.629491017999996</v>
      </c>
      <c r="P1338" s="19">
        <v>99.176646706599996</v>
      </c>
      <c r="Q1338" s="19">
        <v>49.588323353299998</v>
      </c>
      <c r="R1338" s="19" t="s">
        <v>870</v>
      </c>
      <c r="S1338" s="19">
        <v>0.9</v>
      </c>
      <c r="T1338" s="19">
        <v>0.9</v>
      </c>
      <c r="U1338" s="19">
        <v>44.629491018000003</v>
      </c>
      <c r="AA1338" s="19">
        <v>0</v>
      </c>
    </row>
    <row r="1339" spans="1:27" x14ac:dyDescent="0.25">
      <c r="A1339" s="19" t="s">
        <v>1535</v>
      </c>
      <c r="B1339" s="19" t="s">
        <v>1523</v>
      </c>
      <c r="C1339" s="19" t="s">
        <v>1524</v>
      </c>
      <c r="D1339" s="19">
        <v>1.7669999999999999</v>
      </c>
      <c r="E1339" s="19" t="s">
        <v>82</v>
      </c>
      <c r="F1339" s="19" t="s">
        <v>83</v>
      </c>
      <c r="G1339" s="19" t="s">
        <v>32</v>
      </c>
      <c r="H1339" s="19" t="s">
        <v>63</v>
      </c>
      <c r="I1339" s="19" t="s">
        <v>64</v>
      </c>
      <c r="J1339" s="19">
        <v>26</v>
      </c>
      <c r="K1339" s="19">
        <v>1.8599999999999998E-2</v>
      </c>
      <c r="L1339" s="19" t="s">
        <v>541</v>
      </c>
      <c r="M1339" s="19" t="s">
        <v>541</v>
      </c>
      <c r="N1339" s="19">
        <v>50</v>
      </c>
      <c r="O1339" s="19">
        <v>95</v>
      </c>
      <c r="P1339" s="19">
        <v>100</v>
      </c>
      <c r="Q1339" s="19">
        <v>50</v>
      </c>
      <c r="R1339" s="19" t="s">
        <v>870</v>
      </c>
      <c r="S1339" s="19">
        <v>0.9</v>
      </c>
      <c r="T1339" s="19">
        <v>0.9</v>
      </c>
      <c r="U1339" s="19">
        <v>45</v>
      </c>
      <c r="AA1339" s="19">
        <v>0</v>
      </c>
    </row>
    <row r="1340" spans="1:27" x14ac:dyDescent="0.25">
      <c r="A1340" s="19" t="s">
        <v>1536</v>
      </c>
      <c r="B1340" s="19" t="s">
        <v>1523</v>
      </c>
      <c r="C1340" s="19" t="s">
        <v>1524</v>
      </c>
      <c r="D1340" s="19">
        <v>2.8948353293413098</v>
      </c>
      <c r="E1340" s="19" t="s">
        <v>85</v>
      </c>
      <c r="F1340" s="19" t="s">
        <v>86</v>
      </c>
      <c r="G1340" s="19" t="s">
        <v>32</v>
      </c>
      <c r="H1340" s="19" t="s">
        <v>87</v>
      </c>
      <c r="I1340" s="19" t="s">
        <v>88</v>
      </c>
      <c r="J1340" s="19">
        <v>35</v>
      </c>
      <c r="K1340" s="19">
        <v>3.2500000000000001E-2</v>
      </c>
      <c r="L1340" s="19" t="s">
        <v>541</v>
      </c>
      <c r="M1340" s="19" t="s">
        <v>541</v>
      </c>
      <c r="N1340" s="19">
        <v>50</v>
      </c>
      <c r="O1340" s="19">
        <v>89.071856287399996</v>
      </c>
      <c r="P1340" s="19">
        <v>86.826347305400006</v>
      </c>
      <c r="Q1340" s="19">
        <v>43.413173652700003</v>
      </c>
      <c r="R1340" s="19" t="s">
        <v>870</v>
      </c>
      <c r="S1340" s="19">
        <v>0.9</v>
      </c>
      <c r="T1340" s="19">
        <v>0.9</v>
      </c>
      <c r="U1340" s="19">
        <v>39.071856287400003</v>
      </c>
      <c r="AA1340" s="19">
        <v>0</v>
      </c>
    </row>
    <row r="1341" spans="1:27" x14ac:dyDescent="0.25">
      <c r="A1341" s="19" t="s">
        <v>1537</v>
      </c>
      <c r="B1341" s="19" t="s">
        <v>1523</v>
      </c>
      <c r="C1341" s="19" t="s">
        <v>1524</v>
      </c>
      <c r="D1341" s="19">
        <v>0</v>
      </c>
      <c r="E1341" s="19" t="s">
        <v>49</v>
      </c>
      <c r="F1341" s="19" t="s">
        <v>50</v>
      </c>
      <c r="G1341" s="19" t="s">
        <v>32</v>
      </c>
      <c r="H1341" s="19" t="s">
        <v>33</v>
      </c>
      <c r="I1341" s="19" t="s">
        <v>34</v>
      </c>
      <c r="J1341" s="19">
        <v>12</v>
      </c>
      <c r="K1341" s="19">
        <v>1.6299999999999999E-2</v>
      </c>
      <c r="L1341" s="19" t="s">
        <v>35</v>
      </c>
      <c r="M1341" s="19" t="s">
        <v>110</v>
      </c>
      <c r="N1341" s="19">
        <v>0</v>
      </c>
      <c r="O1341" s="19">
        <v>0</v>
      </c>
      <c r="P1341" s="19">
        <v>0</v>
      </c>
      <c r="Q1341" s="19">
        <v>0</v>
      </c>
      <c r="R1341" s="19" t="s">
        <v>870</v>
      </c>
      <c r="S1341" s="19">
        <v>0.9</v>
      </c>
      <c r="T1341" s="19">
        <v>1</v>
      </c>
      <c r="U1341" s="19">
        <v>0</v>
      </c>
      <c r="V1341" s="19" t="s">
        <v>80</v>
      </c>
      <c r="W1341" s="19">
        <v>0</v>
      </c>
      <c r="Y1341" s="19" t="s">
        <v>110</v>
      </c>
      <c r="Z1341" s="19">
        <v>16.664999999999999</v>
      </c>
      <c r="AA1341" s="19">
        <v>0</v>
      </c>
    </row>
    <row r="1342" spans="1:27" x14ac:dyDescent="0.25">
      <c r="A1342" s="19" t="s">
        <v>1538</v>
      </c>
      <c r="B1342" s="19" t="s">
        <v>1523</v>
      </c>
      <c r="C1342" s="19" t="s">
        <v>1524</v>
      </c>
      <c r="D1342" s="19">
        <v>0.61993799999999899</v>
      </c>
      <c r="E1342" s="19" t="s">
        <v>66</v>
      </c>
      <c r="F1342" s="19" t="s">
        <v>67</v>
      </c>
      <c r="G1342" s="19" t="s">
        <v>32</v>
      </c>
      <c r="H1342" s="19" t="s">
        <v>63</v>
      </c>
      <c r="I1342" s="19" t="s">
        <v>64</v>
      </c>
      <c r="J1342" s="19">
        <v>20</v>
      </c>
      <c r="K1342" s="19">
        <v>1.8599999999999998E-2</v>
      </c>
      <c r="L1342" s="19" t="s">
        <v>35</v>
      </c>
      <c r="M1342" s="19" t="s">
        <v>40</v>
      </c>
      <c r="N1342" s="19">
        <v>33.33</v>
      </c>
      <c r="O1342" s="19">
        <v>33.33</v>
      </c>
      <c r="P1342" s="19">
        <v>0</v>
      </c>
      <c r="Q1342" s="19">
        <v>0</v>
      </c>
      <c r="R1342" s="19" t="s">
        <v>870</v>
      </c>
      <c r="S1342" s="19">
        <v>0.9</v>
      </c>
      <c r="T1342" s="19">
        <v>1</v>
      </c>
      <c r="U1342" s="19">
        <v>0</v>
      </c>
      <c r="V1342" s="19" t="s">
        <v>41</v>
      </c>
      <c r="W1342" s="19">
        <v>1</v>
      </c>
      <c r="Y1342" s="19" t="s">
        <v>40</v>
      </c>
      <c r="Z1342" s="19">
        <v>33.33</v>
      </c>
      <c r="AA1342" s="19">
        <v>33.33</v>
      </c>
    </row>
    <row r="1343" spans="1:27" x14ac:dyDescent="0.25">
      <c r="A1343" s="19" t="s">
        <v>1539</v>
      </c>
      <c r="B1343" s="19" t="s">
        <v>1523</v>
      </c>
      <c r="C1343" s="19" t="s">
        <v>1524</v>
      </c>
      <c r="D1343" s="19">
        <v>0</v>
      </c>
      <c r="E1343" s="19" t="s">
        <v>78</v>
      </c>
      <c r="F1343" s="19" t="s">
        <v>79</v>
      </c>
      <c r="G1343" s="19" t="s">
        <v>32</v>
      </c>
      <c r="H1343" s="19" t="s">
        <v>63</v>
      </c>
      <c r="I1343" s="19" t="s">
        <v>64</v>
      </c>
      <c r="J1343" s="19">
        <v>25</v>
      </c>
      <c r="K1343" s="19">
        <v>1.8599999999999998E-2</v>
      </c>
      <c r="L1343" s="19" t="s">
        <v>35</v>
      </c>
      <c r="M1343" s="19" t="s">
        <v>142</v>
      </c>
      <c r="N1343" s="19">
        <v>0</v>
      </c>
      <c r="O1343" s="19">
        <v>0</v>
      </c>
      <c r="P1343" s="19">
        <v>0</v>
      </c>
      <c r="Q1343" s="19">
        <v>0</v>
      </c>
      <c r="R1343" s="19" t="s">
        <v>870</v>
      </c>
      <c r="S1343" s="19">
        <v>0.9</v>
      </c>
      <c r="T1343" s="19">
        <v>1</v>
      </c>
      <c r="U1343" s="19">
        <v>0</v>
      </c>
      <c r="V1343" s="19" t="s">
        <v>80</v>
      </c>
      <c r="W1343" s="19">
        <v>0</v>
      </c>
      <c r="Y1343" s="19" t="s">
        <v>142</v>
      </c>
      <c r="Z1343" s="19">
        <v>50</v>
      </c>
      <c r="AA1343" s="19">
        <v>0</v>
      </c>
    </row>
    <row r="1344" spans="1:27" x14ac:dyDescent="0.25">
      <c r="A1344" s="19" t="s">
        <v>1540</v>
      </c>
      <c r="B1344" s="19" t="s">
        <v>1523</v>
      </c>
      <c r="C1344" s="19" t="s">
        <v>1524</v>
      </c>
      <c r="D1344" s="19">
        <v>1.625</v>
      </c>
      <c r="E1344" s="19" t="s">
        <v>90</v>
      </c>
      <c r="F1344" s="19" t="s">
        <v>91</v>
      </c>
      <c r="G1344" s="19" t="s">
        <v>32</v>
      </c>
      <c r="H1344" s="19" t="s">
        <v>87</v>
      </c>
      <c r="I1344" s="19" t="s">
        <v>88</v>
      </c>
      <c r="J1344" s="19">
        <v>33</v>
      </c>
      <c r="K1344" s="19">
        <v>3.2500000000000001E-2</v>
      </c>
      <c r="L1344" s="19" t="s">
        <v>35</v>
      </c>
      <c r="M1344" s="19" t="s">
        <v>142</v>
      </c>
      <c r="N1344" s="19">
        <v>50</v>
      </c>
      <c r="O1344" s="19">
        <v>50</v>
      </c>
      <c r="P1344" s="19">
        <v>0</v>
      </c>
      <c r="Q1344" s="19">
        <v>0</v>
      </c>
      <c r="R1344" s="19" t="s">
        <v>870</v>
      </c>
      <c r="S1344" s="19">
        <v>0.9</v>
      </c>
      <c r="T1344" s="19">
        <v>1</v>
      </c>
      <c r="U1344" s="19">
        <v>0</v>
      </c>
      <c r="V1344" s="19" t="s">
        <v>41</v>
      </c>
      <c r="W1344" s="19">
        <v>1</v>
      </c>
      <c r="Y1344" s="19" t="s">
        <v>142</v>
      </c>
      <c r="Z1344" s="19">
        <v>50</v>
      </c>
      <c r="AA1344" s="19">
        <v>50</v>
      </c>
    </row>
    <row r="1345" spans="1:27" x14ac:dyDescent="0.25">
      <c r="A1345" s="19" t="s">
        <v>1541</v>
      </c>
      <c r="B1345" s="19" t="s">
        <v>1523</v>
      </c>
      <c r="C1345" s="19" t="s">
        <v>1524</v>
      </c>
      <c r="D1345" s="19">
        <v>0.54161249999999905</v>
      </c>
      <c r="E1345" s="19" t="s">
        <v>93</v>
      </c>
      <c r="F1345" s="19" t="s">
        <v>94</v>
      </c>
      <c r="G1345" s="19" t="s">
        <v>32</v>
      </c>
      <c r="H1345" s="19" t="s">
        <v>87</v>
      </c>
      <c r="I1345" s="19" t="s">
        <v>88</v>
      </c>
      <c r="J1345" s="19">
        <v>34</v>
      </c>
      <c r="K1345" s="19">
        <v>3.2500000000000001E-2</v>
      </c>
      <c r="L1345" s="19" t="s">
        <v>35</v>
      </c>
      <c r="M1345" s="19" t="s">
        <v>110</v>
      </c>
      <c r="N1345" s="19">
        <v>16.664999999999999</v>
      </c>
      <c r="O1345" s="19">
        <v>16.664999999999999</v>
      </c>
      <c r="P1345" s="19">
        <v>0</v>
      </c>
      <c r="Q1345" s="19">
        <v>0</v>
      </c>
      <c r="R1345" s="19" t="s">
        <v>870</v>
      </c>
      <c r="S1345" s="19">
        <v>0.9</v>
      </c>
      <c r="T1345" s="19">
        <v>1</v>
      </c>
      <c r="U1345" s="19">
        <v>0</v>
      </c>
      <c r="V1345" s="19" t="s">
        <v>41</v>
      </c>
      <c r="W1345" s="19">
        <v>1</v>
      </c>
      <c r="Y1345" s="19" t="s">
        <v>110</v>
      </c>
      <c r="Z1345" s="19">
        <v>16.664999999999999</v>
      </c>
      <c r="AA1345" s="19">
        <v>16.664999999999999</v>
      </c>
    </row>
    <row r="1346" spans="1:27" x14ac:dyDescent="0.25">
      <c r="A1346" s="19" t="s">
        <v>1542</v>
      </c>
      <c r="B1346" s="19" t="s">
        <v>1523</v>
      </c>
      <c r="C1346" s="19" t="s">
        <v>1524</v>
      </c>
      <c r="D1346" s="19">
        <v>0</v>
      </c>
      <c r="E1346" s="19" t="s">
        <v>96</v>
      </c>
      <c r="F1346" s="19" t="s">
        <v>97</v>
      </c>
      <c r="G1346" s="19" t="s">
        <v>32</v>
      </c>
      <c r="H1346" s="19" t="s">
        <v>87</v>
      </c>
      <c r="I1346" s="19" t="s">
        <v>88</v>
      </c>
      <c r="J1346" s="19">
        <v>36</v>
      </c>
      <c r="K1346" s="19">
        <v>3.2500000000000001E-2</v>
      </c>
      <c r="L1346" s="19" t="s">
        <v>35</v>
      </c>
      <c r="N1346" s="19">
        <v>0</v>
      </c>
      <c r="O1346" s="19">
        <v>0</v>
      </c>
      <c r="P1346" s="19">
        <v>0</v>
      </c>
      <c r="Q1346" s="19">
        <v>0</v>
      </c>
      <c r="R1346" s="19" t="s">
        <v>870</v>
      </c>
      <c r="S1346" s="19">
        <v>0.9</v>
      </c>
      <c r="T1346" s="19">
        <v>1</v>
      </c>
      <c r="U1346" s="19">
        <v>0</v>
      </c>
      <c r="V1346" s="19" t="s">
        <v>36</v>
      </c>
      <c r="W1346" s="19">
        <v>0</v>
      </c>
      <c r="Z1346" s="19">
        <v>0</v>
      </c>
      <c r="AA1346" s="19">
        <v>0</v>
      </c>
    </row>
    <row r="1347" spans="1:27" x14ac:dyDescent="0.25">
      <c r="A1347" s="19" t="s">
        <v>1543</v>
      </c>
      <c r="B1347" s="19" t="s">
        <v>1523</v>
      </c>
      <c r="C1347" s="19" t="s">
        <v>1524</v>
      </c>
      <c r="D1347" s="19">
        <v>0</v>
      </c>
      <c r="E1347" s="19" t="s">
        <v>99</v>
      </c>
      <c r="F1347" s="19" t="s">
        <v>100</v>
      </c>
      <c r="G1347" s="19" t="s">
        <v>32</v>
      </c>
      <c r="H1347" s="19" t="s">
        <v>101</v>
      </c>
      <c r="I1347" s="19" t="s">
        <v>102</v>
      </c>
      <c r="J1347" s="19">
        <v>39</v>
      </c>
      <c r="K1347" s="19">
        <v>4.3299999999999998E-2</v>
      </c>
      <c r="L1347" s="19" t="s">
        <v>35</v>
      </c>
      <c r="M1347" s="19" t="s">
        <v>103</v>
      </c>
      <c r="N1347" s="19">
        <v>0</v>
      </c>
      <c r="O1347" s="19">
        <v>0</v>
      </c>
      <c r="P1347" s="19">
        <v>0</v>
      </c>
      <c r="Q1347" s="19">
        <v>0</v>
      </c>
      <c r="R1347" s="19" t="s">
        <v>870</v>
      </c>
      <c r="S1347" s="19">
        <v>0.9</v>
      </c>
      <c r="T1347" s="19">
        <v>1</v>
      </c>
      <c r="U1347" s="19">
        <v>0</v>
      </c>
      <c r="V1347" s="19" t="s">
        <v>36</v>
      </c>
      <c r="W1347" s="19">
        <v>0</v>
      </c>
      <c r="Y1347" s="19" t="s">
        <v>103</v>
      </c>
      <c r="Z1347" s="19">
        <v>50</v>
      </c>
      <c r="AA1347" s="19">
        <v>0</v>
      </c>
    </row>
    <row r="1348" spans="1:27" x14ac:dyDescent="0.25">
      <c r="A1348" s="19" t="s">
        <v>1544</v>
      </c>
      <c r="B1348" s="19" t="s">
        <v>1523</v>
      </c>
      <c r="C1348" s="19" t="s">
        <v>1524</v>
      </c>
      <c r="D1348" s="19">
        <v>0</v>
      </c>
      <c r="E1348" s="19" t="s">
        <v>105</v>
      </c>
      <c r="F1348" s="19" t="s">
        <v>106</v>
      </c>
      <c r="G1348" s="19" t="s">
        <v>32</v>
      </c>
      <c r="H1348" s="19" t="s">
        <v>101</v>
      </c>
      <c r="I1348" s="19" t="s">
        <v>102</v>
      </c>
      <c r="J1348" s="19">
        <v>38</v>
      </c>
      <c r="K1348" s="19">
        <v>4.3299999999999998E-2</v>
      </c>
      <c r="L1348" s="19" t="s">
        <v>35</v>
      </c>
      <c r="M1348" s="19" t="s">
        <v>103</v>
      </c>
      <c r="N1348" s="19">
        <v>0</v>
      </c>
      <c r="O1348" s="19">
        <v>0</v>
      </c>
      <c r="P1348" s="19">
        <v>0</v>
      </c>
      <c r="Q1348" s="19">
        <v>0</v>
      </c>
      <c r="R1348" s="19" t="s">
        <v>870</v>
      </c>
      <c r="S1348" s="19">
        <v>0.9</v>
      </c>
      <c r="T1348" s="19">
        <v>1</v>
      </c>
      <c r="U1348" s="19">
        <v>0</v>
      </c>
      <c r="V1348" s="19" t="s">
        <v>36</v>
      </c>
      <c r="W1348" s="19">
        <v>0</v>
      </c>
      <c r="Y1348" s="19" t="s">
        <v>103</v>
      </c>
      <c r="Z1348" s="19">
        <v>50</v>
      </c>
      <c r="AA1348" s="19">
        <v>0</v>
      </c>
    </row>
    <row r="1349" spans="1:27" x14ac:dyDescent="0.25">
      <c r="A1349" s="19" t="s">
        <v>1545</v>
      </c>
      <c r="B1349" s="19" t="s">
        <v>1523</v>
      </c>
      <c r="C1349" s="19" t="s">
        <v>1524</v>
      </c>
      <c r="D1349" s="19">
        <v>0</v>
      </c>
      <c r="E1349" s="19" t="s">
        <v>108</v>
      </c>
      <c r="F1349" s="19" t="s">
        <v>109</v>
      </c>
      <c r="G1349" s="19" t="s">
        <v>32</v>
      </c>
      <c r="H1349" s="19" t="s">
        <v>101</v>
      </c>
      <c r="I1349" s="19" t="s">
        <v>102</v>
      </c>
      <c r="J1349" s="19">
        <v>37</v>
      </c>
      <c r="K1349" s="19">
        <v>4.3299999999999998E-2</v>
      </c>
      <c r="L1349" s="19" t="s">
        <v>35</v>
      </c>
      <c r="N1349" s="19">
        <v>0</v>
      </c>
      <c r="O1349" s="19">
        <v>0</v>
      </c>
      <c r="P1349" s="19">
        <v>0</v>
      </c>
      <c r="Q1349" s="19">
        <v>0</v>
      </c>
      <c r="R1349" s="19" t="s">
        <v>870</v>
      </c>
      <c r="S1349" s="19">
        <v>0.9</v>
      </c>
      <c r="T1349" s="19">
        <v>1</v>
      </c>
      <c r="U1349" s="19">
        <v>0</v>
      </c>
      <c r="V1349" s="19" t="s">
        <v>36</v>
      </c>
      <c r="W1349" s="19">
        <v>0</v>
      </c>
      <c r="Z1349" s="19">
        <v>0</v>
      </c>
      <c r="AA1349" s="19">
        <v>0</v>
      </c>
    </row>
    <row r="1350" spans="1:27" x14ac:dyDescent="0.25">
      <c r="A1350" s="19" t="s">
        <v>1546</v>
      </c>
      <c r="B1350" s="19" t="s">
        <v>1523</v>
      </c>
      <c r="C1350" s="19" t="s">
        <v>1524</v>
      </c>
      <c r="D1350" s="19">
        <v>0</v>
      </c>
      <c r="E1350" s="19" t="s">
        <v>112</v>
      </c>
      <c r="F1350" s="19" t="s">
        <v>113</v>
      </c>
      <c r="G1350" s="19" t="s">
        <v>32</v>
      </c>
      <c r="H1350" s="19" t="s">
        <v>114</v>
      </c>
      <c r="I1350" s="19" t="s">
        <v>115</v>
      </c>
      <c r="J1350" s="19">
        <v>30</v>
      </c>
      <c r="K1350" s="19">
        <v>2.1700000000000001E-2</v>
      </c>
      <c r="L1350" s="19" t="s">
        <v>35</v>
      </c>
      <c r="M1350" s="19" t="s">
        <v>103</v>
      </c>
      <c r="N1350" s="19">
        <v>0</v>
      </c>
      <c r="O1350" s="19">
        <v>0</v>
      </c>
      <c r="P1350" s="19">
        <v>0</v>
      </c>
      <c r="Q1350" s="19">
        <v>0</v>
      </c>
      <c r="R1350" s="19" t="s">
        <v>870</v>
      </c>
      <c r="S1350" s="19">
        <v>0.9</v>
      </c>
      <c r="T1350" s="19">
        <v>1</v>
      </c>
      <c r="U1350" s="19">
        <v>0</v>
      </c>
      <c r="V1350" s="19" t="s">
        <v>36</v>
      </c>
      <c r="W1350" s="19">
        <v>0</v>
      </c>
      <c r="Y1350" s="19" t="s">
        <v>103</v>
      </c>
      <c r="Z1350" s="19">
        <v>50</v>
      </c>
      <c r="AA1350" s="19">
        <v>0</v>
      </c>
    </row>
    <row r="1351" spans="1:27" x14ac:dyDescent="0.25">
      <c r="A1351" s="19" t="s">
        <v>1547</v>
      </c>
      <c r="B1351" s="19" t="s">
        <v>1523</v>
      </c>
      <c r="C1351" s="19" t="s">
        <v>1524</v>
      </c>
      <c r="D1351" s="19">
        <v>1.085</v>
      </c>
      <c r="E1351" s="19" t="s">
        <v>117</v>
      </c>
      <c r="F1351" s="19" t="s">
        <v>118</v>
      </c>
      <c r="G1351" s="19" t="s">
        <v>32</v>
      </c>
      <c r="H1351" s="19" t="s">
        <v>114</v>
      </c>
      <c r="I1351" s="19" t="s">
        <v>115</v>
      </c>
      <c r="J1351" s="19">
        <v>31</v>
      </c>
      <c r="K1351" s="19">
        <v>2.1700000000000001E-2</v>
      </c>
      <c r="L1351" s="19" t="s">
        <v>35</v>
      </c>
      <c r="M1351" s="19" t="s">
        <v>103</v>
      </c>
      <c r="N1351" s="19">
        <v>50</v>
      </c>
      <c r="O1351" s="19">
        <v>50</v>
      </c>
      <c r="P1351" s="19">
        <v>0</v>
      </c>
      <c r="Q1351" s="19">
        <v>0</v>
      </c>
      <c r="R1351" s="19" t="s">
        <v>870</v>
      </c>
      <c r="S1351" s="19">
        <v>0.9</v>
      </c>
      <c r="T1351" s="19">
        <v>1</v>
      </c>
      <c r="U1351" s="19">
        <v>0</v>
      </c>
      <c r="V1351" s="19" t="s">
        <v>41</v>
      </c>
      <c r="W1351" s="19">
        <v>1</v>
      </c>
      <c r="Y1351" s="19" t="s">
        <v>103</v>
      </c>
      <c r="Z1351" s="19">
        <v>50</v>
      </c>
      <c r="AA1351" s="19">
        <v>50</v>
      </c>
    </row>
    <row r="1352" spans="1:27" x14ac:dyDescent="0.25">
      <c r="A1352" s="19" t="s">
        <v>1548</v>
      </c>
      <c r="B1352" s="19" t="s">
        <v>1523</v>
      </c>
      <c r="C1352" s="19" t="s">
        <v>1524</v>
      </c>
      <c r="D1352" s="19">
        <v>1.085</v>
      </c>
      <c r="E1352" s="19" t="s">
        <v>120</v>
      </c>
      <c r="F1352" s="19" t="s">
        <v>121</v>
      </c>
      <c r="G1352" s="19" t="s">
        <v>32</v>
      </c>
      <c r="H1352" s="19" t="s">
        <v>114</v>
      </c>
      <c r="I1352" s="19" t="s">
        <v>115</v>
      </c>
      <c r="J1352" s="19">
        <v>28</v>
      </c>
      <c r="K1352" s="19">
        <v>2.1700000000000001E-2</v>
      </c>
      <c r="L1352" s="19" t="s">
        <v>35</v>
      </c>
      <c r="M1352" s="19" t="s">
        <v>103</v>
      </c>
      <c r="N1352" s="19">
        <v>50</v>
      </c>
      <c r="O1352" s="19">
        <v>50</v>
      </c>
      <c r="P1352" s="19">
        <v>0</v>
      </c>
      <c r="Q1352" s="19">
        <v>0</v>
      </c>
      <c r="R1352" s="19" t="s">
        <v>870</v>
      </c>
      <c r="S1352" s="19">
        <v>0.9</v>
      </c>
      <c r="T1352" s="19">
        <v>1</v>
      </c>
      <c r="U1352" s="19">
        <v>0</v>
      </c>
      <c r="V1352" s="19" t="s">
        <v>41</v>
      </c>
      <c r="W1352" s="19">
        <v>1</v>
      </c>
      <c r="Y1352" s="19" t="s">
        <v>103</v>
      </c>
      <c r="Z1352" s="19">
        <v>50</v>
      </c>
      <c r="AA1352" s="19">
        <v>50</v>
      </c>
    </row>
    <row r="1353" spans="1:27" x14ac:dyDescent="0.25">
      <c r="A1353" s="19" t="s">
        <v>1549</v>
      </c>
      <c r="B1353" s="19" t="s">
        <v>1523</v>
      </c>
      <c r="C1353" s="19" t="s">
        <v>1524</v>
      </c>
      <c r="D1353" s="19">
        <v>1.085</v>
      </c>
      <c r="E1353" s="19" t="s">
        <v>123</v>
      </c>
      <c r="F1353" s="19" t="s">
        <v>124</v>
      </c>
      <c r="G1353" s="19" t="s">
        <v>32</v>
      </c>
      <c r="H1353" s="19" t="s">
        <v>114</v>
      </c>
      <c r="I1353" s="19" t="s">
        <v>115</v>
      </c>
      <c r="J1353" s="19">
        <v>27</v>
      </c>
      <c r="K1353" s="19">
        <v>2.1700000000000001E-2</v>
      </c>
      <c r="L1353" s="19" t="s">
        <v>35</v>
      </c>
      <c r="M1353" s="19" t="s">
        <v>103</v>
      </c>
      <c r="N1353" s="19">
        <v>50</v>
      </c>
      <c r="O1353" s="19">
        <v>50</v>
      </c>
      <c r="P1353" s="19">
        <v>0</v>
      </c>
      <c r="Q1353" s="19">
        <v>0</v>
      </c>
      <c r="R1353" s="19" t="s">
        <v>870</v>
      </c>
      <c r="S1353" s="19">
        <v>0.9</v>
      </c>
      <c r="T1353" s="19">
        <v>1</v>
      </c>
      <c r="U1353" s="19">
        <v>0</v>
      </c>
      <c r="V1353" s="19" t="s">
        <v>41</v>
      </c>
      <c r="W1353" s="19">
        <v>1</v>
      </c>
      <c r="Y1353" s="19" t="s">
        <v>103</v>
      </c>
      <c r="Z1353" s="19">
        <v>50</v>
      </c>
      <c r="AA1353" s="19">
        <v>50</v>
      </c>
    </row>
    <row r="1354" spans="1:27" x14ac:dyDescent="0.25">
      <c r="A1354" s="19" t="s">
        <v>1550</v>
      </c>
      <c r="B1354" s="19" t="s">
        <v>1523</v>
      </c>
      <c r="C1354" s="19" t="s">
        <v>1524</v>
      </c>
      <c r="D1354" s="19">
        <v>1.085</v>
      </c>
      <c r="E1354" s="19" t="s">
        <v>126</v>
      </c>
      <c r="F1354" s="19" t="s">
        <v>127</v>
      </c>
      <c r="G1354" s="19" t="s">
        <v>32</v>
      </c>
      <c r="H1354" s="19" t="s">
        <v>114</v>
      </c>
      <c r="I1354" s="19" t="s">
        <v>115</v>
      </c>
      <c r="J1354" s="19">
        <v>29</v>
      </c>
      <c r="K1354" s="19">
        <v>2.1700000000000001E-2</v>
      </c>
      <c r="L1354" s="19" t="s">
        <v>35</v>
      </c>
      <c r="M1354" s="19" t="s">
        <v>103</v>
      </c>
      <c r="N1354" s="19">
        <v>50</v>
      </c>
      <c r="O1354" s="19">
        <v>50</v>
      </c>
      <c r="P1354" s="19">
        <v>0</v>
      </c>
      <c r="Q1354" s="19">
        <v>0</v>
      </c>
      <c r="R1354" s="19" t="s">
        <v>870</v>
      </c>
      <c r="S1354" s="19">
        <v>0.9</v>
      </c>
      <c r="T1354" s="19">
        <v>1</v>
      </c>
      <c r="U1354" s="19">
        <v>0</v>
      </c>
      <c r="V1354" s="19" t="s">
        <v>41</v>
      </c>
      <c r="W1354" s="19">
        <v>1</v>
      </c>
      <c r="Y1354" s="19" t="s">
        <v>103</v>
      </c>
      <c r="Z1354" s="19">
        <v>50</v>
      </c>
      <c r="AA1354" s="19">
        <v>50</v>
      </c>
    </row>
    <row r="1355" spans="1:27" x14ac:dyDescent="0.25">
      <c r="A1355" s="19" t="s">
        <v>1551</v>
      </c>
      <c r="B1355" s="19" t="s">
        <v>1523</v>
      </c>
      <c r="C1355" s="19" t="s">
        <v>1524</v>
      </c>
      <c r="D1355" s="19">
        <v>1.085</v>
      </c>
      <c r="E1355" s="19" t="s">
        <v>129</v>
      </c>
      <c r="F1355" s="19" t="s">
        <v>130</v>
      </c>
      <c r="G1355" s="19" t="s">
        <v>32</v>
      </c>
      <c r="H1355" s="19" t="s">
        <v>114</v>
      </c>
      <c r="I1355" s="19" t="s">
        <v>115</v>
      </c>
      <c r="J1355" s="19">
        <v>32</v>
      </c>
      <c r="K1355" s="19">
        <v>2.1700000000000001E-2</v>
      </c>
      <c r="L1355" s="19" t="s">
        <v>35</v>
      </c>
      <c r="M1355" s="19" t="s">
        <v>103</v>
      </c>
      <c r="N1355" s="19">
        <v>50</v>
      </c>
      <c r="O1355" s="19">
        <v>50</v>
      </c>
      <c r="P1355" s="19">
        <v>0</v>
      </c>
      <c r="Q1355" s="19">
        <v>0</v>
      </c>
      <c r="R1355" s="19" t="s">
        <v>870</v>
      </c>
      <c r="S1355" s="19">
        <v>0.9</v>
      </c>
      <c r="T1355" s="19">
        <v>1</v>
      </c>
      <c r="U1355" s="19">
        <v>0</v>
      </c>
      <c r="V1355" s="19" t="s">
        <v>41</v>
      </c>
      <c r="W1355" s="19">
        <v>1</v>
      </c>
      <c r="Y1355" s="19" t="s">
        <v>103</v>
      </c>
      <c r="Z1355" s="19">
        <v>50</v>
      </c>
      <c r="AA1355" s="19">
        <v>50</v>
      </c>
    </row>
    <row r="1356" spans="1:27" x14ac:dyDescent="0.25">
      <c r="A1356" s="19" t="s">
        <v>1552</v>
      </c>
      <c r="B1356" s="19" t="s">
        <v>1523</v>
      </c>
      <c r="C1356" s="19" t="s">
        <v>1524</v>
      </c>
      <c r="D1356" s="19">
        <v>2.085</v>
      </c>
      <c r="E1356" s="19" t="s">
        <v>132</v>
      </c>
      <c r="F1356" s="19" t="s">
        <v>133</v>
      </c>
      <c r="G1356" s="19" t="s">
        <v>134</v>
      </c>
      <c r="H1356" s="19" t="s">
        <v>87</v>
      </c>
      <c r="I1356" s="19" t="s">
        <v>135</v>
      </c>
      <c r="J1356" s="19">
        <v>11</v>
      </c>
      <c r="K1356" s="19">
        <v>4.1700000000000001E-2</v>
      </c>
      <c r="L1356" s="19" t="s">
        <v>35</v>
      </c>
      <c r="M1356" s="19" t="s">
        <v>103</v>
      </c>
      <c r="N1356" s="19">
        <v>50</v>
      </c>
      <c r="O1356" s="19">
        <v>50</v>
      </c>
      <c r="P1356" s="19">
        <v>0</v>
      </c>
      <c r="Q1356" s="19">
        <v>0</v>
      </c>
      <c r="R1356" s="19" t="s">
        <v>870</v>
      </c>
      <c r="S1356" s="19">
        <v>0.9</v>
      </c>
      <c r="T1356" s="19">
        <v>1</v>
      </c>
      <c r="U1356" s="19">
        <v>0</v>
      </c>
      <c r="V1356" s="19" t="s">
        <v>41</v>
      </c>
      <c r="W1356" s="19">
        <v>1</v>
      </c>
      <c r="Y1356" s="19" t="s">
        <v>103</v>
      </c>
      <c r="Z1356" s="19">
        <v>50</v>
      </c>
      <c r="AA1356" s="19">
        <v>50</v>
      </c>
    </row>
    <row r="1357" spans="1:27" x14ac:dyDescent="0.25">
      <c r="A1357" s="19" t="s">
        <v>1553</v>
      </c>
      <c r="B1357" s="19" t="s">
        <v>1523</v>
      </c>
      <c r="C1357" s="19" t="s">
        <v>1524</v>
      </c>
      <c r="D1357" s="19">
        <v>0.463287</v>
      </c>
      <c r="E1357" s="19" t="s">
        <v>137</v>
      </c>
      <c r="F1357" s="19" t="s">
        <v>138</v>
      </c>
      <c r="G1357" s="19" t="s">
        <v>134</v>
      </c>
      <c r="H1357" s="19" t="s">
        <v>87</v>
      </c>
      <c r="I1357" s="19" t="s">
        <v>135</v>
      </c>
      <c r="J1357" s="19">
        <v>9</v>
      </c>
      <c r="K1357" s="19">
        <v>4.1700000000000001E-2</v>
      </c>
      <c r="L1357" s="19" t="s">
        <v>35</v>
      </c>
      <c r="M1357" s="19" t="s">
        <v>40</v>
      </c>
      <c r="N1357" s="19">
        <v>11.11</v>
      </c>
      <c r="O1357" s="19">
        <v>11.11</v>
      </c>
      <c r="P1357" s="19">
        <v>0</v>
      </c>
      <c r="Q1357" s="19">
        <v>0</v>
      </c>
      <c r="R1357" s="19" t="s">
        <v>870</v>
      </c>
      <c r="S1357" s="19">
        <v>0.9</v>
      </c>
      <c r="T1357" s="19">
        <v>1</v>
      </c>
      <c r="U1357" s="19">
        <v>0</v>
      </c>
      <c r="W1357" s="19">
        <v>0</v>
      </c>
      <c r="X1357" s="19">
        <v>1</v>
      </c>
      <c r="Y1357" s="19" t="s">
        <v>40</v>
      </c>
      <c r="Z1357" s="19">
        <v>33.33</v>
      </c>
      <c r="AA1357" s="19">
        <v>11.11</v>
      </c>
    </row>
    <row r="1358" spans="1:27" x14ac:dyDescent="0.25">
      <c r="A1358" s="19" t="s">
        <v>1554</v>
      </c>
      <c r="B1358" s="19" t="s">
        <v>1523</v>
      </c>
      <c r="C1358" s="19" t="s">
        <v>1524</v>
      </c>
      <c r="D1358" s="19">
        <v>0.463287</v>
      </c>
      <c r="E1358" s="19" t="s">
        <v>140</v>
      </c>
      <c r="F1358" s="19" t="s">
        <v>141</v>
      </c>
      <c r="G1358" s="19" t="s">
        <v>134</v>
      </c>
      <c r="H1358" s="19" t="s">
        <v>87</v>
      </c>
      <c r="I1358" s="19" t="s">
        <v>135</v>
      </c>
      <c r="J1358" s="19">
        <v>10</v>
      </c>
      <c r="K1358" s="19">
        <v>4.1700000000000001E-2</v>
      </c>
      <c r="L1358" s="19" t="s">
        <v>35</v>
      </c>
      <c r="M1358" s="19" t="s">
        <v>40</v>
      </c>
      <c r="N1358" s="19">
        <v>11.11</v>
      </c>
      <c r="O1358" s="19">
        <v>11.11</v>
      </c>
      <c r="P1358" s="19">
        <v>0</v>
      </c>
      <c r="Q1358" s="19">
        <v>0</v>
      </c>
      <c r="R1358" s="19" t="s">
        <v>870</v>
      </c>
      <c r="S1358" s="19">
        <v>0.9</v>
      </c>
      <c r="T1358" s="19">
        <v>1</v>
      </c>
      <c r="U1358" s="19">
        <v>0</v>
      </c>
      <c r="W1358" s="19">
        <v>0</v>
      </c>
      <c r="X1358" s="19">
        <v>1</v>
      </c>
      <c r="Y1358" s="19" t="s">
        <v>40</v>
      </c>
      <c r="Z1358" s="19">
        <v>33.33</v>
      </c>
      <c r="AA1358" s="19">
        <v>11.11</v>
      </c>
    </row>
    <row r="1359" spans="1:27" x14ac:dyDescent="0.25">
      <c r="A1359" s="19" t="s">
        <v>1555</v>
      </c>
      <c r="B1359" s="19" t="s">
        <v>1523</v>
      </c>
      <c r="C1359" s="19" t="s">
        <v>1524</v>
      </c>
      <c r="D1359" s="19">
        <v>1.25</v>
      </c>
      <c r="E1359" s="19" t="s">
        <v>144</v>
      </c>
      <c r="F1359" s="19" t="s">
        <v>145</v>
      </c>
      <c r="G1359" s="19" t="s">
        <v>134</v>
      </c>
      <c r="H1359" s="19" t="s">
        <v>146</v>
      </c>
      <c r="I1359" s="19" t="s">
        <v>147</v>
      </c>
      <c r="J1359" s="19">
        <v>4</v>
      </c>
      <c r="K1359" s="19">
        <v>2.5000000000000001E-2</v>
      </c>
      <c r="L1359" s="19" t="s">
        <v>35</v>
      </c>
      <c r="M1359" s="19" t="s">
        <v>103</v>
      </c>
      <c r="N1359" s="19">
        <v>50</v>
      </c>
      <c r="O1359" s="19">
        <v>50</v>
      </c>
      <c r="P1359" s="19">
        <v>0</v>
      </c>
      <c r="Q1359" s="19">
        <v>0</v>
      </c>
      <c r="R1359" s="19" t="s">
        <v>870</v>
      </c>
      <c r="S1359" s="19">
        <v>0.9</v>
      </c>
      <c r="T1359" s="19">
        <v>1</v>
      </c>
      <c r="U1359" s="19">
        <v>0</v>
      </c>
      <c r="V1359" s="19" t="s">
        <v>41</v>
      </c>
      <c r="W1359" s="19">
        <v>1</v>
      </c>
      <c r="Y1359" s="19" t="s">
        <v>103</v>
      </c>
      <c r="Z1359" s="19">
        <v>50</v>
      </c>
      <c r="AA1359" s="19">
        <v>50</v>
      </c>
    </row>
    <row r="1360" spans="1:27" x14ac:dyDescent="0.25">
      <c r="A1360" s="19" t="s">
        <v>1556</v>
      </c>
      <c r="B1360" s="19" t="s">
        <v>1523</v>
      </c>
      <c r="C1360" s="19" t="s">
        <v>1524</v>
      </c>
      <c r="D1360" s="19">
        <v>1.25</v>
      </c>
      <c r="E1360" s="19" t="s">
        <v>149</v>
      </c>
      <c r="F1360" s="19" t="s">
        <v>150</v>
      </c>
      <c r="G1360" s="19" t="s">
        <v>134</v>
      </c>
      <c r="H1360" s="19" t="s">
        <v>146</v>
      </c>
      <c r="I1360" s="19" t="s">
        <v>147</v>
      </c>
      <c r="J1360" s="19">
        <v>5</v>
      </c>
      <c r="K1360" s="19">
        <v>2.5000000000000001E-2</v>
      </c>
      <c r="L1360" s="19" t="s">
        <v>35</v>
      </c>
      <c r="M1360" s="19" t="s">
        <v>103</v>
      </c>
      <c r="N1360" s="19">
        <v>50</v>
      </c>
      <c r="O1360" s="19">
        <v>50</v>
      </c>
      <c r="P1360" s="19">
        <v>0</v>
      </c>
      <c r="Q1360" s="19">
        <v>0</v>
      </c>
      <c r="R1360" s="19" t="s">
        <v>870</v>
      </c>
      <c r="S1360" s="19">
        <v>0.9</v>
      </c>
      <c r="T1360" s="19">
        <v>1</v>
      </c>
      <c r="U1360" s="19">
        <v>0</v>
      </c>
      <c r="V1360" s="19" t="s">
        <v>41</v>
      </c>
      <c r="W1360" s="19">
        <v>1</v>
      </c>
      <c r="Y1360" s="19" t="s">
        <v>103</v>
      </c>
      <c r="Z1360" s="19">
        <v>50</v>
      </c>
      <c r="AA1360" s="19">
        <v>50</v>
      </c>
    </row>
    <row r="1361" spans="1:27" x14ac:dyDescent="0.25">
      <c r="A1361" s="19" t="s">
        <v>1557</v>
      </c>
      <c r="B1361" s="19" t="s">
        <v>1523</v>
      </c>
      <c r="C1361" s="19" t="s">
        <v>1524</v>
      </c>
      <c r="D1361" s="19">
        <v>1.25</v>
      </c>
      <c r="E1361" s="19" t="s">
        <v>152</v>
      </c>
      <c r="F1361" s="19" t="s">
        <v>153</v>
      </c>
      <c r="G1361" s="19" t="s">
        <v>134</v>
      </c>
      <c r="H1361" s="19" t="s">
        <v>146</v>
      </c>
      <c r="I1361" s="19" t="s">
        <v>147</v>
      </c>
      <c r="J1361" s="19">
        <v>6</v>
      </c>
      <c r="K1361" s="19">
        <v>2.5000000000000001E-2</v>
      </c>
      <c r="L1361" s="19" t="s">
        <v>35</v>
      </c>
      <c r="M1361" s="19" t="s">
        <v>103</v>
      </c>
      <c r="N1361" s="19">
        <v>50</v>
      </c>
      <c r="O1361" s="19">
        <v>50</v>
      </c>
      <c r="P1361" s="19">
        <v>0</v>
      </c>
      <c r="Q1361" s="19">
        <v>0</v>
      </c>
      <c r="R1361" s="19" t="s">
        <v>870</v>
      </c>
      <c r="S1361" s="19">
        <v>0.9</v>
      </c>
      <c r="T1361" s="19">
        <v>1</v>
      </c>
      <c r="U1361" s="19">
        <v>0</v>
      </c>
      <c r="V1361" s="19" t="s">
        <v>41</v>
      </c>
      <c r="W1361" s="19">
        <v>1</v>
      </c>
      <c r="Y1361" s="19" t="s">
        <v>103</v>
      </c>
      <c r="Z1361" s="19">
        <v>50</v>
      </c>
      <c r="AA1361" s="19">
        <v>50</v>
      </c>
    </row>
    <row r="1362" spans="1:27" x14ac:dyDescent="0.25">
      <c r="A1362" s="19" t="s">
        <v>1558</v>
      </c>
      <c r="B1362" s="19" t="s">
        <v>1523</v>
      </c>
      <c r="C1362" s="19" t="s">
        <v>1524</v>
      </c>
      <c r="D1362" s="19">
        <v>1.25</v>
      </c>
      <c r="E1362" s="19" t="s">
        <v>155</v>
      </c>
      <c r="F1362" s="19" t="s">
        <v>156</v>
      </c>
      <c r="G1362" s="19" t="s">
        <v>134</v>
      </c>
      <c r="H1362" s="19" t="s">
        <v>146</v>
      </c>
      <c r="I1362" s="19" t="s">
        <v>147</v>
      </c>
      <c r="J1362" s="19">
        <v>7</v>
      </c>
      <c r="K1362" s="19">
        <v>2.5000000000000001E-2</v>
      </c>
      <c r="L1362" s="19" t="s">
        <v>35</v>
      </c>
      <c r="M1362" s="19" t="s">
        <v>103</v>
      </c>
      <c r="N1362" s="19">
        <v>50</v>
      </c>
      <c r="O1362" s="19">
        <v>50</v>
      </c>
      <c r="P1362" s="19">
        <v>0</v>
      </c>
      <c r="Q1362" s="19">
        <v>0</v>
      </c>
      <c r="R1362" s="19" t="s">
        <v>870</v>
      </c>
      <c r="S1362" s="19">
        <v>0.9</v>
      </c>
      <c r="T1362" s="19">
        <v>1</v>
      </c>
      <c r="U1362" s="19">
        <v>0</v>
      </c>
      <c r="V1362" s="19" t="s">
        <v>41</v>
      </c>
      <c r="W1362" s="19">
        <v>1</v>
      </c>
      <c r="Y1362" s="19" t="s">
        <v>103</v>
      </c>
      <c r="Z1362" s="19">
        <v>50</v>
      </c>
      <c r="AA1362" s="19">
        <v>50</v>
      </c>
    </row>
    <row r="1363" spans="1:27" x14ac:dyDescent="0.25">
      <c r="A1363" s="19" t="s">
        <v>1559</v>
      </c>
      <c r="B1363" s="19" t="s">
        <v>1523</v>
      </c>
      <c r="C1363" s="19" t="s">
        <v>1524</v>
      </c>
      <c r="D1363" s="19">
        <v>1.25</v>
      </c>
      <c r="E1363" s="19" t="s">
        <v>158</v>
      </c>
      <c r="F1363" s="19" t="s">
        <v>159</v>
      </c>
      <c r="G1363" s="19" t="s">
        <v>134</v>
      </c>
      <c r="H1363" s="19" t="s">
        <v>146</v>
      </c>
      <c r="I1363" s="19" t="s">
        <v>147</v>
      </c>
      <c r="J1363" s="19">
        <v>8</v>
      </c>
      <c r="K1363" s="19">
        <v>2.5000000000000001E-2</v>
      </c>
      <c r="L1363" s="19" t="s">
        <v>35</v>
      </c>
      <c r="M1363" s="19" t="s">
        <v>103</v>
      </c>
      <c r="N1363" s="19">
        <v>50</v>
      </c>
      <c r="O1363" s="19">
        <v>50</v>
      </c>
      <c r="P1363" s="19">
        <v>0</v>
      </c>
      <c r="Q1363" s="19">
        <v>0</v>
      </c>
      <c r="R1363" s="19" t="s">
        <v>870</v>
      </c>
      <c r="S1363" s="19">
        <v>0.9</v>
      </c>
      <c r="T1363" s="19">
        <v>1</v>
      </c>
      <c r="U1363" s="19">
        <v>0</v>
      </c>
      <c r="V1363" s="19" t="s">
        <v>41</v>
      </c>
      <c r="W1363" s="19">
        <v>1</v>
      </c>
      <c r="Y1363" s="19" t="s">
        <v>103</v>
      </c>
      <c r="Z1363" s="19">
        <v>50</v>
      </c>
      <c r="AA1363" s="19">
        <v>50</v>
      </c>
    </row>
    <row r="1364" spans="1:27" x14ac:dyDescent="0.25">
      <c r="A1364" s="19" t="s">
        <v>1560</v>
      </c>
      <c r="B1364" s="19" t="s">
        <v>1523</v>
      </c>
      <c r="C1364" s="19" t="s">
        <v>1524</v>
      </c>
      <c r="D1364" s="19">
        <v>3.33</v>
      </c>
      <c r="E1364" s="19" t="s">
        <v>161</v>
      </c>
      <c r="F1364" s="19" t="s">
        <v>162</v>
      </c>
      <c r="G1364" s="19" t="s">
        <v>163</v>
      </c>
      <c r="I1364" s="19" t="s">
        <v>164</v>
      </c>
      <c r="J1364" s="19">
        <v>1</v>
      </c>
      <c r="K1364" s="19">
        <v>3.3300000000000003E-2</v>
      </c>
      <c r="L1364" s="19" t="s">
        <v>35</v>
      </c>
      <c r="M1364" s="19" t="s">
        <v>165</v>
      </c>
      <c r="N1364" s="19">
        <v>100</v>
      </c>
      <c r="O1364" s="19">
        <v>100</v>
      </c>
      <c r="P1364" s="19">
        <v>0</v>
      </c>
      <c r="Q1364" s="19">
        <v>0</v>
      </c>
      <c r="R1364" s="19" t="s">
        <v>870</v>
      </c>
      <c r="S1364" s="19">
        <v>0.9</v>
      </c>
      <c r="T1364" s="19">
        <v>1</v>
      </c>
      <c r="U1364" s="19">
        <v>0</v>
      </c>
      <c r="W1364" s="19">
        <v>0</v>
      </c>
      <c r="X1364" s="19">
        <v>100</v>
      </c>
      <c r="Z1364" s="19">
        <v>0</v>
      </c>
      <c r="AA1364" s="19">
        <v>100</v>
      </c>
    </row>
    <row r="1365" spans="1:27" x14ac:dyDescent="0.25">
      <c r="A1365" s="19" t="s">
        <v>1561</v>
      </c>
      <c r="B1365" s="19" t="s">
        <v>1523</v>
      </c>
      <c r="C1365" s="19" t="s">
        <v>1524</v>
      </c>
      <c r="D1365" s="19">
        <v>0</v>
      </c>
      <c r="E1365" s="19" t="s">
        <v>167</v>
      </c>
      <c r="F1365" s="19" t="s">
        <v>168</v>
      </c>
      <c r="G1365" s="19" t="s">
        <v>163</v>
      </c>
      <c r="I1365" s="19" t="s">
        <v>164</v>
      </c>
      <c r="J1365" s="19">
        <v>3</v>
      </c>
      <c r="K1365" s="19">
        <v>3.3300000000000003E-2</v>
      </c>
      <c r="L1365" s="19" t="s">
        <v>35</v>
      </c>
      <c r="M1365" s="19" t="s">
        <v>165</v>
      </c>
      <c r="N1365" s="19">
        <v>0</v>
      </c>
      <c r="O1365" s="19">
        <v>0</v>
      </c>
      <c r="P1365" s="19">
        <v>0</v>
      </c>
      <c r="Q1365" s="19">
        <v>0</v>
      </c>
      <c r="R1365" s="19" t="s">
        <v>870</v>
      </c>
      <c r="S1365" s="19">
        <v>0.9</v>
      </c>
      <c r="T1365" s="19">
        <v>1</v>
      </c>
      <c r="U1365" s="19">
        <v>0</v>
      </c>
      <c r="W1365" s="19">
        <v>0</v>
      </c>
      <c r="X1365" s="19">
        <v>0</v>
      </c>
      <c r="Z1365" s="19">
        <v>0</v>
      </c>
      <c r="AA1365" s="19">
        <v>0</v>
      </c>
    </row>
    <row r="1366" spans="1:27" x14ac:dyDescent="0.25">
      <c r="A1366" s="19" t="s">
        <v>1562</v>
      </c>
      <c r="B1366" s="19" t="s">
        <v>1523</v>
      </c>
      <c r="C1366" s="19" t="s">
        <v>1524</v>
      </c>
      <c r="D1366" s="19">
        <v>1.7982</v>
      </c>
      <c r="E1366" s="19" t="s">
        <v>170</v>
      </c>
      <c r="F1366" s="19" t="s">
        <v>171</v>
      </c>
      <c r="G1366" s="19" t="s">
        <v>163</v>
      </c>
      <c r="I1366" s="19" t="s">
        <v>164</v>
      </c>
      <c r="J1366" s="19">
        <v>2</v>
      </c>
      <c r="K1366" s="19">
        <v>3.3300000000000003E-2</v>
      </c>
      <c r="L1366" s="19" t="s">
        <v>35</v>
      </c>
      <c r="M1366" s="19" t="s">
        <v>165</v>
      </c>
      <c r="N1366" s="19">
        <v>54</v>
      </c>
      <c r="O1366" s="19">
        <v>54</v>
      </c>
      <c r="P1366" s="19">
        <v>0</v>
      </c>
      <c r="Q1366" s="19">
        <v>0</v>
      </c>
      <c r="R1366" s="19" t="s">
        <v>870</v>
      </c>
      <c r="S1366" s="19">
        <v>0.9</v>
      </c>
      <c r="T1366" s="19">
        <v>1</v>
      </c>
      <c r="U1366" s="19">
        <v>0</v>
      </c>
      <c r="W1366" s="19">
        <v>0</v>
      </c>
      <c r="X1366" s="19">
        <v>54</v>
      </c>
      <c r="Z1366" s="19">
        <v>0</v>
      </c>
      <c r="AA1366" s="19">
        <v>54</v>
      </c>
    </row>
    <row r="1367" spans="1:27" x14ac:dyDescent="0.25">
      <c r="A1367" s="19" t="s">
        <v>1563</v>
      </c>
      <c r="B1367" s="19" t="s">
        <v>1564</v>
      </c>
      <c r="C1367" s="19" t="s">
        <v>1565</v>
      </c>
      <c r="D1367" s="19">
        <v>0</v>
      </c>
      <c r="E1367" s="19" t="s">
        <v>30</v>
      </c>
      <c r="F1367" s="19" t="s">
        <v>31</v>
      </c>
      <c r="G1367" s="19" t="s">
        <v>32</v>
      </c>
      <c r="H1367" s="19" t="s">
        <v>33</v>
      </c>
      <c r="I1367" s="19" t="s">
        <v>34</v>
      </c>
      <c r="J1367" s="19">
        <v>17</v>
      </c>
      <c r="K1367" s="19">
        <v>1.6299999999999999E-2</v>
      </c>
      <c r="L1367" s="19" t="s">
        <v>35</v>
      </c>
      <c r="N1367" s="19">
        <v>0</v>
      </c>
      <c r="O1367" s="19">
        <v>0</v>
      </c>
      <c r="P1367" s="19">
        <v>0</v>
      </c>
      <c r="Q1367" s="19">
        <v>0</v>
      </c>
      <c r="S1367" s="19">
        <v>1</v>
      </c>
      <c r="T1367" s="19">
        <v>1</v>
      </c>
      <c r="U1367" s="19">
        <v>0</v>
      </c>
      <c r="V1367" s="19" t="s">
        <v>36</v>
      </c>
      <c r="W1367" s="19">
        <v>0</v>
      </c>
      <c r="Z1367" s="19">
        <v>0</v>
      </c>
      <c r="AA1367" s="19">
        <v>0</v>
      </c>
    </row>
    <row r="1368" spans="1:27" x14ac:dyDescent="0.25">
      <c r="A1368" s="19" t="s">
        <v>1566</v>
      </c>
      <c r="B1368" s="19" t="s">
        <v>1564</v>
      </c>
      <c r="C1368" s="19" t="s">
        <v>1565</v>
      </c>
      <c r="D1368" s="19">
        <v>0.54327899999999996</v>
      </c>
      <c r="E1368" s="19" t="s">
        <v>38</v>
      </c>
      <c r="F1368" s="19" t="s">
        <v>39</v>
      </c>
      <c r="G1368" s="19" t="s">
        <v>32</v>
      </c>
      <c r="H1368" s="19" t="s">
        <v>33</v>
      </c>
      <c r="I1368" s="19" t="s">
        <v>34</v>
      </c>
      <c r="J1368" s="19">
        <v>19</v>
      </c>
      <c r="K1368" s="19">
        <v>1.6299999999999999E-2</v>
      </c>
      <c r="L1368" s="19" t="s">
        <v>35</v>
      </c>
      <c r="M1368" s="19" t="s">
        <v>40</v>
      </c>
      <c r="N1368" s="19">
        <v>33.33</v>
      </c>
      <c r="O1368" s="19">
        <v>33.33</v>
      </c>
      <c r="P1368" s="19">
        <v>0</v>
      </c>
      <c r="Q1368" s="19">
        <v>0</v>
      </c>
      <c r="S1368" s="19">
        <v>1</v>
      </c>
      <c r="T1368" s="19">
        <v>1</v>
      </c>
      <c r="U1368" s="19">
        <v>0</v>
      </c>
      <c r="V1368" s="19" t="s">
        <v>41</v>
      </c>
      <c r="W1368" s="19">
        <v>1</v>
      </c>
      <c r="Y1368" s="19" t="s">
        <v>40</v>
      </c>
      <c r="Z1368" s="19">
        <v>33.33</v>
      </c>
      <c r="AA1368" s="19">
        <v>33.33</v>
      </c>
    </row>
    <row r="1369" spans="1:27" x14ac:dyDescent="0.25">
      <c r="A1369" s="19" t="s">
        <v>1567</v>
      </c>
      <c r="B1369" s="19" t="s">
        <v>1564</v>
      </c>
      <c r="C1369" s="19" t="s">
        <v>1565</v>
      </c>
      <c r="D1369" s="19">
        <v>0</v>
      </c>
      <c r="E1369" s="19" t="s">
        <v>43</v>
      </c>
      <c r="F1369" s="19" t="s">
        <v>44</v>
      </c>
      <c r="G1369" s="19" t="s">
        <v>32</v>
      </c>
      <c r="H1369" s="19" t="s">
        <v>33</v>
      </c>
      <c r="I1369" s="19" t="s">
        <v>34</v>
      </c>
      <c r="J1369" s="19">
        <v>18</v>
      </c>
      <c r="K1369" s="19">
        <v>1.6299999999999999E-2</v>
      </c>
      <c r="L1369" s="19" t="s">
        <v>35</v>
      </c>
      <c r="N1369" s="19">
        <v>0</v>
      </c>
      <c r="O1369" s="19">
        <v>0</v>
      </c>
      <c r="P1369" s="19">
        <v>0</v>
      </c>
      <c r="Q1369" s="19">
        <v>0</v>
      </c>
      <c r="S1369" s="19">
        <v>1</v>
      </c>
      <c r="T1369" s="19">
        <v>1</v>
      </c>
      <c r="U1369" s="19">
        <v>0</v>
      </c>
      <c r="V1369" s="19" t="s">
        <v>36</v>
      </c>
      <c r="W1369" s="19">
        <v>0</v>
      </c>
      <c r="Z1369" s="19">
        <v>0</v>
      </c>
      <c r="AA1369" s="19">
        <v>0</v>
      </c>
    </row>
    <row r="1370" spans="1:27" x14ac:dyDescent="0.25">
      <c r="A1370" s="19" t="s">
        <v>1568</v>
      </c>
      <c r="B1370" s="19" t="s">
        <v>1564</v>
      </c>
      <c r="C1370" s="19" t="s">
        <v>1565</v>
      </c>
      <c r="D1370" s="19">
        <v>0</v>
      </c>
      <c r="E1370" s="19" t="s">
        <v>46</v>
      </c>
      <c r="F1370" s="19" t="s">
        <v>47</v>
      </c>
      <c r="G1370" s="19" t="s">
        <v>32</v>
      </c>
      <c r="H1370" s="19" t="s">
        <v>33</v>
      </c>
      <c r="I1370" s="19" t="s">
        <v>34</v>
      </c>
      <c r="J1370" s="19">
        <v>15</v>
      </c>
      <c r="K1370" s="19">
        <v>1.6299999999999999E-2</v>
      </c>
      <c r="L1370" s="19" t="s">
        <v>35</v>
      </c>
      <c r="N1370" s="19">
        <v>0</v>
      </c>
      <c r="O1370" s="19">
        <v>0</v>
      </c>
      <c r="P1370" s="19">
        <v>0</v>
      </c>
      <c r="Q1370" s="19">
        <v>0</v>
      </c>
      <c r="S1370" s="19">
        <v>1</v>
      </c>
      <c r="T1370" s="19">
        <v>1</v>
      </c>
      <c r="U1370" s="19">
        <v>0</v>
      </c>
      <c r="V1370" s="19" t="s">
        <v>36</v>
      </c>
      <c r="W1370" s="19">
        <v>0</v>
      </c>
      <c r="Z1370" s="19">
        <v>0</v>
      </c>
      <c r="AA1370" s="19">
        <v>0</v>
      </c>
    </row>
    <row r="1371" spans="1:27" x14ac:dyDescent="0.25">
      <c r="A1371" s="19" t="s">
        <v>1569</v>
      </c>
      <c r="B1371" s="19" t="s">
        <v>1564</v>
      </c>
      <c r="C1371" s="19" t="s">
        <v>1565</v>
      </c>
      <c r="D1371" s="19">
        <v>0.54327899999999996</v>
      </c>
      <c r="E1371" s="19" t="s">
        <v>49</v>
      </c>
      <c r="F1371" s="19" t="s">
        <v>50</v>
      </c>
      <c r="G1371" s="19" t="s">
        <v>32</v>
      </c>
      <c r="H1371" s="19" t="s">
        <v>33</v>
      </c>
      <c r="I1371" s="19" t="s">
        <v>34</v>
      </c>
      <c r="J1371" s="19">
        <v>12</v>
      </c>
      <c r="K1371" s="19">
        <v>1.6299999999999999E-2</v>
      </c>
      <c r="L1371" s="19" t="s">
        <v>35</v>
      </c>
      <c r="M1371" s="19" t="s">
        <v>40</v>
      </c>
      <c r="N1371" s="19">
        <v>33.33</v>
      </c>
      <c r="O1371" s="19">
        <v>33.33</v>
      </c>
      <c r="P1371" s="19">
        <v>0</v>
      </c>
      <c r="Q1371" s="19">
        <v>0</v>
      </c>
      <c r="S1371" s="19">
        <v>1</v>
      </c>
      <c r="T1371" s="19">
        <v>1</v>
      </c>
      <c r="U1371" s="19">
        <v>0</v>
      </c>
      <c r="V1371" s="19" t="s">
        <v>41</v>
      </c>
      <c r="W1371" s="19">
        <v>1</v>
      </c>
      <c r="Y1371" s="19" t="s">
        <v>40</v>
      </c>
      <c r="Z1371" s="19">
        <v>33.33</v>
      </c>
      <c r="AA1371" s="19">
        <v>33.33</v>
      </c>
    </row>
    <row r="1372" spans="1:27" x14ac:dyDescent="0.25">
      <c r="A1372" s="19" t="s">
        <v>1570</v>
      </c>
      <c r="B1372" s="19" t="s">
        <v>1564</v>
      </c>
      <c r="C1372" s="19" t="s">
        <v>1565</v>
      </c>
      <c r="D1372" s="19">
        <v>0</v>
      </c>
      <c r="E1372" s="19" t="s">
        <v>52</v>
      </c>
      <c r="F1372" s="19" t="s">
        <v>53</v>
      </c>
      <c r="G1372" s="19" t="s">
        <v>32</v>
      </c>
      <c r="H1372" s="19" t="s">
        <v>33</v>
      </c>
      <c r="I1372" s="19" t="s">
        <v>34</v>
      </c>
      <c r="J1372" s="19">
        <v>16</v>
      </c>
      <c r="K1372" s="19">
        <v>1.6299999999999999E-2</v>
      </c>
      <c r="L1372" s="19" t="s">
        <v>35</v>
      </c>
      <c r="N1372" s="19">
        <v>0</v>
      </c>
      <c r="O1372" s="19">
        <v>0</v>
      </c>
      <c r="P1372" s="19">
        <v>0</v>
      </c>
      <c r="Q1372" s="19">
        <v>0</v>
      </c>
      <c r="S1372" s="19">
        <v>1</v>
      </c>
      <c r="T1372" s="19">
        <v>1</v>
      </c>
      <c r="U1372" s="19">
        <v>0</v>
      </c>
      <c r="V1372" s="19" t="s">
        <v>36</v>
      </c>
      <c r="W1372" s="19">
        <v>0</v>
      </c>
      <c r="Z1372" s="19">
        <v>0</v>
      </c>
      <c r="AA1372" s="19">
        <v>0</v>
      </c>
    </row>
    <row r="1373" spans="1:27" x14ac:dyDescent="0.25">
      <c r="A1373" s="19" t="s">
        <v>1571</v>
      </c>
      <c r="B1373" s="19" t="s">
        <v>1564</v>
      </c>
      <c r="C1373" s="19" t="s">
        <v>1565</v>
      </c>
      <c r="D1373" s="19">
        <v>0.54327899999999996</v>
      </c>
      <c r="E1373" s="19" t="s">
        <v>55</v>
      </c>
      <c r="F1373" s="19" t="s">
        <v>56</v>
      </c>
      <c r="G1373" s="19" t="s">
        <v>32</v>
      </c>
      <c r="H1373" s="19" t="s">
        <v>33</v>
      </c>
      <c r="I1373" s="19" t="s">
        <v>34</v>
      </c>
      <c r="J1373" s="19">
        <v>14</v>
      </c>
      <c r="K1373" s="19">
        <v>1.6299999999999999E-2</v>
      </c>
      <c r="L1373" s="19" t="s">
        <v>35</v>
      </c>
      <c r="M1373" s="19" t="s">
        <v>40</v>
      </c>
      <c r="N1373" s="19">
        <v>33.33</v>
      </c>
      <c r="O1373" s="19">
        <v>33.33</v>
      </c>
      <c r="P1373" s="19">
        <v>0</v>
      </c>
      <c r="Q1373" s="19">
        <v>0</v>
      </c>
      <c r="S1373" s="19">
        <v>1</v>
      </c>
      <c r="T1373" s="19">
        <v>1</v>
      </c>
      <c r="U1373" s="19">
        <v>0</v>
      </c>
      <c r="V1373" s="19" t="s">
        <v>41</v>
      </c>
      <c r="W1373" s="19">
        <v>1</v>
      </c>
      <c r="Y1373" s="19" t="s">
        <v>40</v>
      </c>
      <c r="Z1373" s="19">
        <v>33.33</v>
      </c>
      <c r="AA1373" s="19">
        <v>33.33</v>
      </c>
    </row>
    <row r="1374" spans="1:27" x14ac:dyDescent="0.25">
      <c r="A1374" s="19" t="s">
        <v>1572</v>
      </c>
      <c r="B1374" s="19" t="s">
        <v>1564</v>
      </c>
      <c r="C1374" s="19" t="s">
        <v>1565</v>
      </c>
      <c r="D1374" s="19">
        <v>0.54327899999999996</v>
      </c>
      <c r="E1374" s="19" t="s">
        <v>58</v>
      </c>
      <c r="F1374" s="19" t="s">
        <v>59</v>
      </c>
      <c r="G1374" s="19" t="s">
        <v>32</v>
      </c>
      <c r="H1374" s="19" t="s">
        <v>33</v>
      </c>
      <c r="I1374" s="19" t="s">
        <v>34</v>
      </c>
      <c r="J1374" s="19">
        <v>13</v>
      </c>
      <c r="K1374" s="19">
        <v>1.6299999999999999E-2</v>
      </c>
      <c r="L1374" s="19" t="s">
        <v>35</v>
      </c>
      <c r="M1374" s="19" t="s">
        <v>40</v>
      </c>
      <c r="N1374" s="19">
        <v>33.33</v>
      </c>
      <c r="O1374" s="19">
        <v>33.33</v>
      </c>
      <c r="P1374" s="19">
        <v>0</v>
      </c>
      <c r="Q1374" s="19">
        <v>0</v>
      </c>
      <c r="S1374" s="19">
        <v>1</v>
      </c>
      <c r="T1374" s="19">
        <v>1</v>
      </c>
      <c r="U1374" s="19">
        <v>0</v>
      </c>
      <c r="V1374" s="19" t="s">
        <v>41</v>
      </c>
      <c r="W1374" s="19">
        <v>1</v>
      </c>
      <c r="Y1374" s="19" t="s">
        <v>40</v>
      </c>
      <c r="Z1374" s="19">
        <v>33.33</v>
      </c>
      <c r="AA1374" s="19">
        <v>33.33</v>
      </c>
    </row>
    <row r="1375" spans="1:27" x14ac:dyDescent="0.25">
      <c r="A1375" s="19" t="s">
        <v>1573</v>
      </c>
      <c r="B1375" s="19" t="s">
        <v>1564</v>
      </c>
      <c r="C1375" s="19" t="s">
        <v>1565</v>
      </c>
      <c r="D1375" s="19">
        <v>0</v>
      </c>
      <c r="E1375" s="19" t="s">
        <v>61</v>
      </c>
      <c r="F1375" s="19" t="s">
        <v>62</v>
      </c>
      <c r="G1375" s="19" t="s">
        <v>32</v>
      </c>
      <c r="H1375" s="19" t="s">
        <v>63</v>
      </c>
      <c r="I1375" s="19" t="s">
        <v>64</v>
      </c>
      <c r="J1375" s="19">
        <v>22</v>
      </c>
      <c r="K1375" s="19">
        <v>1.8599999999999998E-2</v>
      </c>
      <c r="L1375" s="19" t="s">
        <v>35</v>
      </c>
      <c r="N1375" s="19">
        <v>0</v>
      </c>
      <c r="O1375" s="19">
        <v>0</v>
      </c>
      <c r="P1375" s="19">
        <v>0</v>
      </c>
      <c r="Q1375" s="19">
        <v>0</v>
      </c>
      <c r="S1375" s="19">
        <v>1</v>
      </c>
      <c r="T1375" s="19">
        <v>1</v>
      </c>
      <c r="U1375" s="19">
        <v>0</v>
      </c>
      <c r="V1375" s="19" t="s">
        <v>36</v>
      </c>
      <c r="W1375" s="19">
        <v>0</v>
      </c>
      <c r="Z1375" s="19">
        <v>0</v>
      </c>
      <c r="AA1375" s="19">
        <v>0</v>
      </c>
    </row>
    <row r="1376" spans="1:27" x14ac:dyDescent="0.25">
      <c r="A1376" s="19" t="s">
        <v>1574</v>
      </c>
      <c r="B1376" s="19" t="s">
        <v>1564</v>
      </c>
      <c r="C1376" s="19" t="s">
        <v>1565</v>
      </c>
      <c r="D1376" s="19">
        <v>0</v>
      </c>
      <c r="E1376" s="19" t="s">
        <v>66</v>
      </c>
      <c r="F1376" s="19" t="s">
        <v>67</v>
      </c>
      <c r="G1376" s="19" t="s">
        <v>32</v>
      </c>
      <c r="H1376" s="19" t="s">
        <v>63</v>
      </c>
      <c r="I1376" s="19" t="s">
        <v>64</v>
      </c>
      <c r="J1376" s="19">
        <v>20</v>
      </c>
      <c r="K1376" s="19">
        <v>1.8599999999999998E-2</v>
      </c>
      <c r="L1376" s="19" t="s">
        <v>35</v>
      </c>
      <c r="N1376" s="19">
        <v>0</v>
      </c>
      <c r="O1376" s="19">
        <v>0</v>
      </c>
      <c r="P1376" s="19">
        <v>0</v>
      </c>
      <c r="Q1376" s="19">
        <v>0</v>
      </c>
      <c r="S1376" s="19">
        <v>1</v>
      </c>
      <c r="T1376" s="19">
        <v>1</v>
      </c>
      <c r="U1376" s="19">
        <v>0</v>
      </c>
      <c r="V1376" s="19" t="s">
        <v>36</v>
      </c>
      <c r="W1376" s="19">
        <v>0</v>
      </c>
      <c r="Z1376" s="19">
        <v>0</v>
      </c>
      <c r="AA1376" s="19">
        <v>0</v>
      </c>
    </row>
    <row r="1377" spans="1:27" x14ac:dyDescent="0.25">
      <c r="A1377" s="19" t="s">
        <v>1575</v>
      </c>
      <c r="B1377" s="19" t="s">
        <v>1564</v>
      </c>
      <c r="C1377" s="19" t="s">
        <v>1565</v>
      </c>
      <c r="D1377" s="19">
        <v>0</v>
      </c>
      <c r="E1377" s="19" t="s">
        <v>69</v>
      </c>
      <c r="F1377" s="19" t="s">
        <v>70</v>
      </c>
      <c r="G1377" s="19" t="s">
        <v>32</v>
      </c>
      <c r="H1377" s="19" t="s">
        <v>63</v>
      </c>
      <c r="I1377" s="19" t="s">
        <v>64</v>
      </c>
      <c r="J1377" s="19">
        <v>23</v>
      </c>
      <c r="K1377" s="19">
        <v>1.8599999999999998E-2</v>
      </c>
      <c r="L1377" s="19" t="s">
        <v>35</v>
      </c>
      <c r="N1377" s="19">
        <v>0</v>
      </c>
      <c r="O1377" s="19">
        <v>0</v>
      </c>
      <c r="P1377" s="19">
        <v>0</v>
      </c>
      <c r="Q1377" s="19">
        <v>0</v>
      </c>
      <c r="S1377" s="19">
        <v>1</v>
      </c>
      <c r="T1377" s="19">
        <v>1</v>
      </c>
      <c r="U1377" s="19">
        <v>0</v>
      </c>
      <c r="V1377" s="19" t="s">
        <v>36</v>
      </c>
      <c r="W1377" s="19">
        <v>0</v>
      </c>
      <c r="Z1377" s="19">
        <v>0</v>
      </c>
      <c r="AA1377" s="19">
        <v>0</v>
      </c>
    </row>
    <row r="1378" spans="1:27" x14ac:dyDescent="0.25">
      <c r="A1378" s="19" t="s">
        <v>1576</v>
      </c>
      <c r="B1378" s="19" t="s">
        <v>1564</v>
      </c>
      <c r="C1378" s="19" t="s">
        <v>1565</v>
      </c>
      <c r="D1378" s="19">
        <v>0</v>
      </c>
      <c r="E1378" s="19" t="s">
        <v>72</v>
      </c>
      <c r="F1378" s="19" t="s">
        <v>73</v>
      </c>
      <c r="G1378" s="19" t="s">
        <v>32</v>
      </c>
      <c r="H1378" s="19" t="s">
        <v>63</v>
      </c>
      <c r="I1378" s="19" t="s">
        <v>64</v>
      </c>
      <c r="J1378" s="19">
        <v>21</v>
      </c>
      <c r="K1378" s="19">
        <v>1.8599999999999998E-2</v>
      </c>
      <c r="L1378" s="19" t="s">
        <v>35</v>
      </c>
      <c r="N1378" s="19">
        <v>0</v>
      </c>
      <c r="O1378" s="19">
        <v>0</v>
      </c>
      <c r="P1378" s="19">
        <v>0</v>
      </c>
      <c r="Q1378" s="19">
        <v>0</v>
      </c>
      <c r="S1378" s="19">
        <v>1</v>
      </c>
      <c r="T1378" s="19">
        <v>1</v>
      </c>
      <c r="U1378" s="19">
        <v>0</v>
      </c>
      <c r="V1378" s="19" t="s">
        <v>36</v>
      </c>
      <c r="W1378" s="19">
        <v>0</v>
      </c>
      <c r="Z1378" s="19">
        <v>0</v>
      </c>
      <c r="AA1378" s="19">
        <v>0</v>
      </c>
    </row>
    <row r="1379" spans="1:27" x14ac:dyDescent="0.25">
      <c r="A1379" s="19" t="s">
        <v>1577</v>
      </c>
      <c r="B1379" s="19" t="s">
        <v>1564</v>
      </c>
      <c r="C1379" s="19" t="s">
        <v>1565</v>
      </c>
      <c r="D1379" s="19">
        <v>0</v>
      </c>
      <c r="E1379" s="19" t="s">
        <v>75</v>
      </c>
      <c r="F1379" s="19" t="s">
        <v>76</v>
      </c>
      <c r="G1379" s="19" t="s">
        <v>32</v>
      </c>
      <c r="H1379" s="19" t="s">
        <v>63</v>
      </c>
      <c r="I1379" s="19" t="s">
        <v>64</v>
      </c>
      <c r="J1379" s="19">
        <v>24</v>
      </c>
      <c r="K1379" s="19">
        <v>1.8599999999999998E-2</v>
      </c>
      <c r="L1379" s="19" t="s">
        <v>35</v>
      </c>
      <c r="N1379" s="19">
        <v>0</v>
      </c>
      <c r="O1379" s="19">
        <v>0</v>
      </c>
      <c r="P1379" s="19">
        <v>0</v>
      </c>
      <c r="Q1379" s="19">
        <v>0</v>
      </c>
      <c r="S1379" s="19">
        <v>1</v>
      </c>
      <c r="T1379" s="19">
        <v>1</v>
      </c>
      <c r="U1379" s="19">
        <v>0</v>
      </c>
      <c r="V1379" s="19" t="s">
        <v>36</v>
      </c>
      <c r="W1379" s="19">
        <v>0</v>
      </c>
      <c r="Z1379" s="19">
        <v>0</v>
      </c>
      <c r="AA1379" s="19">
        <v>0</v>
      </c>
    </row>
    <row r="1380" spans="1:27" x14ac:dyDescent="0.25">
      <c r="A1380" s="19" t="s">
        <v>1578</v>
      </c>
      <c r="B1380" s="19" t="s">
        <v>1564</v>
      </c>
      <c r="C1380" s="19" t="s">
        <v>1565</v>
      </c>
      <c r="D1380" s="19">
        <v>0</v>
      </c>
      <c r="E1380" s="19" t="s">
        <v>78</v>
      </c>
      <c r="F1380" s="19" t="s">
        <v>79</v>
      </c>
      <c r="G1380" s="19" t="s">
        <v>32</v>
      </c>
      <c r="H1380" s="19" t="s">
        <v>63</v>
      </c>
      <c r="I1380" s="19" t="s">
        <v>64</v>
      </c>
      <c r="J1380" s="19">
        <v>25</v>
      </c>
      <c r="K1380" s="19">
        <v>1.8599999999999998E-2</v>
      </c>
      <c r="L1380" s="19" t="s">
        <v>35</v>
      </c>
      <c r="N1380" s="19">
        <v>0</v>
      </c>
      <c r="O1380" s="19">
        <v>0</v>
      </c>
      <c r="P1380" s="19">
        <v>0</v>
      </c>
      <c r="Q1380" s="19">
        <v>0</v>
      </c>
      <c r="S1380" s="19">
        <v>1</v>
      </c>
      <c r="T1380" s="19">
        <v>1</v>
      </c>
      <c r="U1380" s="19">
        <v>0</v>
      </c>
      <c r="V1380" s="19" t="s">
        <v>36</v>
      </c>
      <c r="W1380" s="19">
        <v>0</v>
      </c>
      <c r="Z1380" s="19">
        <v>0</v>
      </c>
      <c r="AA1380" s="19">
        <v>0</v>
      </c>
    </row>
    <row r="1381" spans="1:27" x14ac:dyDescent="0.25">
      <c r="A1381" s="19" t="s">
        <v>1579</v>
      </c>
      <c r="B1381" s="19" t="s">
        <v>1564</v>
      </c>
      <c r="C1381" s="19" t="s">
        <v>1565</v>
      </c>
      <c r="D1381" s="19">
        <v>0</v>
      </c>
      <c r="E1381" s="19" t="s">
        <v>82</v>
      </c>
      <c r="F1381" s="19" t="s">
        <v>83</v>
      </c>
      <c r="G1381" s="19" t="s">
        <v>32</v>
      </c>
      <c r="H1381" s="19" t="s">
        <v>63</v>
      </c>
      <c r="I1381" s="19" t="s">
        <v>64</v>
      </c>
      <c r="J1381" s="19">
        <v>26</v>
      </c>
      <c r="K1381" s="19">
        <v>1.8599999999999998E-2</v>
      </c>
      <c r="L1381" s="19" t="s">
        <v>35</v>
      </c>
      <c r="N1381" s="19">
        <v>0</v>
      </c>
      <c r="O1381" s="19">
        <v>0</v>
      </c>
      <c r="P1381" s="19">
        <v>0</v>
      </c>
      <c r="Q1381" s="19">
        <v>0</v>
      </c>
      <c r="S1381" s="19">
        <v>1</v>
      </c>
      <c r="T1381" s="19">
        <v>1</v>
      </c>
      <c r="U1381" s="19">
        <v>0</v>
      </c>
      <c r="V1381" s="19" t="s">
        <v>36</v>
      </c>
      <c r="W1381" s="19">
        <v>0</v>
      </c>
      <c r="Z1381" s="19">
        <v>0</v>
      </c>
      <c r="AA1381" s="19">
        <v>0</v>
      </c>
    </row>
    <row r="1382" spans="1:27" x14ac:dyDescent="0.25">
      <c r="A1382" s="19" t="s">
        <v>1580</v>
      </c>
      <c r="B1382" s="19" t="s">
        <v>1564</v>
      </c>
      <c r="C1382" s="19" t="s">
        <v>1565</v>
      </c>
      <c r="D1382" s="19">
        <v>0</v>
      </c>
      <c r="E1382" s="19" t="s">
        <v>85</v>
      </c>
      <c r="F1382" s="19" t="s">
        <v>86</v>
      </c>
      <c r="G1382" s="19" t="s">
        <v>32</v>
      </c>
      <c r="H1382" s="19" t="s">
        <v>87</v>
      </c>
      <c r="I1382" s="19" t="s">
        <v>88</v>
      </c>
      <c r="J1382" s="19">
        <v>35</v>
      </c>
      <c r="K1382" s="19">
        <v>3.2500000000000001E-2</v>
      </c>
      <c r="L1382" s="19" t="s">
        <v>35</v>
      </c>
      <c r="N1382" s="19">
        <v>0</v>
      </c>
      <c r="O1382" s="19">
        <v>0</v>
      </c>
      <c r="P1382" s="19">
        <v>0</v>
      </c>
      <c r="Q1382" s="19">
        <v>0</v>
      </c>
      <c r="S1382" s="19">
        <v>1</v>
      </c>
      <c r="T1382" s="19">
        <v>1</v>
      </c>
      <c r="U1382" s="19">
        <v>0</v>
      </c>
      <c r="V1382" s="19" t="s">
        <v>36</v>
      </c>
      <c r="W1382" s="19">
        <v>0</v>
      </c>
      <c r="Z1382" s="19">
        <v>0</v>
      </c>
      <c r="AA1382" s="19">
        <v>0</v>
      </c>
    </row>
    <row r="1383" spans="1:27" x14ac:dyDescent="0.25">
      <c r="A1383" s="19" t="s">
        <v>1581</v>
      </c>
      <c r="B1383" s="19" t="s">
        <v>1564</v>
      </c>
      <c r="C1383" s="19" t="s">
        <v>1565</v>
      </c>
      <c r="D1383" s="19">
        <v>0</v>
      </c>
      <c r="E1383" s="19" t="s">
        <v>90</v>
      </c>
      <c r="F1383" s="19" t="s">
        <v>91</v>
      </c>
      <c r="G1383" s="19" t="s">
        <v>32</v>
      </c>
      <c r="H1383" s="19" t="s">
        <v>87</v>
      </c>
      <c r="I1383" s="19" t="s">
        <v>88</v>
      </c>
      <c r="J1383" s="19">
        <v>33</v>
      </c>
      <c r="K1383" s="19">
        <v>3.2500000000000001E-2</v>
      </c>
      <c r="L1383" s="19" t="s">
        <v>35</v>
      </c>
      <c r="N1383" s="19">
        <v>0</v>
      </c>
      <c r="O1383" s="19">
        <v>0</v>
      </c>
      <c r="P1383" s="19">
        <v>0</v>
      </c>
      <c r="Q1383" s="19">
        <v>0</v>
      </c>
      <c r="S1383" s="19">
        <v>1</v>
      </c>
      <c r="T1383" s="19">
        <v>1</v>
      </c>
      <c r="U1383" s="19">
        <v>0</v>
      </c>
      <c r="V1383" s="19" t="s">
        <v>36</v>
      </c>
      <c r="W1383" s="19">
        <v>0</v>
      </c>
      <c r="Z1383" s="19">
        <v>0</v>
      </c>
      <c r="AA1383" s="19">
        <v>0</v>
      </c>
    </row>
    <row r="1384" spans="1:27" x14ac:dyDescent="0.25">
      <c r="A1384" s="19" t="s">
        <v>1582</v>
      </c>
      <c r="B1384" s="19" t="s">
        <v>1564</v>
      </c>
      <c r="C1384" s="19" t="s">
        <v>1565</v>
      </c>
      <c r="D1384" s="19">
        <v>1.0832249999999899</v>
      </c>
      <c r="E1384" s="19" t="s">
        <v>93</v>
      </c>
      <c r="F1384" s="19" t="s">
        <v>94</v>
      </c>
      <c r="G1384" s="19" t="s">
        <v>32</v>
      </c>
      <c r="H1384" s="19" t="s">
        <v>87</v>
      </c>
      <c r="I1384" s="19" t="s">
        <v>88</v>
      </c>
      <c r="J1384" s="19">
        <v>34</v>
      </c>
      <c r="K1384" s="19">
        <v>3.2500000000000001E-2</v>
      </c>
      <c r="L1384" s="19" t="s">
        <v>35</v>
      </c>
      <c r="M1384" s="19" t="s">
        <v>40</v>
      </c>
      <c r="N1384" s="19">
        <v>33.33</v>
      </c>
      <c r="O1384" s="19">
        <v>33.33</v>
      </c>
      <c r="P1384" s="19">
        <v>0</v>
      </c>
      <c r="Q1384" s="19">
        <v>0</v>
      </c>
      <c r="S1384" s="19">
        <v>1</v>
      </c>
      <c r="T1384" s="19">
        <v>1</v>
      </c>
      <c r="U1384" s="19">
        <v>0</v>
      </c>
      <c r="V1384" s="19" t="s">
        <v>41</v>
      </c>
      <c r="W1384" s="19">
        <v>1</v>
      </c>
      <c r="Y1384" s="19" t="s">
        <v>40</v>
      </c>
      <c r="Z1384" s="19">
        <v>33.33</v>
      </c>
      <c r="AA1384" s="19">
        <v>33.33</v>
      </c>
    </row>
    <row r="1385" spans="1:27" x14ac:dyDescent="0.25">
      <c r="A1385" s="19" t="s">
        <v>1583</v>
      </c>
      <c r="B1385" s="19" t="s">
        <v>1564</v>
      </c>
      <c r="C1385" s="19" t="s">
        <v>1565</v>
      </c>
      <c r="D1385" s="19">
        <v>0</v>
      </c>
      <c r="E1385" s="19" t="s">
        <v>96</v>
      </c>
      <c r="F1385" s="19" t="s">
        <v>97</v>
      </c>
      <c r="G1385" s="19" t="s">
        <v>32</v>
      </c>
      <c r="H1385" s="19" t="s">
        <v>87</v>
      </c>
      <c r="I1385" s="19" t="s">
        <v>88</v>
      </c>
      <c r="J1385" s="19">
        <v>36</v>
      </c>
      <c r="K1385" s="19">
        <v>3.2500000000000001E-2</v>
      </c>
      <c r="L1385" s="19" t="s">
        <v>35</v>
      </c>
      <c r="N1385" s="19">
        <v>0</v>
      </c>
      <c r="O1385" s="19">
        <v>0</v>
      </c>
      <c r="P1385" s="19">
        <v>0</v>
      </c>
      <c r="Q1385" s="19">
        <v>0</v>
      </c>
      <c r="S1385" s="19">
        <v>1</v>
      </c>
      <c r="T1385" s="19">
        <v>1</v>
      </c>
      <c r="U1385" s="19">
        <v>0</v>
      </c>
      <c r="V1385" s="19" t="s">
        <v>36</v>
      </c>
      <c r="W1385" s="19">
        <v>0</v>
      </c>
      <c r="Z1385" s="19">
        <v>0</v>
      </c>
      <c r="AA1385" s="19">
        <v>0</v>
      </c>
    </row>
    <row r="1386" spans="1:27" x14ac:dyDescent="0.25">
      <c r="A1386" s="19" t="s">
        <v>1584</v>
      </c>
      <c r="B1386" s="19" t="s">
        <v>1564</v>
      </c>
      <c r="C1386" s="19" t="s">
        <v>1565</v>
      </c>
      <c r="D1386" s="19">
        <v>0</v>
      </c>
      <c r="E1386" s="19" t="s">
        <v>99</v>
      </c>
      <c r="F1386" s="19" t="s">
        <v>100</v>
      </c>
      <c r="G1386" s="19" t="s">
        <v>32</v>
      </c>
      <c r="H1386" s="19" t="s">
        <v>101</v>
      </c>
      <c r="I1386" s="19" t="s">
        <v>102</v>
      </c>
      <c r="J1386" s="19">
        <v>39</v>
      </c>
      <c r="K1386" s="19">
        <v>4.3299999999999998E-2</v>
      </c>
      <c r="L1386" s="19" t="s">
        <v>35</v>
      </c>
      <c r="M1386" s="19" t="s">
        <v>103</v>
      </c>
      <c r="N1386" s="19">
        <v>0</v>
      </c>
      <c r="O1386" s="19">
        <v>0</v>
      </c>
      <c r="P1386" s="19">
        <v>0</v>
      </c>
      <c r="Q1386" s="19">
        <v>0</v>
      </c>
      <c r="S1386" s="19">
        <v>1</v>
      </c>
      <c r="T1386" s="19">
        <v>1</v>
      </c>
      <c r="U1386" s="19">
        <v>0</v>
      </c>
      <c r="V1386" s="19" t="s">
        <v>36</v>
      </c>
      <c r="W1386" s="19">
        <v>0</v>
      </c>
      <c r="Y1386" s="19" t="s">
        <v>103</v>
      </c>
      <c r="Z1386" s="19">
        <v>50</v>
      </c>
      <c r="AA1386" s="19">
        <v>0</v>
      </c>
    </row>
    <row r="1387" spans="1:27" x14ac:dyDescent="0.25">
      <c r="A1387" s="19" t="s">
        <v>1585</v>
      </c>
      <c r="B1387" s="19" t="s">
        <v>1564</v>
      </c>
      <c r="C1387" s="19" t="s">
        <v>1565</v>
      </c>
      <c r="D1387" s="19">
        <v>0</v>
      </c>
      <c r="E1387" s="19" t="s">
        <v>105</v>
      </c>
      <c r="F1387" s="19" t="s">
        <v>106</v>
      </c>
      <c r="G1387" s="19" t="s">
        <v>32</v>
      </c>
      <c r="H1387" s="19" t="s">
        <v>101</v>
      </c>
      <c r="I1387" s="19" t="s">
        <v>102</v>
      </c>
      <c r="J1387" s="19">
        <v>38</v>
      </c>
      <c r="K1387" s="19">
        <v>4.3299999999999998E-2</v>
      </c>
      <c r="L1387" s="19" t="s">
        <v>35</v>
      </c>
      <c r="M1387" s="19" t="s">
        <v>103</v>
      </c>
      <c r="N1387" s="19">
        <v>0</v>
      </c>
      <c r="O1387" s="19">
        <v>0</v>
      </c>
      <c r="P1387" s="19">
        <v>0</v>
      </c>
      <c r="Q1387" s="19">
        <v>0</v>
      </c>
      <c r="S1387" s="19">
        <v>1</v>
      </c>
      <c r="T1387" s="19">
        <v>1</v>
      </c>
      <c r="U1387" s="19">
        <v>0</v>
      </c>
      <c r="V1387" s="19" t="s">
        <v>36</v>
      </c>
      <c r="W1387" s="19">
        <v>0</v>
      </c>
      <c r="Y1387" s="19" t="s">
        <v>103</v>
      </c>
      <c r="Z1387" s="19">
        <v>50</v>
      </c>
      <c r="AA1387" s="19">
        <v>0</v>
      </c>
    </row>
    <row r="1388" spans="1:27" x14ac:dyDescent="0.25">
      <c r="A1388" s="19" t="s">
        <v>1586</v>
      </c>
      <c r="B1388" s="19" t="s">
        <v>1564</v>
      </c>
      <c r="C1388" s="19" t="s">
        <v>1565</v>
      </c>
      <c r="D1388" s="19">
        <v>0</v>
      </c>
      <c r="E1388" s="19" t="s">
        <v>108</v>
      </c>
      <c r="F1388" s="19" t="s">
        <v>109</v>
      </c>
      <c r="G1388" s="19" t="s">
        <v>32</v>
      </c>
      <c r="H1388" s="19" t="s">
        <v>101</v>
      </c>
      <c r="I1388" s="19" t="s">
        <v>102</v>
      </c>
      <c r="J1388" s="19">
        <v>37</v>
      </c>
      <c r="K1388" s="19">
        <v>4.3299999999999998E-2</v>
      </c>
      <c r="L1388" s="19" t="s">
        <v>35</v>
      </c>
      <c r="N1388" s="19">
        <v>0</v>
      </c>
      <c r="O1388" s="19">
        <v>0</v>
      </c>
      <c r="P1388" s="19">
        <v>0</v>
      </c>
      <c r="Q1388" s="19">
        <v>0</v>
      </c>
      <c r="S1388" s="19">
        <v>1</v>
      </c>
      <c r="T1388" s="19">
        <v>1</v>
      </c>
      <c r="U1388" s="19">
        <v>0</v>
      </c>
      <c r="V1388" s="19" t="s">
        <v>36</v>
      </c>
      <c r="W1388" s="19">
        <v>0</v>
      </c>
      <c r="Z1388" s="19">
        <v>0</v>
      </c>
      <c r="AA1388" s="19">
        <v>0</v>
      </c>
    </row>
    <row r="1389" spans="1:27" x14ac:dyDescent="0.25">
      <c r="A1389" s="19" t="s">
        <v>1587</v>
      </c>
      <c r="B1389" s="19" t="s">
        <v>1564</v>
      </c>
      <c r="C1389" s="19" t="s">
        <v>1565</v>
      </c>
      <c r="D1389" s="19">
        <v>0</v>
      </c>
      <c r="E1389" s="19" t="s">
        <v>112</v>
      </c>
      <c r="F1389" s="19" t="s">
        <v>113</v>
      </c>
      <c r="G1389" s="19" t="s">
        <v>32</v>
      </c>
      <c r="H1389" s="19" t="s">
        <v>114</v>
      </c>
      <c r="I1389" s="19" t="s">
        <v>115</v>
      </c>
      <c r="J1389" s="19">
        <v>30</v>
      </c>
      <c r="K1389" s="19">
        <v>2.1700000000000001E-2</v>
      </c>
      <c r="L1389" s="19" t="s">
        <v>35</v>
      </c>
      <c r="M1389" s="19" t="s">
        <v>103</v>
      </c>
      <c r="N1389" s="19">
        <v>0</v>
      </c>
      <c r="O1389" s="19">
        <v>0</v>
      </c>
      <c r="P1389" s="19">
        <v>0</v>
      </c>
      <c r="Q1389" s="19">
        <v>0</v>
      </c>
      <c r="S1389" s="19">
        <v>1</v>
      </c>
      <c r="T1389" s="19">
        <v>1</v>
      </c>
      <c r="U1389" s="19">
        <v>0</v>
      </c>
      <c r="V1389" s="19" t="s">
        <v>36</v>
      </c>
      <c r="W1389" s="19">
        <v>0</v>
      </c>
      <c r="Y1389" s="19" t="s">
        <v>103</v>
      </c>
      <c r="Z1389" s="19">
        <v>50</v>
      </c>
      <c r="AA1389" s="19">
        <v>0</v>
      </c>
    </row>
    <row r="1390" spans="1:27" x14ac:dyDescent="0.25">
      <c r="A1390" s="19" t="s">
        <v>1588</v>
      </c>
      <c r="B1390" s="19" t="s">
        <v>1564</v>
      </c>
      <c r="C1390" s="19" t="s">
        <v>1565</v>
      </c>
      <c r="D1390" s="19">
        <v>0</v>
      </c>
      <c r="E1390" s="19" t="s">
        <v>117</v>
      </c>
      <c r="F1390" s="19" t="s">
        <v>118</v>
      </c>
      <c r="G1390" s="19" t="s">
        <v>32</v>
      </c>
      <c r="H1390" s="19" t="s">
        <v>114</v>
      </c>
      <c r="I1390" s="19" t="s">
        <v>115</v>
      </c>
      <c r="J1390" s="19">
        <v>31</v>
      </c>
      <c r="K1390" s="19">
        <v>2.1700000000000001E-2</v>
      </c>
      <c r="L1390" s="19" t="s">
        <v>35</v>
      </c>
      <c r="M1390" s="19" t="s">
        <v>103</v>
      </c>
      <c r="N1390" s="19">
        <v>0</v>
      </c>
      <c r="O1390" s="19">
        <v>0</v>
      </c>
      <c r="P1390" s="19">
        <v>0</v>
      </c>
      <c r="Q1390" s="19">
        <v>0</v>
      </c>
      <c r="S1390" s="19">
        <v>1</v>
      </c>
      <c r="T1390" s="19">
        <v>1</v>
      </c>
      <c r="U1390" s="19">
        <v>0</v>
      </c>
      <c r="V1390" s="19" t="s">
        <v>36</v>
      </c>
      <c r="W1390" s="19">
        <v>0</v>
      </c>
      <c r="Y1390" s="19" t="s">
        <v>103</v>
      </c>
      <c r="Z1390" s="19">
        <v>50</v>
      </c>
      <c r="AA1390" s="19">
        <v>0</v>
      </c>
    </row>
    <row r="1391" spans="1:27" x14ac:dyDescent="0.25">
      <c r="A1391" s="19" t="s">
        <v>1589</v>
      </c>
      <c r="B1391" s="19" t="s">
        <v>1564</v>
      </c>
      <c r="C1391" s="19" t="s">
        <v>1565</v>
      </c>
      <c r="D1391" s="19">
        <v>1.085</v>
      </c>
      <c r="E1391" s="19" t="s">
        <v>120</v>
      </c>
      <c r="F1391" s="19" t="s">
        <v>121</v>
      </c>
      <c r="G1391" s="19" t="s">
        <v>32</v>
      </c>
      <c r="H1391" s="19" t="s">
        <v>114</v>
      </c>
      <c r="I1391" s="19" t="s">
        <v>115</v>
      </c>
      <c r="J1391" s="19">
        <v>28</v>
      </c>
      <c r="K1391" s="19">
        <v>2.1700000000000001E-2</v>
      </c>
      <c r="L1391" s="19" t="s">
        <v>35</v>
      </c>
      <c r="M1391" s="19" t="s">
        <v>103</v>
      </c>
      <c r="N1391" s="19">
        <v>50</v>
      </c>
      <c r="O1391" s="19">
        <v>50</v>
      </c>
      <c r="P1391" s="19">
        <v>0</v>
      </c>
      <c r="Q1391" s="19">
        <v>0</v>
      </c>
      <c r="S1391" s="19">
        <v>1</v>
      </c>
      <c r="T1391" s="19">
        <v>1</v>
      </c>
      <c r="U1391" s="19">
        <v>0</v>
      </c>
      <c r="V1391" s="19" t="s">
        <v>41</v>
      </c>
      <c r="W1391" s="19">
        <v>1</v>
      </c>
      <c r="Y1391" s="19" t="s">
        <v>103</v>
      </c>
      <c r="Z1391" s="19">
        <v>50</v>
      </c>
      <c r="AA1391" s="19">
        <v>50</v>
      </c>
    </row>
    <row r="1392" spans="1:27" x14ac:dyDescent="0.25">
      <c r="A1392" s="19" t="s">
        <v>1590</v>
      </c>
      <c r="B1392" s="19" t="s">
        <v>1564</v>
      </c>
      <c r="C1392" s="19" t="s">
        <v>1565</v>
      </c>
      <c r="D1392" s="19">
        <v>0</v>
      </c>
      <c r="E1392" s="19" t="s">
        <v>123</v>
      </c>
      <c r="F1392" s="19" t="s">
        <v>124</v>
      </c>
      <c r="G1392" s="19" t="s">
        <v>32</v>
      </c>
      <c r="H1392" s="19" t="s">
        <v>114</v>
      </c>
      <c r="I1392" s="19" t="s">
        <v>115</v>
      </c>
      <c r="J1392" s="19">
        <v>27</v>
      </c>
      <c r="K1392" s="19">
        <v>2.1700000000000001E-2</v>
      </c>
      <c r="L1392" s="19" t="s">
        <v>35</v>
      </c>
      <c r="M1392" s="19" t="s">
        <v>103</v>
      </c>
      <c r="N1392" s="19">
        <v>0</v>
      </c>
      <c r="O1392" s="19">
        <v>0</v>
      </c>
      <c r="P1392" s="19">
        <v>0</v>
      </c>
      <c r="Q1392" s="19">
        <v>0</v>
      </c>
      <c r="S1392" s="19">
        <v>1</v>
      </c>
      <c r="T1392" s="19">
        <v>1</v>
      </c>
      <c r="U1392" s="19">
        <v>0</v>
      </c>
      <c r="V1392" s="19" t="s">
        <v>80</v>
      </c>
      <c r="W1392" s="19">
        <v>0</v>
      </c>
      <c r="Y1392" s="19" t="s">
        <v>103</v>
      </c>
      <c r="Z1392" s="19">
        <v>50</v>
      </c>
      <c r="AA1392" s="19">
        <v>0</v>
      </c>
    </row>
    <row r="1393" spans="1:27" x14ac:dyDescent="0.25">
      <c r="A1393" s="19" t="s">
        <v>1591</v>
      </c>
      <c r="B1393" s="19" t="s">
        <v>1564</v>
      </c>
      <c r="C1393" s="19" t="s">
        <v>1565</v>
      </c>
      <c r="D1393" s="19">
        <v>0</v>
      </c>
      <c r="E1393" s="19" t="s">
        <v>126</v>
      </c>
      <c r="F1393" s="19" t="s">
        <v>127</v>
      </c>
      <c r="G1393" s="19" t="s">
        <v>32</v>
      </c>
      <c r="H1393" s="19" t="s">
        <v>114</v>
      </c>
      <c r="I1393" s="19" t="s">
        <v>115</v>
      </c>
      <c r="J1393" s="19">
        <v>29</v>
      </c>
      <c r="K1393" s="19">
        <v>2.1700000000000001E-2</v>
      </c>
      <c r="L1393" s="19" t="s">
        <v>35</v>
      </c>
      <c r="M1393" s="19" t="s">
        <v>103</v>
      </c>
      <c r="N1393" s="19">
        <v>0</v>
      </c>
      <c r="O1393" s="19">
        <v>0</v>
      </c>
      <c r="P1393" s="19">
        <v>0</v>
      </c>
      <c r="Q1393" s="19">
        <v>0</v>
      </c>
      <c r="S1393" s="19">
        <v>1</v>
      </c>
      <c r="T1393" s="19">
        <v>1</v>
      </c>
      <c r="U1393" s="19">
        <v>0</v>
      </c>
      <c r="V1393" s="19" t="s">
        <v>36</v>
      </c>
      <c r="W1393" s="19">
        <v>0</v>
      </c>
      <c r="Y1393" s="19" t="s">
        <v>103</v>
      </c>
      <c r="Z1393" s="19">
        <v>50</v>
      </c>
      <c r="AA1393" s="19">
        <v>0</v>
      </c>
    </row>
    <row r="1394" spans="1:27" x14ac:dyDescent="0.25">
      <c r="A1394" s="19" t="s">
        <v>1592</v>
      </c>
      <c r="B1394" s="19" t="s">
        <v>1564</v>
      </c>
      <c r="C1394" s="19" t="s">
        <v>1565</v>
      </c>
      <c r="D1394" s="19">
        <v>1.085</v>
      </c>
      <c r="E1394" s="19" t="s">
        <v>129</v>
      </c>
      <c r="F1394" s="19" t="s">
        <v>130</v>
      </c>
      <c r="G1394" s="19" t="s">
        <v>32</v>
      </c>
      <c r="H1394" s="19" t="s">
        <v>114</v>
      </c>
      <c r="I1394" s="19" t="s">
        <v>115</v>
      </c>
      <c r="J1394" s="19">
        <v>32</v>
      </c>
      <c r="K1394" s="19">
        <v>2.1700000000000001E-2</v>
      </c>
      <c r="L1394" s="19" t="s">
        <v>35</v>
      </c>
      <c r="M1394" s="19" t="s">
        <v>103</v>
      </c>
      <c r="N1394" s="19">
        <v>50</v>
      </c>
      <c r="O1394" s="19">
        <v>50</v>
      </c>
      <c r="P1394" s="19">
        <v>0</v>
      </c>
      <c r="Q1394" s="19">
        <v>0</v>
      </c>
      <c r="S1394" s="19">
        <v>1</v>
      </c>
      <c r="T1394" s="19">
        <v>1</v>
      </c>
      <c r="U1394" s="19">
        <v>0</v>
      </c>
      <c r="V1394" s="19" t="s">
        <v>41</v>
      </c>
      <c r="W1394" s="19">
        <v>1</v>
      </c>
      <c r="Y1394" s="19" t="s">
        <v>103</v>
      </c>
      <c r="Z1394" s="19">
        <v>50</v>
      </c>
      <c r="AA1394" s="19">
        <v>50</v>
      </c>
    </row>
    <row r="1395" spans="1:27" x14ac:dyDescent="0.25">
      <c r="A1395" s="19" t="s">
        <v>1593</v>
      </c>
      <c r="B1395" s="19" t="s">
        <v>1564</v>
      </c>
      <c r="C1395" s="19" t="s">
        <v>1565</v>
      </c>
      <c r="D1395" s="19">
        <v>0</v>
      </c>
      <c r="E1395" s="19" t="s">
        <v>132</v>
      </c>
      <c r="F1395" s="19" t="s">
        <v>133</v>
      </c>
      <c r="G1395" s="19" t="s">
        <v>134</v>
      </c>
      <c r="H1395" s="19" t="s">
        <v>87</v>
      </c>
      <c r="I1395" s="19" t="s">
        <v>135</v>
      </c>
      <c r="J1395" s="19">
        <v>11</v>
      </c>
      <c r="K1395" s="19">
        <v>4.1700000000000001E-2</v>
      </c>
      <c r="L1395" s="19" t="s">
        <v>35</v>
      </c>
      <c r="M1395" s="19" t="s">
        <v>103</v>
      </c>
      <c r="N1395" s="19">
        <v>0</v>
      </c>
      <c r="O1395" s="19">
        <v>0</v>
      </c>
      <c r="P1395" s="19">
        <v>0</v>
      </c>
      <c r="Q1395" s="19">
        <v>0</v>
      </c>
      <c r="S1395" s="19">
        <v>1</v>
      </c>
      <c r="T1395" s="19">
        <v>1</v>
      </c>
      <c r="U1395" s="19">
        <v>0</v>
      </c>
      <c r="V1395" s="19" t="s">
        <v>36</v>
      </c>
      <c r="W1395" s="19">
        <v>0</v>
      </c>
      <c r="Y1395" s="19" t="s">
        <v>103</v>
      </c>
      <c r="Z1395" s="19">
        <v>50</v>
      </c>
      <c r="AA1395" s="19">
        <v>0</v>
      </c>
    </row>
    <row r="1396" spans="1:27" x14ac:dyDescent="0.25">
      <c r="A1396" s="19" t="s">
        <v>1594</v>
      </c>
      <c r="B1396" s="19" t="s">
        <v>1564</v>
      </c>
      <c r="C1396" s="19" t="s">
        <v>1565</v>
      </c>
      <c r="D1396" s="19">
        <v>0.2316435</v>
      </c>
      <c r="E1396" s="19" t="s">
        <v>137</v>
      </c>
      <c r="F1396" s="19" t="s">
        <v>138</v>
      </c>
      <c r="G1396" s="19" t="s">
        <v>134</v>
      </c>
      <c r="H1396" s="19" t="s">
        <v>87</v>
      </c>
      <c r="I1396" s="19" t="s">
        <v>135</v>
      </c>
      <c r="J1396" s="19">
        <v>9</v>
      </c>
      <c r="K1396" s="19">
        <v>4.1700000000000001E-2</v>
      </c>
      <c r="L1396" s="19" t="s">
        <v>35</v>
      </c>
      <c r="M1396" s="19" t="s">
        <v>110</v>
      </c>
      <c r="N1396" s="19">
        <v>5.5549999999999997</v>
      </c>
      <c r="O1396" s="19">
        <v>5.5549999999999997</v>
      </c>
      <c r="P1396" s="19">
        <v>0</v>
      </c>
      <c r="Q1396" s="19">
        <v>0</v>
      </c>
      <c r="S1396" s="19">
        <v>1</v>
      </c>
      <c r="T1396" s="19">
        <v>1</v>
      </c>
      <c r="U1396" s="19">
        <v>0</v>
      </c>
      <c r="W1396" s="19">
        <v>0</v>
      </c>
      <c r="X1396" s="19">
        <v>1</v>
      </c>
      <c r="Y1396" s="19" t="s">
        <v>110</v>
      </c>
      <c r="Z1396" s="19">
        <v>16.664999999999999</v>
      </c>
      <c r="AA1396" s="19">
        <v>5.5549999999999997</v>
      </c>
    </row>
    <row r="1397" spans="1:27" x14ac:dyDescent="0.25">
      <c r="A1397" s="19" t="s">
        <v>1595</v>
      </c>
      <c r="B1397" s="19" t="s">
        <v>1564</v>
      </c>
      <c r="C1397" s="19" t="s">
        <v>1565</v>
      </c>
      <c r="D1397" s="19">
        <v>0.2316435</v>
      </c>
      <c r="E1397" s="19" t="s">
        <v>140</v>
      </c>
      <c r="F1397" s="19" t="s">
        <v>141</v>
      </c>
      <c r="G1397" s="19" t="s">
        <v>134</v>
      </c>
      <c r="H1397" s="19" t="s">
        <v>87</v>
      </c>
      <c r="I1397" s="19" t="s">
        <v>135</v>
      </c>
      <c r="J1397" s="19">
        <v>10</v>
      </c>
      <c r="K1397" s="19">
        <v>4.1700000000000001E-2</v>
      </c>
      <c r="L1397" s="19" t="s">
        <v>35</v>
      </c>
      <c r="M1397" s="19" t="s">
        <v>110</v>
      </c>
      <c r="N1397" s="19">
        <v>5.5549999999999997</v>
      </c>
      <c r="O1397" s="19">
        <v>5.5549999999999997</v>
      </c>
      <c r="P1397" s="19">
        <v>0</v>
      </c>
      <c r="Q1397" s="19">
        <v>0</v>
      </c>
      <c r="S1397" s="19">
        <v>1</v>
      </c>
      <c r="T1397" s="19">
        <v>1</v>
      </c>
      <c r="U1397" s="19">
        <v>0</v>
      </c>
      <c r="W1397" s="19">
        <v>0</v>
      </c>
      <c r="X1397" s="19">
        <v>1</v>
      </c>
      <c r="Y1397" s="19" t="s">
        <v>110</v>
      </c>
      <c r="Z1397" s="19">
        <v>16.664999999999999</v>
      </c>
      <c r="AA1397" s="19">
        <v>5.5549999999999997</v>
      </c>
    </row>
    <row r="1398" spans="1:27" x14ac:dyDescent="0.25">
      <c r="A1398" s="19" t="s">
        <v>1596</v>
      </c>
      <c r="B1398" s="19" t="s">
        <v>1564</v>
      </c>
      <c r="C1398" s="19" t="s">
        <v>1565</v>
      </c>
      <c r="D1398" s="19">
        <v>1.25</v>
      </c>
      <c r="E1398" s="19" t="s">
        <v>144</v>
      </c>
      <c r="F1398" s="19" t="s">
        <v>145</v>
      </c>
      <c r="G1398" s="19" t="s">
        <v>134</v>
      </c>
      <c r="H1398" s="19" t="s">
        <v>146</v>
      </c>
      <c r="I1398" s="19" t="s">
        <v>147</v>
      </c>
      <c r="J1398" s="19">
        <v>4</v>
      </c>
      <c r="K1398" s="19">
        <v>2.5000000000000001E-2</v>
      </c>
      <c r="L1398" s="19" t="s">
        <v>35</v>
      </c>
      <c r="M1398" s="19" t="s">
        <v>103</v>
      </c>
      <c r="N1398" s="19">
        <v>50</v>
      </c>
      <c r="O1398" s="19">
        <v>50</v>
      </c>
      <c r="P1398" s="19">
        <v>0</v>
      </c>
      <c r="Q1398" s="19">
        <v>0</v>
      </c>
      <c r="S1398" s="19">
        <v>1</v>
      </c>
      <c r="T1398" s="19">
        <v>1</v>
      </c>
      <c r="U1398" s="19">
        <v>0</v>
      </c>
      <c r="V1398" s="19" t="s">
        <v>41</v>
      </c>
      <c r="W1398" s="19">
        <v>1</v>
      </c>
      <c r="Y1398" s="19" t="s">
        <v>103</v>
      </c>
      <c r="Z1398" s="19">
        <v>50</v>
      </c>
      <c r="AA1398" s="19">
        <v>50</v>
      </c>
    </row>
    <row r="1399" spans="1:27" x14ac:dyDescent="0.25">
      <c r="A1399" s="19" t="s">
        <v>1597</v>
      </c>
      <c r="B1399" s="19" t="s">
        <v>1564</v>
      </c>
      <c r="C1399" s="19" t="s">
        <v>1565</v>
      </c>
      <c r="D1399" s="19">
        <v>1.25</v>
      </c>
      <c r="E1399" s="19" t="s">
        <v>149</v>
      </c>
      <c r="F1399" s="19" t="s">
        <v>150</v>
      </c>
      <c r="G1399" s="19" t="s">
        <v>134</v>
      </c>
      <c r="H1399" s="19" t="s">
        <v>146</v>
      </c>
      <c r="I1399" s="19" t="s">
        <v>147</v>
      </c>
      <c r="J1399" s="19">
        <v>5</v>
      </c>
      <c r="K1399" s="19">
        <v>2.5000000000000001E-2</v>
      </c>
      <c r="L1399" s="19" t="s">
        <v>35</v>
      </c>
      <c r="M1399" s="19" t="s">
        <v>103</v>
      </c>
      <c r="N1399" s="19">
        <v>50</v>
      </c>
      <c r="O1399" s="19">
        <v>50</v>
      </c>
      <c r="P1399" s="19">
        <v>0</v>
      </c>
      <c r="Q1399" s="19">
        <v>0</v>
      </c>
      <c r="S1399" s="19">
        <v>1</v>
      </c>
      <c r="T1399" s="19">
        <v>1</v>
      </c>
      <c r="U1399" s="19">
        <v>0</v>
      </c>
      <c r="V1399" s="19" t="s">
        <v>41</v>
      </c>
      <c r="W1399" s="19">
        <v>1</v>
      </c>
      <c r="Y1399" s="19" t="s">
        <v>103</v>
      </c>
      <c r="Z1399" s="19">
        <v>50</v>
      </c>
      <c r="AA1399" s="19">
        <v>50</v>
      </c>
    </row>
    <row r="1400" spans="1:27" x14ac:dyDescent="0.25">
      <c r="A1400" s="19" t="s">
        <v>1598</v>
      </c>
      <c r="B1400" s="19" t="s">
        <v>1564</v>
      </c>
      <c r="C1400" s="19" t="s">
        <v>1565</v>
      </c>
      <c r="D1400" s="19">
        <v>1.25</v>
      </c>
      <c r="E1400" s="19" t="s">
        <v>152</v>
      </c>
      <c r="F1400" s="19" t="s">
        <v>153</v>
      </c>
      <c r="G1400" s="19" t="s">
        <v>134</v>
      </c>
      <c r="H1400" s="19" t="s">
        <v>146</v>
      </c>
      <c r="I1400" s="19" t="s">
        <v>147</v>
      </c>
      <c r="J1400" s="19">
        <v>6</v>
      </c>
      <c r="K1400" s="19">
        <v>2.5000000000000001E-2</v>
      </c>
      <c r="L1400" s="19" t="s">
        <v>35</v>
      </c>
      <c r="M1400" s="19" t="s">
        <v>103</v>
      </c>
      <c r="N1400" s="19">
        <v>50</v>
      </c>
      <c r="O1400" s="19">
        <v>50</v>
      </c>
      <c r="P1400" s="19">
        <v>0</v>
      </c>
      <c r="Q1400" s="19">
        <v>0</v>
      </c>
      <c r="S1400" s="19">
        <v>1</v>
      </c>
      <c r="T1400" s="19">
        <v>1</v>
      </c>
      <c r="U1400" s="19">
        <v>0</v>
      </c>
      <c r="V1400" s="19" t="s">
        <v>41</v>
      </c>
      <c r="W1400" s="19">
        <v>1</v>
      </c>
      <c r="Y1400" s="19" t="s">
        <v>103</v>
      </c>
      <c r="Z1400" s="19">
        <v>50</v>
      </c>
      <c r="AA1400" s="19">
        <v>50</v>
      </c>
    </row>
    <row r="1401" spans="1:27" x14ac:dyDescent="0.25">
      <c r="A1401" s="19" t="s">
        <v>1599</v>
      </c>
      <c r="B1401" s="19" t="s">
        <v>1564</v>
      </c>
      <c r="C1401" s="19" t="s">
        <v>1565</v>
      </c>
      <c r="D1401" s="19">
        <v>1.25</v>
      </c>
      <c r="E1401" s="19" t="s">
        <v>155</v>
      </c>
      <c r="F1401" s="19" t="s">
        <v>156</v>
      </c>
      <c r="G1401" s="19" t="s">
        <v>134</v>
      </c>
      <c r="H1401" s="19" t="s">
        <v>146</v>
      </c>
      <c r="I1401" s="19" t="s">
        <v>147</v>
      </c>
      <c r="J1401" s="19">
        <v>7</v>
      </c>
      <c r="K1401" s="19">
        <v>2.5000000000000001E-2</v>
      </c>
      <c r="L1401" s="19" t="s">
        <v>35</v>
      </c>
      <c r="M1401" s="19" t="s">
        <v>103</v>
      </c>
      <c r="N1401" s="19">
        <v>50</v>
      </c>
      <c r="O1401" s="19">
        <v>50</v>
      </c>
      <c r="P1401" s="19">
        <v>0</v>
      </c>
      <c r="Q1401" s="19">
        <v>0</v>
      </c>
      <c r="S1401" s="19">
        <v>1</v>
      </c>
      <c r="T1401" s="19">
        <v>1</v>
      </c>
      <c r="U1401" s="19">
        <v>0</v>
      </c>
      <c r="V1401" s="19" t="s">
        <v>41</v>
      </c>
      <c r="W1401" s="19">
        <v>1</v>
      </c>
      <c r="Y1401" s="19" t="s">
        <v>103</v>
      </c>
      <c r="Z1401" s="19">
        <v>50</v>
      </c>
      <c r="AA1401" s="19">
        <v>50</v>
      </c>
    </row>
    <row r="1402" spans="1:27" x14ac:dyDescent="0.25">
      <c r="A1402" s="19" t="s">
        <v>1600</v>
      </c>
      <c r="B1402" s="19" t="s">
        <v>1564</v>
      </c>
      <c r="C1402" s="19" t="s">
        <v>1565</v>
      </c>
      <c r="D1402" s="19">
        <v>1.25</v>
      </c>
      <c r="E1402" s="19" t="s">
        <v>158</v>
      </c>
      <c r="F1402" s="19" t="s">
        <v>159</v>
      </c>
      <c r="G1402" s="19" t="s">
        <v>134</v>
      </c>
      <c r="H1402" s="19" t="s">
        <v>146</v>
      </c>
      <c r="I1402" s="19" t="s">
        <v>147</v>
      </c>
      <c r="J1402" s="19">
        <v>8</v>
      </c>
      <c r="K1402" s="19">
        <v>2.5000000000000001E-2</v>
      </c>
      <c r="L1402" s="19" t="s">
        <v>35</v>
      </c>
      <c r="M1402" s="19" t="s">
        <v>103</v>
      </c>
      <c r="N1402" s="19">
        <v>50</v>
      </c>
      <c r="O1402" s="19">
        <v>50</v>
      </c>
      <c r="P1402" s="19">
        <v>0</v>
      </c>
      <c r="Q1402" s="19">
        <v>0</v>
      </c>
      <c r="S1402" s="19">
        <v>1</v>
      </c>
      <c r="T1402" s="19">
        <v>1</v>
      </c>
      <c r="U1402" s="19">
        <v>0</v>
      </c>
      <c r="V1402" s="19" t="s">
        <v>41</v>
      </c>
      <c r="W1402" s="19">
        <v>1</v>
      </c>
      <c r="Y1402" s="19" t="s">
        <v>103</v>
      </c>
      <c r="Z1402" s="19">
        <v>50</v>
      </c>
      <c r="AA1402" s="19">
        <v>50</v>
      </c>
    </row>
    <row r="1403" spans="1:27" x14ac:dyDescent="0.25">
      <c r="A1403" s="19" t="s">
        <v>1601</v>
      </c>
      <c r="B1403" s="19" t="s">
        <v>1564</v>
      </c>
      <c r="C1403" s="19" t="s">
        <v>1565</v>
      </c>
      <c r="D1403" s="19">
        <v>2.2197779999999998</v>
      </c>
      <c r="E1403" s="19" t="s">
        <v>161</v>
      </c>
      <c r="F1403" s="19" t="s">
        <v>162</v>
      </c>
      <c r="G1403" s="19" t="s">
        <v>163</v>
      </c>
      <c r="I1403" s="19" t="s">
        <v>164</v>
      </c>
      <c r="J1403" s="19">
        <v>1</v>
      </c>
      <c r="K1403" s="19">
        <v>3.3300000000000003E-2</v>
      </c>
      <c r="L1403" s="19" t="s">
        <v>35</v>
      </c>
      <c r="M1403" s="19" t="s">
        <v>165</v>
      </c>
      <c r="N1403" s="19">
        <v>66.66</v>
      </c>
      <c r="O1403" s="19">
        <v>66.66</v>
      </c>
      <c r="P1403" s="19">
        <v>0</v>
      </c>
      <c r="Q1403" s="19">
        <v>0</v>
      </c>
      <c r="S1403" s="19">
        <v>1</v>
      </c>
      <c r="T1403" s="19">
        <v>1</v>
      </c>
      <c r="U1403" s="19">
        <v>0</v>
      </c>
      <c r="W1403" s="19">
        <v>0</v>
      </c>
      <c r="X1403" s="19">
        <v>66.66</v>
      </c>
      <c r="Z1403" s="19">
        <v>0</v>
      </c>
      <c r="AA1403" s="19">
        <v>66.66</v>
      </c>
    </row>
    <row r="1404" spans="1:27" x14ac:dyDescent="0.25">
      <c r="A1404" s="19" t="s">
        <v>1602</v>
      </c>
      <c r="B1404" s="19" t="s">
        <v>1564</v>
      </c>
      <c r="C1404" s="19" t="s">
        <v>1565</v>
      </c>
      <c r="D1404" s="19">
        <v>0</v>
      </c>
      <c r="E1404" s="19" t="s">
        <v>167</v>
      </c>
      <c r="F1404" s="19" t="s">
        <v>168</v>
      </c>
      <c r="G1404" s="19" t="s">
        <v>163</v>
      </c>
      <c r="I1404" s="19" t="s">
        <v>164</v>
      </c>
      <c r="J1404" s="19">
        <v>3</v>
      </c>
      <c r="K1404" s="19">
        <v>3.3300000000000003E-2</v>
      </c>
      <c r="L1404" s="19" t="s">
        <v>35</v>
      </c>
      <c r="M1404" s="19" t="s">
        <v>165</v>
      </c>
      <c r="N1404" s="19">
        <v>0</v>
      </c>
      <c r="O1404" s="19">
        <v>0</v>
      </c>
      <c r="P1404" s="19">
        <v>0</v>
      </c>
      <c r="Q1404" s="19">
        <v>0</v>
      </c>
      <c r="S1404" s="19">
        <v>1</v>
      </c>
      <c r="T1404" s="19">
        <v>1</v>
      </c>
      <c r="U1404" s="19">
        <v>0</v>
      </c>
      <c r="W1404" s="19">
        <v>0</v>
      </c>
      <c r="X1404" s="19">
        <v>0</v>
      </c>
      <c r="Z1404" s="19">
        <v>0</v>
      </c>
      <c r="AA1404" s="19">
        <v>0</v>
      </c>
    </row>
    <row r="1405" spans="1:27" x14ac:dyDescent="0.25">
      <c r="A1405" s="19" t="s">
        <v>1603</v>
      </c>
      <c r="B1405" s="19" t="s">
        <v>1564</v>
      </c>
      <c r="C1405" s="19" t="s">
        <v>1565</v>
      </c>
      <c r="D1405" s="19">
        <v>0</v>
      </c>
      <c r="E1405" s="19" t="s">
        <v>170</v>
      </c>
      <c r="F1405" s="19" t="s">
        <v>171</v>
      </c>
      <c r="G1405" s="19" t="s">
        <v>163</v>
      </c>
      <c r="I1405" s="19" t="s">
        <v>164</v>
      </c>
      <c r="J1405" s="19">
        <v>2</v>
      </c>
      <c r="K1405" s="19">
        <v>3.3300000000000003E-2</v>
      </c>
      <c r="L1405" s="19" t="s">
        <v>35</v>
      </c>
      <c r="M1405" s="19" t="s">
        <v>165</v>
      </c>
      <c r="N1405" s="19">
        <v>0</v>
      </c>
      <c r="O1405" s="19">
        <v>0</v>
      </c>
      <c r="P1405" s="19">
        <v>0</v>
      </c>
      <c r="Q1405" s="19">
        <v>0</v>
      </c>
      <c r="S1405" s="19">
        <v>1</v>
      </c>
      <c r="T1405" s="19">
        <v>1</v>
      </c>
      <c r="U1405" s="19">
        <v>0</v>
      </c>
      <c r="W1405" s="19">
        <v>0</v>
      </c>
      <c r="X1405" s="19">
        <v>0</v>
      </c>
      <c r="Z1405" s="19">
        <v>0</v>
      </c>
      <c r="AA1405" s="19">
        <v>0</v>
      </c>
    </row>
    <row r="1406" spans="1:27" x14ac:dyDescent="0.25">
      <c r="A1406" s="19" t="s">
        <v>2786</v>
      </c>
      <c r="B1406" s="19" t="s">
        <v>2787</v>
      </c>
      <c r="C1406" s="19" t="s">
        <v>2788</v>
      </c>
      <c r="D1406" s="19">
        <v>1.30379204762917</v>
      </c>
      <c r="E1406" s="19" t="s">
        <v>30</v>
      </c>
      <c r="F1406" s="19" t="s">
        <v>31</v>
      </c>
      <c r="G1406" s="19" t="s">
        <v>32</v>
      </c>
      <c r="H1406" s="19" t="s">
        <v>33</v>
      </c>
      <c r="I1406" s="19" t="s">
        <v>34</v>
      </c>
      <c r="J1406" s="19">
        <v>17</v>
      </c>
      <c r="K1406" s="19">
        <v>1.6299999999999999E-2</v>
      </c>
      <c r="L1406" s="19" t="s">
        <v>541</v>
      </c>
      <c r="M1406" s="19" t="s">
        <v>541</v>
      </c>
      <c r="N1406" s="19">
        <v>50</v>
      </c>
      <c r="O1406" s="19">
        <v>79.9872421858</v>
      </c>
      <c r="P1406" s="19">
        <v>66.638315968499995</v>
      </c>
      <c r="Q1406" s="19">
        <v>33.319157984299999</v>
      </c>
      <c r="R1406" s="19" t="s">
        <v>870</v>
      </c>
      <c r="S1406" s="19">
        <v>0.9</v>
      </c>
      <c r="T1406" s="19">
        <v>0.9</v>
      </c>
      <c r="U1406" s="19">
        <v>29.9872421858</v>
      </c>
      <c r="AA1406" s="19">
        <v>0</v>
      </c>
    </row>
    <row r="1407" spans="1:27" x14ac:dyDescent="0.25">
      <c r="A1407" s="19" t="s">
        <v>2789</v>
      </c>
      <c r="B1407" s="19" t="s">
        <v>2787</v>
      </c>
      <c r="C1407" s="19" t="s">
        <v>2788</v>
      </c>
      <c r="D1407" s="19">
        <v>1.30379204762917</v>
      </c>
      <c r="E1407" s="19" t="s">
        <v>38</v>
      </c>
      <c r="F1407" s="19" t="s">
        <v>39</v>
      </c>
      <c r="G1407" s="19" t="s">
        <v>32</v>
      </c>
      <c r="H1407" s="19" t="s">
        <v>33</v>
      </c>
      <c r="I1407" s="19" t="s">
        <v>34</v>
      </c>
      <c r="J1407" s="19">
        <v>19</v>
      </c>
      <c r="K1407" s="19">
        <v>1.6299999999999999E-2</v>
      </c>
      <c r="L1407" s="19" t="s">
        <v>541</v>
      </c>
      <c r="M1407" s="19" t="s">
        <v>541</v>
      </c>
      <c r="N1407" s="19">
        <v>50</v>
      </c>
      <c r="O1407" s="19">
        <v>79.9872421858</v>
      </c>
      <c r="P1407" s="19">
        <v>66.638315968499995</v>
      </c>
      <c r="Q1407" s="19">
        <v>33.319157984299999</v>
      </c>
      <c r="R1407" s="19" t="s">
        <v>870</v>
      </c>
      <c r="S1407" s="19">
        <v>0.9</v>
      </c>
      <c r="T1407" s="19">
        <v>0.9</v>
      </c>
      <c r="U1407" s="19">
        <v>29.9872421858</v>
      </c>
      <c r="AA1407" s="19">
        <v>0</v>
      </c>
    </row>
    <row r="1408" spans="1:27" x14ac:dyDescent="0.25">
      <c r="A1408" s="19" t="s">
        <v>2790</v>
      </c>
      <c r="B1408" s="19" t="s">
        <v>2787</v>
      </c>
      <c r="C1408" s="19" t="s">
        <v>2788</v>
      </c>
      <c r="D1408" s="19">
        <v>1.1666214650223199</v>
      </c>
      <c r="E1408" s="19" t="s">
        <v>43</v>
      </c>
      <c r="F1408" s="19" t="s">
        <v>44</v>
      </c>
      <c r="G1408" s="19" t="s">
        <v>32</v>
      </c>
      <c r="H1408" s="19" t="s">
        <v>33</v>
      </c>
      <c r="I1408" s="19" t="s">
        <v>34</v>
      </c>
      <c r="J1408" s="19">
        <v>18</v>
      </c>
      <c r="K1408" s="19">
        <v>1.6299999999999999E-2</v>
      </c>
      <c r="L1408" s="19" t="s">
        <v>541</v>
      </c>
      <c r="M1408" s="19" t="s">
        <v>541</v>
      </c>
      <c r="N1408" s="19">
        <v>50</v>
      </c>
      <c r="O1408" s="19">
        <v>71.571869019800005</v>
      </c>
      <c r="P1408" s="19">
        <v>47.937486710599998</v>
      </c>
      <c r="Q1408" s="19">
        <v>23.968743355299999</v>
      </c>
      <c r="R1408" s="19" t="s">
        <v>870</v>
      </c>
      <c r="S1408" s="19">
        <v>0.9</v>
      </c>
      <c r="T1408" s="19">
        <v>0.9</v>
      </c>
      <c r="U1408" s="19">
        <v>21.571869019800001</v>
      </c>
      <c r="AA1408" s="19">
        <v>0</v>
      </c>
    </row>
    <row r="1409" spans="1:27" x14ac:dyDescent="0.25">
      <c r="A1409" s="19" t="s">
        <v>2791</v>
      </c>
      <c r="B1409" s="19" t="s">
        <v>2787</v>
      </c>
      <c r="C1409" s="19" t="s">
        <v>2788</v>
      </c>
      <c r="D1409" s="19">
        <v>0.89422985328513704</v>
      </c>
      <c r="E1409" s="19" t="s">
        <v>46</v>
      </c>
      <c r="F1409" s="19" t="s">
        <v>47</v>
      </c>
      <c r="G1409" s="19" t="s">
        <v>32</v>
      </c>
      <c r="H1409" s="19" t="s">
        <v>33</v>
      </c>
      <c r="I1409" s="19" t="s">
        <v>34</v>
      </c>
      <c r="J1409" s="19">
        <v>15</v>
      </c>
      <c r="K1409" s="19">
        <v>1.6299999999999999E-2</v>
      </c>
      <c r="L1409" s="19" t="s">
        <v>541</v>
      </c>
      <c r="M1409" s="19" t="s">
        <v>541</v>
      </c>
      <c r="N1409" s="19">
        <v>50</v>
      </c>
      <c r="O1409" s="19">
        <v>54.860727195400003</v>
      </c>
      <c r="P1409" s="19">
        <v>10.8016159898</v>
      </c>
      <c r="Q1409" s="19">
        <v>5.4008079949000001</v>
      </c>
      <c r="R1409" s="19" t="s">
        <v>870</v>
      </c>
      <c r="S1409" s="19">
        <v>0.9</v>
      </c>
      <c r="T1409" s="19">
        <v>0.9</v>
      </c>
      <c r="U1409" s="19">
        <v>4.86072719541</v>
      </c>
      <c r="AA1409" s="19">
        <v>0</v>
      </c>
    </row>
    <row r="1410" spans="1:27" x14ac:dyDescent="0.25">
      <c r="A1410" s="19" t="s">
        <v>2792</v>
      </c>
      <c r="B1410" s="19" t="s">
        <v>2787</v>
      </c>
      <c r="C1410" s="19" t="s">
        <v>2788</v>
      </c>
      <c r="D1410" s="19">
        <v>1.30379204762917</v>
      </c>
      <c r="E1410" s="19" t="s">
        <v>49</v>
      </c>
      <c r="F1410" s="19" t="s">
        <v>50</v>
      </c>
      <c r="G1410" s="19" t="s">
        <v>32</v>
      </c>
      <c r="H1410" s="19" t="s">
        <v>33</v>
      </c>
      <c r="I1410" s="19" t="s">
        <v>34</v>
      </c>
      <c r="J1410" s="19">
        <v>12</v>
      </c>
      <c r="K1410" s="19">
        <v>1.6299999999999999E-2</v>
      </c>
      <c r="L1410" s="19" t="s">
        <v>541</v>
      </c>
      <c r="M1410" s="19" t="s">
        <v>541</v>
      </c>
      <c r="N1410" s="19">
        <v>50</v>
      </c>
      <c r="O1410" s="19">
        <v>79.9872421858</v>
      </c>
      <c r="P1410" s="19">
        <v>66.638315968499995</v>
      </c>
      <c r="Q1410" s="19">
        <v>33.319157984299999</v>
      </c>
      <c r="R1410" s="19" t="s">
        <v>870</v>
      </c>
      <c r="S1410" s="19">
        <v>0.9</v>
      </c>
      <c r="T1410" s="19">
        <v>0.9</v>
      </c>
      <c r="U1410" s="19">
        <v>29.9872421858</v>
      </c>
      <c r="AA1410" s="19">
        <v>0</v>
      </c>
    </row>
    <row r="1411" spans="1:27" x14ac:dyDescent="0.25">
      <c r="A1411" s="19" t="s">
        <v>2793</v>
      </c>
      <c r="B1411" s="19" t="s">
        <v>2787</v>
      </c>
      <c r="C1411" s="19" t="s">
        <v>2788</v>
      </c>
      <c r="D1411" s="19">
        <v>1.0597079523708199</v>
      </c>
      <c r="E1411" s="19" t="s">
        <v>52</v>
      </c>
      <c r="F1411" s="19" t="s">
        <v>53</v>
      </c>
      <c r="G1411" s="19" t="s">
        <v>32</v>
      </c>
      <c r="H1411" s="19" t="s">
        <v>33</v>
      </c>
      <c r="I1411" s="19" t="s">
        <v>34</v>
      </c>
      <c r="J1411" s="19">
        <v>16</v>
      </c>
      <c r="K1411" s="19">
        <v>1.6299999999999999E-2</v>
      </c>
      <c r="L1411" s="19" t="s">
        <v>541</v>
      </c>
      <c r="M1411" s="19" t="s">
        <v>541</v>
      </c>
      <c r="N1411" s="19">
        <v>50</v>
      </c>
      <c r="O1411" s="19">
        <v>65.0127578142</v>
      </c>
      <c r="P1411" s="19">
        <v>33.361684031499998</v>
      </c>
      <c r="Q1411" s="19">
        <v>16.680842015700001</v>
      </c>
      <c r="R1411" s="19" t="s">
        <v>870</v>
      </c>
      <c r="S1411" s="19">
        <v>0.9</v>
      </c>
      <c r="T1411" s="19">
        <v>0.9</v>
      </c>
      <c r="U1411" s="19">
        <v>15.0127578142</v>
      </c>
      <c r="AA1411" s="19">
        <v>0</v>
      </c>
    </row>
    <row r="1412" spans="1:27" x14ac:dyDescent="0.25">
      <c r="A1412" s="19" t="s">
        <v>2794</v>
      </c>
      <c r="B1412" s="19" t="s">
        <v>2787</v>
      </c>
      <c r="C1412" s="19" t="s">
        <v>2788</v>
      </c>
      <c r="D1412" s="19">
        <v>1.5276787688709299</v>
      </c>
      <c r="E1412" s="19" t="s">
        <v>55</v>
      </c>
      <c r="F1412" s="19" t="s">
        <v>56</v>
      </c>
      <c r="G1412" s="19" t="s">
        <v>32</v>
      </c>
      <c r="H1412" s="19" t="s">
        <v>33</v>
      </c>
      <c r="I1412" s="19" t="s">
        <v>34</v>
      </c>
      <c r="J1412" s="19">
        <v>14</v>
      </c>
      <c r="K1412" s="19">
        <v>1.6299999999999999E-2</v>
      </c>
      <c r="L1412" s="19" t="s">
        <v>541</v>
      </c>
      <c r="M1412" s="19" t="s">
        <v>541</v>
      </c>
      <c r="N1412" s="19">
        <v>50</v>
      </c>
      <c r="O1412" s="19">
        <v>93.722623857100004</v>
      </c>
      <c r="P1412" s="19">
        <v>97.161386349099999</v>
      </c>
      <c r="Q1412" s="19">
        <v>48.5806931746</v>
      </c>
      <c r="R1412" s="19" t="s">
        <v>870</v>
      </c>
      <c r="S1412" s="19">
        <v>0.9</v>
      </c>
      <c r="T1412" s="19">
        <v>0.9</v>
      </c>
      <c r="U1412" s="19">
        <v>43.722623857099997</v>
      </c>
      <c r="AA1412" s="19">
        <v>0</v>
      </c>
    </row>
    <row r="1413" spans="1:27" x14ac:dyDescent="0.25">
      <c r="A1413" s="19" t="s">
        <v>2795</v>
      </c>
      <c r="B1413" s="19" t="s">
        <v>2787</v>
      </c>
      <c r="C1413" s="19" t="s">
        <v>2788</v>
      </c>
      <c r="D1413" s="19">
        <v>1.54849999999999</v>
      </c>
      <c r="E1413" s="19" t="s">
        <v>58</v>
      </c>
      <c r="F1413" s="19" t="s">
        <v>59</v>
      </c>
      <c r="G1413" s="19" t="s">
        <v>32</v>
      </c>
      <c r="H1413" s="19" t="s">
        <v>33</v>
      </c>
      <c r="I1413" s="19" t="s">
        <v>34</v>
      </c>
      <c r="J1413" s="19">
        <v>13</v>
      </c>
      <c r="K1413" s="19">
        <v>1.6299999999999999E-2</v>
      </c>
      <c r="L1413" s="19" t="s">
        <v>541</v>
      </c>
      <c r="M1413" s="19" t="s">
        <v>541</v>
      </c>
      <c r="N1413" s="19">
        <v>50</v>
      </c>
      <c r="O1413" s="19">
        <v>95</v>
      </c>
      <c r="P1413" s="19">
        <v>100</v>
      </c>
      <c r="Q1413" s="19">
        <v>50</v>
      </c>
      <c r="R1413" s="19" t="s">
        <v>870</v>
      </c>
      <c r="S1413" s="19">
        <v>0.9</v>
      </c>
      <c r="T1413" s="19">
        <v>0.9</v>
      </c>
      <c r="U1413" s="19">
        <v>45</v>
      </c>
      <c r="AA1413" s="19">
        <v>0</v>
      </c>
    </row>
    <row r="1414" spans="1:27" x14ac:dyDescent="0.25">
      <c r="A1414" s="19" t="s">
        <v>2796</v>
      </c>
      <c r="B1414" s="19" t="s">
        <v>2787</v>
      </c>
      <c r="C1414" s="19" t="s">
        <v>2788</v>
      </c>
      <c r="D1414" s="19">
        <v>1.7669999999999999</v>
      </c>
      <c r="E1414" s="19" t="s">
        <v>61</v>
      </c>
      <c r="F1414" s="19" t="s">
        <v>62</v>
      </c>
      <c r="G1414" s="19" t="s">
        <v>32</v>
      </c>
      <c r="H1414" s="19" t="s">
        <v>63</v>
      </c>
      <c r="I1414" s="19" t="s">
        <v>64</v>
      </c>
      <c r="J1414" s="19">
        <v>22</v>
      </c>
      <c r="K1414" s="19">
        <v>1.8599999999999998E-2</v>
      </c>
      <c r="L1414" s="19" t="s">
        <v>541</v>
      </c>
      <c r="M1414" s="19" t="s">
        <v>541</v>
      </c>
      <c r="N1414" s="19">
        <v>50</v>
      </c>
      <c r="O1414" s="19">
        <v>95</v>
      </c>
      <c r="P1414" s="19">
        <v>100</v>
      </c>
      <c r="Q1414" s="19">
        <v>50</v>
      </c>
      <c r="R1414" s="19" t="s">
        <v>870</v>
      </c>
      <c r="S1414" s="19">
        <v>0.9</v>
      </c>
      <c r="T1414" s="19">
        <v>0.9</v>
      </c>
      <c r="U1414" s="19">
        <v>45</v>
      </c>
      <c r="AA1414" s="19">
        <v>0</v>
      </c>
    </row>
    <row r="1415" spans="1:27" x14ac:dyDescent="0.25">
      <c r="A1415" s="19" t="s">
        <v>2797</v>
      </c>
      <c r="B1415" s="19" t="s">
        <v>2787</v>
      </c>
      <c r="C1415" s="19" t="s">
        <v>2788</v>
      </c>
      <c r="D1415" s="19">
        <v>1.7669999999999999</v>
      </c>
      <c r="E1415" s="19" t="s">
        <v>66</v>
      </c>
      <c r="F1415" s="19" t="s">
        <v>67</v>
      </c>
      <c r="G1415" s="19" t="s">
        <v>32</v>
      </c>
      <c r="H1415" s="19" t="s">
        <v>63</v>
      </c>
      <c r="I1415" s="19" t="s">
        <v>64</v>
      </c>
      <c r="J1415" s="19">
        <v>20</v>
      </c>
      <c r="K1415" s="19">
        <v>1.8599999999999998E-2</v>
      </c>
      <c r="L1415" s="19" t="s">
        <v>541</v>
      </c>
      <c r="M1415" s="19" t="s">
        <v>541</v>
      </c>
      <c r="N1415" s="19">
        <v>50</v>
      </c>
      <c r="O1415" s="19">
        <v>95</v>
      </c>
      <c r="P1415" s="19">
        <v>100</v>
      </c>
      <c r="Q1415" s="19">
        <v>50</v>
      </c>
      <c r="R1415" s="19" t="s">
        <v>870</v>
      </c>
      <c r="S1415" s="19">
        <v>0.9</v>
      </c>
      <c r="T1415" s="19">
        <v>0.9</v>
      </c>
      <c r="U1415" s="19">
        <v>45</v>
      </c>
      <c r="AA1415" s="19">
        <v>0</v>
      </c>
    </row>
    <row r="1416" spans="1:27" x14ac:dyDescent="0.25">
      <c r="A1416" s="19" t="s">
        <v>2798</v>
      </c>
      <c r="B1416" s="19" t="s">
        <v>2787</v>
      </c>
      <c r="C1416" s="19" t="s">
        <v>2788</v>
      </c>
      <c r="D1416" s="19">
        <v>1.7669999999999999</v>
      </c>
      <c r="E1416" s="19" t="s">
        <v>69</v>
      </c>
      <c r="F1416" s="19" t="s">
        <v>70</v>
      </c>
      <c r="G1416" s="19" t="s">
        <v>32</v>
      </c>
      <c r="H1416" s="19" t="s">
        <v>63</v>
      </c>
      <c r="I1416" s="19" t="s">
        <v>64</v>
      </c>
      <c r="J1416" s="19">
        <v>23</v>
      </c>
      <c r="K1416" s="19">
        <v>1.8599999999999998E-2</v>
      </c>
      <c r="L1416" s="19" t="s">
        <v>541</v>
      </c>
      <c r="M1416" s="19" t="s">
        <v>541</v>
      </c>
      <c r="N1416" s="19">
        <v>50</v>
      </c>
      <c r="O1416" s="19">
        <v>95</v>
      </c>
      <c r="P1416" s="19">
        <v>100</v>
      </c>
      <c r="Q1416" s="19">
        <v>50</v>
      </c>
      <c r="R1416" s="19" t="s">
        <v>870</v>
      </c>
      <c r="S1416" s="19">
        <v>0.9</v>
      </c>
      <c r="T1416" s="19">
        <v>0.9</v>
      </c>
      <c r="U1416" s="19">
        <v>45</v>
      </c>
      <c r="AA1416" s="19">
        <v>0</v>
      </c>
    </row>
    <row r="1417" spans="1:27" x14ac:dyDescent="0.25">
      <c r="A1417" s="19" t="s">
        <v>2799</v>
      </c>
      <c r="B1417" s="19" t="s">
        <v>2787</v>
      </c>
      <c r="C1417" s="19" t="s">
        <v>2788</v>
      </c>
      <c r="D1417" s="19">
        <v>1.7669999999999999</v>
      </c>
      <c r="E1417" s="19" t="s">
        <v>72</v>
      </c>
      <c r="F1417" s="19" t="s">
        <v>73</v>
      </c>
      <c r="G1417" s="19" t="s">
        <v>32</v>
      </c>
      <c r="H1417" s="19" t="s">
        <v>63</v>
      </c>
      <c r="I1417" s="19" t="s">
        <v>64</v>
      </c>
      <c r="J1417" s="19">
        <v>21</v>
      </c>
      <c r="K1417" s="19">
        <v>1.8599999999999998E-2</v>
      </c>
      <c r="L1417" s="19" t="s">
        <v>541</v>
      </c>
      <c r="M1417" s="19" t="s">
        <v>541</v>
      </c>
      <c r="N1417" s="19">
        <v>50</v>
      </c>
      <c r="O1417" s="19">
        <v>95</v>
      </c>
      <c r="P1417" s="19">
        <v>100</v>
      </c>
      <c r="Q1417" s="19">
        <v>50</v>
      </c>
      <c r="R1417" s="19" t="s">
        <v>870</v>
      </c>
      <c r="S1417" s="19">
        <v>0.9</v>
      </c>
      <c r="T1417" s="19">
        <v>0.9</v>
      </c>
      <c r="U1417" s="19">
        <v>45</v>
      </c>
      <c r="AA1417" s="19">
        <v>0</v>
      </c>
    </row>
    <row r="1418" spans="1:27" x14ac:dyDescent="0.25">
      <c r="A1418" s="19" t="s">
        <v>2800</v>
      </c>
      <c r="B1418" s="19" t="s">
        <v>2787</v>
      </c>
      <c r="C1418" s="19" t="s">
        <v>2788</v>
      </c>
      <c r="D1418" s="19">
        <v>1.7246427812034799</v>
      </c>
      <c r="E1418" s="19" t="s">
        <v>75</v>
      </c>
      <c r="F1418" s="19" t="s">
        <v>76</v>
      </c>
      <c r="G1418" s="19" t="s">
        <v>32</v>
      </c>
      <c r="H1418" s="19" t="s">
        <v>63</v>
      </c>
      <c r="I1418" s="19" t="s">
        <v>64</v>
      </c>
      <c r="J1418" s="19">
        <v>24</v>
      </c>
      <c r="K1418" s="19">
        <v>1.8599999999999998E-2</v>
      </c>
      <c r="L1418" s="19" t="s">
        <v>541</v>
      </c>
      <c r="M1418" s="19" t="s">
        <v>541</v>
      </c>
      <c r="N1418" s="19">
        <v>50</v>
      </c>
      <c r="O1418" s="19">
        <v>92.722730172200002</v>
      </c>
      <c r="P1418" s="19">
        <v>94.939400382700001</v>
      </c>
      <c r="Q1418" s="19">
        <v>47.469700191400001</v>
      </c>
      <c r="R1418" s="19" t="s">
        <v>870</v>
      </c>
      <c r="S1418" s="19">
        <v>0.9</v>
      </c>
      <c r="T1418" s="19">
        <v>0.9</v>
      </c>
      <c r="U1418" s="19">
        <v>42.722730172200002</v>
      </c>
      <c r="AA1418" s="19">
        <v>0</v>
      </c>
    </row>
    <row r="1419" spans="1:27" x14ac:dyDescent="0.25">
      <c r="A1419" s="19" t="s">
        <v>2801</v>
      </c>
      <c r="B1419" s="19" t="s">
        <v>2787</v>
      </c>
      <c r="C1419" s="19" t="s">
        <v>2788</v>
      </c>
      <c r="D1419" s="19">
        <v>1.4984409951094999</v>
      </c>
      <c r="E1419" s="19" t="s">
        <v>82</v>
      </c>
      <c r="F1419" s="19" t="s">
        <v>83</v>
      </c>
      <c r="G1419" s="19" t="s">
        <v>32</v>
      </c>
      <c r="H1419" s="19" t="s">
        <v>63</v>
      </c>
      <c r="I1419" s="19" t="s">
        <v>64</v>
      </c>
      <c r="J1419" s="19">
        <v>26</v>
      </c>
      <c r="K1419" s="19">
        <v>1.8599999999999998E-2</v>
      </c>
      <c r="L1419" s="19" t="s">
        <v>541</v>
      </c>
      <c r="M1419" s="19" t="s">
        <v>541</v>
      </c>
      <c r="N1419" s="19">
        <v>50</v>
      </c>
      <c r="O1419" s="19">
        <v>80.561343823100003</v>
      </c>
      <c r="P1419" s="19">
        <v>67.914097384599998</v>
      </c>
      <c r="Q1419" s="19">
        <v>33.957048692299999</v>
      </c>
      <c r="R1419" s="19" t="s">
        <v>870</v>
      </c>
      <c r="S1419" s="19">
        <v>0.9</v>
      </c>
      <c r="T1419" s="19">
        <v>0.9</v>
      </c>
      <c r="U1419" s="19">
        <v>30.5613438231</v>
      </c>
      <c r="AA1419" s="19">
        <v>0</v>
      </c>
    </row>
    <row r="1420" spans="1:27" x14ac:dyDescent="0.25">
      <c r="A1420" s="19" t="s">
        <v>2802</v>
      </c>
      <c r="B1420" s="19" t="s">
        <v>2787</v>
      </c>
      <c r="C1420" s="19" t="s">
        <v>2788</v>
      </c>
      <c r="D1420" s="19">
        <v>2.54920795237082</v>
      </c>
      <c r="E1420" s="19" t="s">
        <v>85</v>
      </c>
      <c r="F1420" s="19" t="s">
        <v>86</v>
      </c>
      <c r="G1420" s="19" t="s">
        <v>32</v>
      </c>
      <c r="H1420" s="19" t="s">
        <v>87</v>
      </c>
      <c r="I1420" s="19" t="s">
        <v>88</v>
      </c>
      <c r="J1420" s="19">
        <v>35</v>
      </c>
      <c r="K1420" s="19">
        <v>3.2500000000000001E-2</v>
      </c>
      <c r="L1420" s="19" t="s">
        <v>541</v>
      </c>
      <c r="M1420" s="19" t="s">
        <v>541</v>
      </c>
      <c r="N1420" s="19">
        <v>50</v>
      </c>
      <c r="O1420" s="19">
        <v>78.437167765300003</v>
      </c>
      <c r="P1420" s="19">
        <v>63.193706145</v>
      </c>
      <c r="Q1420" s="19">
        <v>31.5968530725</v>
      </c>
      <c r="R1420" s="19" t="s">
        <v>870</v>
      </c>
      <c r="S1420" s="19">
        <v>0.9</v>
      </c>
      <c r="T1420" s="19">
        <v>0.9</v>
      </c>
      <c r="U1420" s="19">
        <v>28.4371677653</v>
      </c>
      <c r="AA1420" s="19">
        <v>0</v>
      </c>
    </row>
    <row r="1421" spans="1:27" x14ac:dyDescent="0.25">
      <c r="A1421" s="19" t="s">
        <v>2803</v>
      </c>
      <c r="B1421" s="19" t="s">
        <v>2787</v>
      </c>
      <c r="C1421" s="19" t="s">
        <v>2788</v>
      </c>
      <c r="D1421" s="19">
        <v>2.4761295981288498</v>
      </c>
      <c r="E1421" s="19" t="s">
        <v>93</v>
      </c>
      <c r="F1421" s="19" t="s">
        <v>94</v>
      </c>
      <c r="G1421" s="19" t="s">
        <v>32</v>
      </c>
      <c r="H1421" s="19" t="s">
        <v>87</v>
      </c>
      <c r="I1421" s="19" t="s">
        <v>88</v>
      </c>
      <c r="J1421" s="19">
        <v>34</v>
      </c>
      <c r="K1421" s="19">
        <v>3.2500000000000001E-2</v>
      </c>
      <c r="L1421" s="19" t="s">
        <v>541</v>
      </c>
      <c r="M1421" s="19" t="s">
        <v>541</v>
      </c>
      <c r="N1421" s="19">
        <v>50</v>
      </c>
      <c r="O1421" s="19">
        <v>76.188603019300004</v>
      </c>
      <c r="P1421" s="19">
        <v>58.196895598600001</v>
      </c>
      <c r="Q1421" s="19">
        <v>29.098447799300001</v>
      </c>
      <c r="R1421" s="19" t="s">
        <v>870</v>
      </c>
      <c r="S1421" s="19">
        <v>0.9</v>
      </c>
      <c r="T1421" s="19">
        <v>0.9</v>
      </c>
      <c r="U1421" s="19">
        <v>26.1886030193</v>
      </c>
      <c r="AA1421" s="19">
        <v>0</v>
      </c>
    </row>
    <row r="1422" spans="1:27" x14ac:dyDescent="0.25">
      <c r="A1422" s="19" t="s">
        <v>2804</v>
      </c>
      <c r="B1422" s="19" t="s">
        <v>2787</v>
      </c>
      <c r="C1422" s="19" t="s">
        <v>2788</v>
      </c>
      <c r="D1422" s="19">
        <v>2.1925516159897902</v>
      </c>
      <c r="E1422" s="19" t="s">
        <v>108</v>
      </c>
      <c r="F1422" s="19" t="s">
        <v>109</v>
      </c>
      <c r="G1422" s="19" t="s">
        <v>32</v>
      </c>
      <c r="H1422" s="19" t="s">
        <v>101</v>
      </c>
      <c r="I1422" s="19" t="s">
        <v>102</v>
      </c>
      <c r="J1422" s="19">
        <v>37</v>
      </c>
      <c r="K1422" s="19">
        <v>4.3299999999999998E-2</v>
      </c>
      <c r="L1422" s="19" t="s">
        <v>541</v>
      </c>
      <c r="M1422" s="19" t="s">
        <v>541</v>
      </c>
      <c r="N1422" s="19">
        <v>50</v>
      </c>
      <c r="O1422" s="19">
        <v>50.636295981300002</v>
      </c>
      <c r="P1422" s="19">
        <v>1.41399106953</v>
      </c>
      <c r="Q1422" s="19">
        <v>0.70699553476499999</v>
      </c>
      <c r="R1422" s="19" t="s">
        <v>870</v>
      </c>
      <c r="S1422" s="19">
        <v>0.9</v>
      </c>
      <c r="T1422" s="19">
        <v>0.9</v>
      </c>
      <c r="U1422" s="19">
        <v>0.636295981289</v>
      </c>
      <c r="AA1422" s="19">
        <v>0</v>
      </c>
    </row>
    <row r="1423" spans="1:27" x14ac:dyDescent="0.25">
      <c r="A1423" s="19" t="s">
        <v>2805</v>
      </c>
      <c r="B1423" s="19" t="s">
        <v>2787</v>
      </c>
      <c r="C1423" s="19" t="s">
        <v>2788</v>
      </c>
      <c r="D1423" s="19">
        <v>1.11303051243886</v>
      </c>
      <c r="E1423" s="19" t="s">
        <v>126</v>
      </c>
      <c r="F1423" s="19" t="s">
        <v>127</v>
      </c>
      <c r="G1423" s="19" t="s">
        <v>32</v>
      </c>
      <c r="H1423" s="19" t="s">
        <v>114</v>
      </c>
      <c r="I1423" s="19" t="s">
        <v>115</v>
      </c>
      <c r="J1423" s="19">
        <v>29</v>
      </c>
      <c r="K1423" s="19">
        <v>2.1700000000000001E-2</v>
      </c>
      <c r="L1423" s="19" t="s">
        <v>541</v>
      </c>
      <c r="M1423" s="19" t="s">
        <v>541</v>
      </c>
      <c r="N1423" s="19">
        <v>50</v>
      </c>
      <c r="O1423" s="19">
        <v>51.291728683800002</v>
      </c>
      <c r="P1423" s="19">
        <v>2.8705081862599999</v>
      </c>
      <c r="Q1423" s="19">
        <v>1.43525409313</v>
      </c>
      <c r="R1423" s="19" t="s">
        <v>870</v>
      </c>
      <c r="S1423" s="19">
        <v>0.9</v>
      </c>
      <c r="T1423" s="19">
        <v>0.9</v>
      </c>
      <c r="U1423" s="19">
        <v>1.2917286838199999</v>
      </c>
      <c r="AA1423" s="19">
        <v>0</v>
      </c>
    </row>
    <row r="1424" spans="1:27" x14ac:dyDescent="0.25">
      <c r="A1424" s="19" t="s">
        <v>2806</v>
      </c>
      <c r="B1424" s="19" t="s">
        <v>2787</v>
      </c>
      <c r="C1424" s="19" t="s">
        <v>2788</v>
      </c>
      <c r="D1424" s="19">
        <v>2.085</v>
      </c>
      <c r="E1424" s="19" t="s">
        <v>132</v>
      </c>
      <c r="F1424" s="19" t="s">
        <v>133</v>
      </c>
      <c r="G1424" s="19" t="s">
        <v>134</v>
      </c>
      <c r="H1424" s="19" t="s">
        <v>87</v>
      </c>
      <c r="I1424" s="19" t="s">
        <v>135</v>
      </c>
      <c r="J1424" s="19">
        <v>11</v>
      </c>
      <c r="K1424" s="19">
        <v>4.1700000000000001E-2</v>
      </c>
      <c r="L1424" s="19" t="s">
        <v>35</v>
      </c>
      <c r="M1424" s="19" t="s">
        <v>103</v>
      </c>
      <c r="N1424" s="19">
        <v>50</v>
      </c>
      <c r="O1424" s="19">
        <v>50</v>
      </c>
      <c r="P1424" s="19">
        <v>0</v>
      </c>
      <c r="Q1424" s="19">
        <v>0</v>
      </c>
      <c r="R1424" s="19" t="s">
        <v>870</v>
      </c>
      <c r="S1424" s="19">
        <v>0.9</v>
      </c>
      <c r="T1424" s="19">
        <v>1</v>
      </c>
      <c r="U1424" s="19">
        <v>0</v>
      </c>
      <c r="V1424" s="19" t="s">
        <v>41</v>
      </c>
      <c r="W1424" s="19">
        <v>1</v>
      </c>
      <c r="Y1424" s="19" t="s">
        <v>103</v>
      </c>
      <c r="Z1424" s="19">
        <v>50</v>
      </c>
      <c r="AA1424" s="19">
        <v>50</v>
      </c>
    </row>
    <row r="1425" spans="1:27" x14ac:dyDescent="0.25">
      <c r="A1425" s="19" t="s">
        <v>2807</v>
      </c>
      <c r="B1425" s="19" t="s">
        <v>2787</v>
      </c>
      <c r="C1425" s="19" t="s">
        <v>2788</v>
      </c>
      <c r="D1425" s="19">
        <v>0.69493050000000001</v>
      </c>
      <c r="E1425" s="19" t="s">
        <v>137</v>
      </c>
      <c r="F1425" s="19" t="s">
        <v>138</v>
      </c>
      <c r="G1425" s="19" t="s">
        <v>134</v>
      </c>
      <c r="H1425" s="19" t="s">
        <v>87</v>
      </c>
      <c r="I1425" s="19" t="s">
        <v>135</v>
      </c>
      <c r="J1425" s="19">
        <v>9</v>
      </c>
      <c r="K1425" s="19">
        <v>4.1700000000000001E-2</v>
      </c>
      <c r="L1425" s="19" t="s">
        <v>35</v>
      </c>
      <c r="M1425" s="19" t="s">
        <v>110</v>
      </c>
      <c r="N1425" s="19">
        <v>16.664999999999999</v>
      </c>
      <c r="O1425" s="19">
        <v>16.664999999999999</v>
      </c>
      <c r="P1425" s="19">
        <v>0</v>
      </c>
      <c r="Q1425" s="19">
        <v>0</v>
      </c>
      <c r="R1425" s="19" t="s">
        <v>870</v>
      </c>
      <c r="S1425" s="19">
        <v>0.9</v>
      </c>
      <c r="T1425" s="19">
        <v>1</v>
      </c>
      <c r="U1425" s="19">
        <v>0</v>
      </c>
      <c r="W1425" s="19">
        <v>0</v>
      </c>
      <c r="X1425" s="19">
        <v>3</v>
      </c>
      <c r="Y1425" s="19" t="s">
        <v>110</v>
      </c>
      <c r="Z1425" s="19">
        <v>16.664999999999999</v>
      </c>
      <c r="AA1425" s="19">
        <v>16.664999999999999</v>
      </c>
    </row>
    <row r="1426" spans="1:27" x14ac:dyDescent="0.25">
      <c r="A1426" s="19" t="s">
        <v>2808</v>
      </c>
      <c r="B1426" s="19" t="s">
        <v>2787</v>
      </c>
      <c r="C1426" s="19" t="s">
        <v>2788</v>
      </c>
      <c r="D1426" s="19">
        <v>2.085</v>
      </c>
      <c r="E1426" s="19" t="s">
        <v>140</v>
      </c>
      <c r="F1426" s="19" t="s">
        <v>141</v>
      </c>
      <c r="G1426" s="19" t="s">
        <v>134</v>
      </c>
      <c r="H1426" s="19" t="s">
        <v>87</v>
      </c>
      <c r="I1426" s="19" t="s">
        <v>135</v>
      </c>
      <c r="J1426" s="19">
        <v>10</v>
      </c>
      <c r="K1426" s="19">
        <v>4.1700000000000001E-2</v>
      </c>
      <c r="L1426" s="19" t="s">
        <v>35</v>
      </c>
      <c r="M1426" s="19" t="s">
        <v>142</v>
      </c>
      <c r="N1426" s="19">
        <v>50</v>
      </c>
      <c r="O1426" s="19">
        <v>50</v>
      </c>
      <c r="P1426" s="19">
        <v>0</v>
      </c>
      <c r="Q1426" s="19">
        <v>0</v>
      </c>
      <c r="R1426" s="19" t="s">
        <v>870</v>
      </c>
      <c r="S1426" s="19">
        <v>0.9</v>
      </c>
      <c r="T1426" s="19">
        <v>1</v>
      </c>
      <c r="U1426" s="19">
        <v>0</v>
      </c>
      <c r="W1426" s="19">
        <v>0</v>
      </c>
      <c r="X1426" s="19">
        <v>3</v>
      </c>
      <c r="Y1426" s="19" t="s">
        <v>142</v>
      </c>
      <c r="Z1426" s="19">
        <v>50</v>
      </c>
      <c r="AA1426" s="19">
        <v>50</v>
      </c>
    </row>
    <row r="1427" spans="1:27" x14ac:dyDescent="0.25">
      <c r="A1427" s="19" t="s">
        <v>2809</v>
      </c>
      <c r="B1427" s="19" t="s">
        <v>2787</v>
      </c>
      <c r="C1427" s="19" t="s">
        <v>2788</v>
      </c>
      <c r="D1427" s="19">
        <v>1.25</v>
      </c>
      <c r="E1427" s="19" t="s">
        <v>144</v>
      </c>
      <c r="F1427" s="19" t="s">
        <v>145</v>
      </c>
      <c r="G1427" s="19" t="s">
        <v>134</v>
      </c>
      <c r="H1427" s="19" t="s">
        <v>146</v>
      </c>
      <c r="I1427" s="19" t="s">
        <v>147</v>
      </c>
      <c r="J1427" s="19">
        <v>4</v>
      </c>
      <c r="K1427" s="19">
        <v>2.5000000000000001E-2</v>
      </c>
      <c r="L1427" s="19" t="s">
        <v>35</v>
      </c>
      <c r="M1427" s="19" t="s">
        <v>103</v>
      </c>
      <c r="N1427" s="19">
        <v>50</v>
      </c>
      <c r="O1427" s="19">
        <v>50</v>
      </c>
      <c r="P1427" s="19">
        <v>0</v>
      </c>
      <c r="Q1427" s="19">
        <v>0</v>
      </c>
      <c r="R1427" s="19" t="s">
        <v>870</v>
      </c>
      <c r="S1427" s="19">
        <v>0.9</v>
      </c>
      <c r="T1427" s="19">
        <v>1</v>
      </c>
      <c r="U1427" s="19">
        <v>0</v>
      </c>
      <c r="V1427" s="19" t="s">
        <v>41</v>
      </c>
      <c r="W1427" s="19">
        <v>1</v>
      </c>
      <c r="Y1427" s="19" t="s">
        <v>103</v>
      </c>
      <c r="Z1427" s="19">
        <v>50</v>
      </c>
      <c r="AA1427" s="19">
        <v>50</v>
      </c>
    </row>
    <row r="1428" spans="1:27" x14ac:dyDescent="0.25">
      <c r="A1428" s="19" t="s">
        <v>2810</v>
      </c>
      <c r="B1428" s="19" t="s">
        <v>2787</v>
      </c>
      <c r="C1428" s="19" t="s">
        <v>2788</v>
      </c>
      <c r="D1428" s="19">
        <v>1.25</v>
      </c>
      <c r="E1428" s="19" t="s">
        <v>149</v>
      </c>
      <c r="F1428" s="19" t="s">
        <v>150</v>
      </c>
      <c r="G1428" s="19" t="s">
        <v>134</v>
      </c>
      <c r="H1428" s="19" t="s">
        <v>146</v>
      </c>
      <c r="I1428" s="19" t="s">
        <v>147</v>
      </c>
      <c r="J1428" s="19">
        <v>5</v>
      </c>
      <c r="K1428" s="19">
        <v>2.5000000000000001E-2</v>
      </c>
      <c r="L1428" s="19" t="s">
        <v>35</v>
      </c>
      <c r="M1428" s="19" t="s">
        <v>103</v>
      </c>
      <c r="N1428" s="19">
        <v>50</v>
      </c>
      <c r="O1428" s="19">
        <v>50</v>
      </c>
      <c r="P1428" s="19">
        <v>0</v>
      </c>
      <c r="Q1428" s="19">
        <v>0</v>
      </c>
      <c r="R1428" s="19" t="s">
        <v>870</v>
      </c>
      <c r="S1428" s="19">
        <v>0.9</v>
      </c>
      <c r="T1428" s="19">
        <v>1</v>
      </c>
      <c r="U1428" s="19">
        <v>0</v>
      </c>
      <c r="V1428" s="19" t="s">
        <v>41</v>
      </c>
      <c r="W1428" s="19">
        <v>1</v>
      </c>
      <c r="Y1428" s="19" t="s">
        <v>103</v>
      </c>
      <c r="Z1428" s="19">
        <v>50</v>
      </c>
      <c r="AA1428" s="19">
        <v>50</v>
      </c>
    </row>
    <row r="1429" spans="1:27" x14ac:dyDescent="0.25">
      <c r="A1429" s="19" t="s">
        <v>2811</v>
      </c>
      <c r="B1429" s="19" t="s">
        <v>2787</v>
      </c>
      <c r="C1429" s="19" t="s">
        <v>2788</v>
      </c>
      <c r="D1429" s="19">
        <v>1.25</v>
      </c>
      <c r="E1429" s="19" t="s">
        <v>152</v>
      </c>
      <c r="F1429" s="19" t="s">
        <v>153</v>
      </c>
      <c r="G1429" s="19" t="s">
        <v>134</v>
      </c>
      <c r="H1429" s="19" t="s">
        <v>146</v>
      </c>
      <c r="I1429" s="19" t="s">
        <v>147</v>
      </c>
      <c r="J1429" s="19">
        <v>6</v>
      </c>
      <c r="K1429" s="19">
        <v>2.5000000000000001E-2</v>
      </c>
      <c r="L1429" s="19" t="s">
        <v>35</v>
      </c>
      <c r="M1429" s="19" t="s">
        <v>103</v>
      </c>
      <c r="N1429" s="19">
        <v>50</v>
      </c>
      <c r="O1429" s="19">
        <v>50</v>
      </c>
      <c r="P1429" s="19">
        <v>0</v>
      </c>
      <c r="Q1429" s="19">
        <v>0</v>
      </c>
      <c r="R1429" s="19" t="s">
        <v>870</v>
      </c>
      <c r="S1429" s="19">
        <v>0.9</v>
      </c>
      <c r="T1429" s="19">
        <v>1</v>
      </c>
      <c r="U1429" s="19">
        <v>0</v>
      </c>
      <c r="V1429" s="19" t="s">
        <v>41</v>
      </c>
      <c r="W1429" s="19">
        <v>1</v>
      </c>
      <c r="Y1429" s="19" t="s">
        <v>103</v>
      </c>
      <c r="Z1429" s="19">
        <v>50</v>
      </c>
      <c r="AA1429" s="19">
        <v>50</v>
      </c>
    </row>
    <row r="1430" spans="1:27" x14ac:dyDescent="0.25">
      <c r="A1430" s="19" t="s">
        <v>2812</v>
      </c>
      <c r="B1430" s="19" t="s">
        <v>2787</v>
      </c>
      <c r="C1430" s="19" t="s">
        <v>2788</v>
      </c>
      <c r="D1430" s="19">
        <v>1.25</v>
      </c>
      <c r="E1430" s="19" t="s">
        <v>155</v>
      </c>
      <c r="F1430" s="19" t="s">
        <v>156</v>
      </c>
      <c r="G1430" s="19" t="s">
        <v>134</v>
      </c>
      <c r="H1430" s="19" t="s">
        <v>146</v>
      </c>
      <c r="I1430" s="19" t="s">
        <v>147</v>
      </c>
      <c r="J1430" s="19">
        <v>7</v>
      </c>
      <c r="K1430" s="19">
        <v>2.5000000000000001E-2</v>
      </c>
      <c r="L1430" s="19" t="s">
        <v>35</v>
      </c>
      <c r="M1430" s="19" t="s">
        <v>103</v>
      </c>
      <c r="N1430" s="19">
        <v>50</v>
      </c>
      <c r="O1430" s="19">
        <v>50</v>
      </c>
      <c r="P1430" s="19">
        <v>0</v>
      </c>
      <c r="Q1430" s="19">
        <v>0</v>
      </c>
      <c r="R1430" s="19" t="s">
        <v>870</v>
      </c>
      <c r="S1430" s="19">
        <v>0.9</v>
      </c>
      <c r="T1430" s="19">
        <v>1</v>
      </c>
      <c r="U1430" s="19">
        <v>0</v>
      </c>
      <c r="V1430" s="19" t="s">
        <v>41</v>
      </c>
      <c r="W1430" s="19">
        <v>1</v>
      </c>
      <c r="Y1430" s="19" t="s">
        <v>103</v>
      </c>
      <c r="Z1430" s="19">
        <v>50</v>
      </c>
      <c r="AA1430" s="19">
        <v>50</v>
      </c>
    </row>
    <row r="1431" spans="1:27" x14ac:dyDescent="0.25">
      <c r="A1431" s="19" t="s">
        <v>2813</v>
      </c>
      <c r="B1431" s="19" t="s">
        <v>2787</v>
      </c>
      <c r="C1431" s="19" t="s">
        <v>2788</v>
      </c>
      <c r="D1431" s="19">
        <v>0</v>
      </c>
      <c r="E1431" s="19" t="s">
        <v>158</v>
      </c>
      <c r="F1431" s="19" t="s">
        <v>159</v>
      </c>
      <c r="G1431" s="19" t="s">
        <v>134</v>
      </c>
      <c r="H1431" s="19" t="s">
        <v>146</v>
      </c>
      <c r="I1431" s="19" t="s">
        <v>147</v>
      </c>
      <c r="J1431" s="19">
        <v>8</v>
      </c>
      <c r="K1431" s="19">
        <v>2.5000000000000001E-2</v>
      </c>
      <c r="L1431" s="19" t="s">
        <v>35</v>
      </c>
      <c r="M1431" s="19" t="s">
        <v>103</v>
      </c>
      <c r="N1431" s="19">
        <v>0</v>
      </c>
      <c r="O1431" s="19">
        <v>0</v>
      </c>
      <c r="P1431" s="19">
        <v>0</v>
      </c>
      <c r="Q1431" s="19">
        <v>0</v>
      </c>
      <c r="R1431" s="19" t="s">
        <v>870</v>
      </c>
      <c r="S1431" s="19">
        <v>0.9</v>
      </c>
      <c r="T1431" s="19">
        <v>1</v>
      </c>
      <c r="U1431" s="19">
        <v>0</v>
      </c>
      <c r="V1431" s="19" t="s">
        <v>80</v>
      </c>
      <c r="W1431" s="19">
        <v>0</v>
      </c>
      <c r="Y1431" s="19" t="s">
        <v>103</v>
      </c>
      <c r="Z1431" s="19">
        <v>50</v>
      </c>
      <c r="AA1431" s="19">
        <v>0</v>
      </c>
    </row>
    <row r="1432" spans="1:27" x14ac:dyDescent="0.25">
      <c r="A1432" s="19" t="s">
        <v>2814</v>
      </c>
      <c r="B1432" s="19" t="s">
        <v>2787</v>
      </c>
      <c r="C1432" s="19" t="s">
        <v>2788</v>
      </c>
      <c r="D1432" s="19">
        <v>0</v>
      </c>
      <c r="E1432" s="19" t="s">
        <v>78</v>
      </c>
      <c r="F1432" s="19" t="s">
        <v>79</v>
      </c>
      <c r="G1432" s="19" t="s">
        <v>32</v>
      </c>
      <c r="H1432" s="19" t="s">
        <v>63</v>
      </c>
      <c r="I1432" s="19" t="s">
        <v>64</v>
      </c>
      <c r="J1432" s="19">
        <v>25</v>
      </c>
      <c r="K1432" s="19">
        <v>1.8599999999999998E-2</v>
      </c>
      <c r="L1432" s="19" t="s">
        <v>35</v>
      </c>
      <c r="M1432" s="19" t="s">
        <v>40</v>
      </c>
      <c r="N1432" s="19">
        <v>0</v>
      </c>
      <c r="O1432" s="19">
        <v>0</v>
      </c>
      <c r="P1432" s="19">
        <v>0</v>
      </c>
      <c r="Q1432" s="19">
        <v>0</v>
      </c>
      <c r="R1432" s="19" t="s">
        <v>870</v>
      </c>
      <c r="S1432" s="19">
        <v>0.9</v>
      </c>
      <c r="T1432" s="19">
        <v>1</v>
      </c>
      <c r="U1432" s="19">
        <v>0</v>
      </c>
      <c r="V1432" s="19" t="s">
        <v>80</v>
      </c>
      <c r="W1432" s="19">
        <v>0</v>
      </c>
      <c r="Y1432" s="19" t="s">
        <v>40</v>
      </c>
      <c r="Z1432" s="19">
        <v>33.33</v>
      </c>
      <c r="AA1432" s="19">
        <v>0</v>
      </c>
    </row>
    <row r="1433" spans="1:27" x14ac:dyDescent="0.25">
      <c r="A1433" s="19" t="s">
        <v>2815</v>
      </c>
      <c r="B1433" s="19" t="s">
        <v>2787</v>
      </c>
      <c r="C1433" s="19" t="s">
        <v>2788</v>
      </c>
      <c r="D1433" s="19">
        <v>0</v>
      </c>
      <c r="E1433" s="19" t="s">
        <v>90</v>
      </c>
      <c r="F1433" s="19" t="s">
        <v>91</v>
      </c>
      <c r="G1433" s="19" t="s">
        <v>32</v>
      </c>
      <c r="H1433" s="19" t="s">
        <v>87</v>
      </c>
      <c r="I1433" s="19" t="s">
        <v>88</v>
      </c>
      <c r="J1433" s="19">
        <v>33</v>
      </c>
      <c r="K1433" s="19">
        <v>3.2500000000000001E-2</v>
      </c>
      <c r="L1433" s="19" t="s">
        <v>35</v>
      </c>
      <c r="M1433" s="19" t="s">
        <v>40</v>
      </c>
      <c r="N1433" s="19">
        <v>0</v>
      </c>
      <c r="O1433" s="19">
        <v>0</v>
      </c>
      <c r="P1433" s="19">
        <v>0</v>
      </c>
      <c r="Q1433" s="19">
        <v>0</v>
      </c>
      <c r="R1433" s="19" t="s">
        <v>870</v>
      </c>
      <c r="S1433" s="19">
        <v>0.9</v>
      </c>
      <c r="T1433" s="19">
        <v>1</v>
      </c>
      <c r="U1433" s="19">
        <v>0</v>
      </c>
      <c r="V1433" s="19" t="s">
        <v>36</v>
      </c>
      <c r="W1433" s="19">
        <v>0</v>
      </c>
      <c r="Y1433" s="19" t="s">
        <v>40</v>
      </c>
      <c r="Z1433" s="19">
        <v>33.33</v>
      </c>
      <c r="AA1433" s="19">
        <v>0</v>
      </c>
    </row>
    <row r="1434" spans="1:27" x14ac:dyDescent="0.25">
      <c r="A1434" s="19" t="s">
        <v>2816</v>
      </c>
      <c r="B1434" s="19" t="s">
        <v>2787</v>
      </c>
      <c r="C1434" s="19" t="s">
        <v>2788</v>
      </c>
      <c r="D1434" s="19">
        <v>0</v>
      </c>
      <c r="E1434" s="19" t="s">
        <v>96</v>
      </c>
      <c r="F1434" s="19" t="s">
        <v>97</v>
      </c>
      <c r="G1434" s="19" t="s">
        <v>32</v>
      </c>
      <c r="H1434" s="19" t="s">
        <v>87</v>
      </c>
      <c r="I1434" s="19" t="s">
        <v>88</v>
      </c>
      <c r="J1434" s="19">
        <v>36</v>
      </c>
      <c r="K1434" s="19">
        <v>3.2500000000000001E-2</v>
      </c>
      <c r="L1434" s="19" t="s">
        <v>35</v>
      </c>
      <c r="N1434" s="19">
        <v>0</v>
      </c>
      <c r="O1434" s="19">
        <v>0</v>
      </c>
      <c r="P1434" s="19">
        <v>0</v>
      </c>
      <c r="Q1434" s="19">
        <v>0</v>
      </c>
      <c r="R1434" s="19" t="s">
        <v>870</v>
      </c>
      <c r="S1434" s="19">
        <v>0.9</v>
      </c>
      <c r="T1434" s="19">
        <v>1</v>
      </c>
      <c r="U1434" s="19">
        <v>0</v>
      </c>
      <c r="V1434" s="19" t="s">
        <v>36</v>
      </c>
      <c r="W1434" s="19">
        <v>0</v>
      </c>
      <c r="Z1434" s="19">
        <v>0</v>
      </c>
      <c r="AA1434" s="19">
        <v>0</v>
      </c>
    </row>
    <row r="1435" spans="1:27" x14ac:dyDescent="0.25">
      <c r="A1435" s="19" t="s">
        <v>2817</v>
      </c>
      <c r="B1435" s="19" t="s">
        <v>2787</v>
      </c>
      <c r="C1435" s="19" t="s">
        <v>2788</v>
      </c>
      <c r="D1435" s="19">
        <v>0</v>
      </c>
      <c r="E1435" s="19" t="s">
        <v>99</v>
      </c>
      <c r="F1435" s="19" t="s">
        <v>100</v>
      </c>
      <c r="G1435" s="19" t="s">
        <v>32</v>
      </c>
      <c r="H1435" s="19" t="s">
        <v>101</v>
      </c>
      <c r="I1435" s="19" t="s">
        <v>102</v>
      </c>
      <c r="J1435" s="19">
        <v>39</v>
      </c>
      <c r="K1435" s="19">
        <v>4.3299999999999998E-2</v>
      </c>
      <c r="L1435" s="19" t="s">
        <v>35</v>
      </c>
      <c r="M1435" s="19" t="s">
        <v>103</v>
      </c>
      <c r="N1435" s="19">
        <v>0</v>
      </c>
      <c r="O1435" s="19">
        <v>0</v>
      </c>
      <c r="P1435" s="19">
        <v>0</v>
      </c>
      <c r="Q1435" s="19">
        <v>0</v>
      </c>
      <c r="R1435" s="19" t="s">
        <v>870</v>
      </c>
      <c r="S1435" s="19">
        <v>0.9</v>
      </c>
      <c r="T1435" s="19">
        <v>1</v>
      </c>
      <c r="U1435" s="19">
        <v>0</v>
      </c>
      <c r="V1435" s="19" t="s">
        <v>80</v>
      </c>
      <c r="W1435" s="19">
        <v>0</v>
      </c>
      <c r="Y1435" s="19" t="s">
        <v>103</v>
      </c>
      <c r="Z1435" s="19">
        <v>50</v>
      </c>
      <c r="AA1435" s="19">
        <v>0</v>
      </c>
    </row>
    <row r="1436" spans="1:27" x14ac:dyDescent="0.25">
      <c r="A1436" s="19" t="s">
        <v>2818</v>
      </c>
      <c r="B1436" s="19" t="s">
        <v>2787</v>
      </c>
      <c r="C1436" s="19" t="s">
        <v>2788</v>
      </c>
      <c r="D1436" s="19">
        <v>0</v>
      </c>
      <c r="E1436" s="19" t="s">
        <v>105</v>
      </c>
      <c r="F1436" s="19" t="s">
        <v>106</v>
      </c>
      <c r="G1436" s="19" t="s">
        <v>32</v>
      </c>
      <c r="H1436" s="19" t="s">
        <v>101</v>
      </c>
      <c r="I1436" s="19" t="s">
        <v>102</v>
      </c>
      <c r="J1436" s="19">
        <v>38</v>
      </c>
      <c r="K1436" s="19">
        <v>4.3299999999999998E-2</v>
      </c>
      <c r="L1436" s="19" t="s">
        <v>35</v>
      </c>
      <c r="M1436" s="19" t="s">
        <v>103</v>
      </c>
      <c r="N1436" s="19">
        <v>0</v>
      </c>
      <c r="O1436" s="19">
        <v>0</v>
      </c>
      <c r="P1436" s="19">
        <v>0</v>
      </c>
      <c r="Q1436" s="19">
        <v>0</v>
      </c>
      <c r="R1436" s="19" t="s">
        <v>870</v>
      </c>
      <c r="S1436" s="19">
        <v>0.9</v>
      </c>
      <c r="T1436" s="19">
        <v>1</v>
      </c>
      <c r="U1436" s="19">
        <v>0</v>
      </c>
      <c r="V1436" s="19" t="s">
        <v>80</v>
      </c>
      <c r="W1436" s="19">
        <v>0</v>
      </c>
      <c r="Y1436" s="19" t="s">
        <v>103</v>
      </c>
      <c r="Z1436" s="19">
        <v>50</v>
      </c>
      <c r="AA1436" s="19">
        <v>0</v>
      </c>
    </row>
    <row r="1437" spans="1:27" x14ac:dyDescent="0.25">
      <c r="A1437" s="19" t="s">
        <v>2819</v>
      </c>
      <c r="B1437" s="19" t="s">
        <v>2787</v>
      </c>
      <c r="C1437" s="19" t="s">
        <v>2788</v>
      </c>
      <c r="D1437" s="19">
        <v>0</v>
      </c>
      <c r="E1437" s="19" t="s">
        <v>112</v>
      </c>
      <c r="F1437" s="19" t="s">
        <v>113</v>
      </c>
      <c r="G1437" s="19" t="s">
        <v>32</v>
      </c>
      <c r="H1437" s="19" t="s">
        <v>114</v>
      </c>
      <c r="I1437" s="19" t="s">
        <v>115</v>
      </c>
      <c r="J1437" s="19">
        <v>30</v>
      </c>
      <c r="K1437" s="19">
        <v>2.1700000000000001E-2</v>
      </c>
      <c r="L1437" s="19" t="s">
        <v>35</v>
      </c>
      <c r="M1437" s="19" t="s">
        <v>103</v>
      </c>
      <c r="N1437" s="19">
        <v>0</v>
      </c>
      <c r="O1437" s="19">
        <v>0</v>
      </c>
      <c r="P1437" s="19">
        <v>0</v>
      </c>
      <c r="Q1437" s="19">
        <v>0</v>
      </c>
      <c r="R1437" s="19" t="s">
        <v>870</v>
      </c>
      <c r="S1437" s="19">
        <v>0.9</v>
      </c>
      <c r="T1437" s="19">
        <v>1</v>
      </c>
      <c r="U1437" s="19">
        <v>0</v>
      </c>
      <c r="V1437" s="19" t="s">
        <v>80</v>
      </c>
      <c r="W1437" s="19">
        <v>0</v>
      </c>
      <c r="Y1437" s="19" t="s">
        <v>103</v>
      </c>
      <c r="Z1437" s="19">
        <v>50</v>
      </c>
      <c r="AA1437" s="19">
        <v>0</v>
      </c>
    </row>
    <row r="1438" spans="1:27" x14ac:dyDescent="0.25">
      <c r="A1438" s="19" t="s">
        <v>2820</v>
      </c>
      <c r="B1438" s="19" t="s">
        <v>2787</v>
      </c>
      <c r="C1438" s="19" t="s">
        <v>2788</v>
      </c>
      <c r="D1438" s="19">
        <v>1.085</v>
      </c>
      <c r="E1438" s="19" t="s">
        <v>117</v>
      </c>
      <c r="F1438" s="19" t="s">
        <v>118</v>
      </c>
      <c r="G1438" s="19" t="s">
        <v>32</v>
      </c>
      <c r="H1438" s="19" t="s">
        <v>114</v>
      </c>
      <c r="I1438" s="19" t="s">
        <v>115</v>
      </c>
      <c r="J1438" s="19">
        <v>31</v>
      </c>
      <c r="K1438" s="19">
        <v>2.1700000000000001E-2</v>
      </c>
      <c r="L1438" s="19" t="s">
        <v>35</v>
      </c>
      <c r="M1438" s="19" t="s">
        <v>103</v>
      </c>
      <c r="N1438" s="19">
        <v>50</v>
      </c>
      <c r="O1438" s="19">
        <v>50</v>
      </c>
      <c r="P1438" s="19">
        <v>0</v>
      </c>
      <c r="Q1438" s="19">
        <v>0</v>
      </c>
      <c r="R1438" s="19" t="s">
        <v>870</v>
      </c>
      <c r="S1438" s="19">
        <v>0.9</v>
      </c>
      <c r="T1438" s="19">
        <v>1</v>
      </c>
      <c r="U1438" s="19">
        <v>0</v>
      </c>
      <c r="V1438" s="19" t="s">
        <v>41</v>
      </c>
      <c r="W1438" s="19">
        <v>1</v>
      </c>
      <c r="Y1438" s="19" t="s">
        <v>103</v>
      </c>
      <c r="Z1438" s="19">
        <v>50</v>
      </c>
      <c r="AA1438" s="19">
        <v>50</v>
      </c>
    </row>
    <row r="1439" spans="1:27" x14ac:dyDescent="0.25">
      <c r="A1439" s="19" t="s">
        <v>2821</v>
      </c>
      <c r="B1439" s="19" t="s">
        <v>2787</v>
      </c>
      <c r="C1439" s="19" t="s">
        <v>2788</v>
      </c>
      <c r="D1439" s="19">
        <v>1.085</v>
      </c>
      <c r="E1439" s="19" t="s">
        <v>120</v>
      </c>
      <c r="F1439" s="19" t="s">
        <v>121</v>
      </c>
      <c r="G1439" s="19" t="s">
        <v>32</v>
      </c>
      <c r="H1439" s="19" t="s">
        <v>114</v>
      </c>
      <c r="I1439" s="19" t="s">
        <v>115</v>
      </c>
      <c r="J1439" s="19">
        <v>28</v>
      </c>
      <c r="K1439" s="19">
        <v>2.1700000000000001E-2</v>
      </c>
      <c r="L1439" s="19" t="s">
        <v>35</v>
      </c>
      <c r="M1439" s="19" t="s">
        <v>103</v>
      </c>
      <c r="N1439" s="19">
        <v>50</v>
      </c>
      <c r="O1439" s="19">
        <v>50</v>
      </c>
      <c r="P1439" s="19">
        <v>0</v>
      </c>
      <c r="Q1439" s="19">
        <v>0</v>
      </c>
      <c r="R1439" s="19" t="s">
        <v>870</v>
      </c>
      <c r="S1439" s="19">
        <v>0.9</v>
      </c>
      <c r="T1439" s="19">
        <v>1</v>
      </c>
      <c r="U1439" s="19">
        <v>0</v>
      </c>
      <c r="V1439" s="19" t="s">
        <v>41</v>
      </c>
      <c r="W1439" s="19">
        <v>1</v>
      </c>
      <c r="Y1439" s="19" t="s">
        <v>103</v>
      </c>
      <c r="Z1439" s="19">
        <v>50</v>
      </c>
      <c r="AA1439" s="19">
        <v>50</v>
      </c>
    </row>
    <row r="1440" spans="1:27" x14ac:dyDescent="0.25">
      <c r="A1440" s="19" t="s">
        <v>2822</v>
      </c>
      <c r="B1440" s="19" t="s">
        <v>2787</v>
      </c>
      <c r="C1440" s="19" t="s">
        <v>2788</v>
      </c>
      <c r="D1440" s="19">
        <v>1.085</v>
      </c>
      <c r="E1440" s="19" t="s">
        <v>123</v>
      </c>
      <c r="F1440" s="19" t="s">
        <v>124</v>
      </c>
      <c r="G1440" s="19" t="s">
        <v>32</v>
      </c>
      <c r="H1440" s="19" t="s">
        <v>114</v>
      </c>
      <c r="I1440" s="19" t="s">
        <v>115</v>
      </c>
      <c r="J1440" s="19">
        <v>27</v>
      </c>
      <c r="K1440" s="19">
        <v>2.1700000000000001E-2</v>
      </c>
      <c r="L1440" s="19" t="s">
        <v>35</v>
      </c>
      <c r="M1440" s="19" t="s">
        <v>103</v>
      </c>
      <c r="N1440" s="19">
        <v>50</v>
      </c>
      <c r="O1440" s="19">
        <v>50</v>
      </c>
      <c r="P1440" s="19">
        <v>0</v>
      </c>
      <c r="Q1440" s="19">
        <v>0</v>
      </c>
      <c r="R1440" s="19" t="s">
        <v>870</v>
      </c>
      <c r="S1440" s="19">
        <v>0.9</v>
      </c>
      <c r="T1440" s="19">
        <v>1</v>
      </c>
      <c r="U1440" s="19">
        <v>0</v>
      </c>
      <c r="V1440" s="19" t="s">
        <v>41</v>
      </c>
      <c r="W1440" s="19">
        <v>1</v>
      </c>
      <c r="Y1440" s="19" t="s">
        <v>103</v>
      </c>
      <c r="Z1440" s="19">
        <v>50</v>
      </c>
      <c r="AA1440" s="19">
        <v>50</v>
      </c>
    </row>
    <row r="1441" spans="1:27" x14ac:dyDescent="0.25">
      <c r="A1441" s="19" t="s">
        <v>2823</v>
      </c>
      <c r="B1441" s="19" t="s">
        <v>2787</v>
      </c>
      <c r="C1441" s="19" t="s">
        <v>2788</v>
      </c>
      <c r="D1441" s="19">
        <v>1.085</v>
      </c>
      <c r="E1441" s="19" t="s">
        <v>129</v>
      </c>
      <c r="F1441" s="19" t="s">
        <v>130</v>
      </c>
      <c r="G1441" s="19" t="s">
        <v>32</v>
      </c>
      <c r="H1441" s="19" t="s">
        <v>114</v>
      </c>
      <c r="I1441" s="19" t="s">
        <v>115</v>
      </c>
      <c r="J1441" s="19">
        <v>32</v>
      </c>
      <c r="K1441" s="19">
        <v>2.1700000000000001E-2</v>
      </c>
      <c r="L1441" s="19" t="s">
        <v>35</v>
      </c>
      <c r="M1441" s="19" t="s">
        <v>103</v>
      </c>
      <c r="N1441" s="19">
        <v>50</v>
      </c>
      <c r="O1441" s="19">
        <v>50</v>
      </c>
      <c r="P1441" s="19">
        <v>0</v>
      </c>
      <c r="Q1441" s="19">
        <v>0</v>
      </c>
      <c r="R1441" s="19" t="s">
        <v>870</v>
      </c>
      <c r="S1441" s="19">
        <v>0.9</v>
      </c>
      <c r="T1441" s="19">
        <v>1</v>
      </c>
      <c r="U1441" s="19">
        <v>0</v>
      </c>
      <c r="V1441" s="19" t="s">
        <v>41</v>
      </c>
      <c r="W1441" s="19">
        <v>1</v>
      </c>
      <c r="Y1441" s="19" t="s">
        <v>103</v>
      </c>
      <c r="Z1441" s="19">
        <v>50</v>
      </c>
      <c r="AA1441" s="19">
        <v>50</v>
      </c>
    </row>
    <row r="1442" spans="1:27" x14ac:dyDescent="0.25">
      <c r="A1442" s="19" t="s">
        <v>2824</v>
      </c>
      <c r="B1442" s="19" t="s">
        <v>2787</v>
      </c>
      <c r="C1442" s="19" t="s">
        <v>2788</v>
      </c>
      <c r="D1442" s="19">
        <v>2.2197779999999998</v>
      </c>
      <c r="E1442" s="19" t="s">
        <v>161</v>
      </c>
      <c r="F1442" s="19" t="s">
        <v>162</v>
      </c>
      <c r="G1442" s="19" t="s">
        <v>163</v>
      </c>
      <c r="I1442" s="19" t="s">
        <v>164</v>
      </c>
      <c r="J1442" s="19">
        <v>1</v>
      </c>
      <c r="K1442" s="19">
        <v>3.3300000000000003E-2</v>
      </c>
      <c r="L1442" s="19" t="s">
        <v>35</v>
      </c>
      <c r="M1442" s="19" t="s">
        <v>165</v>
      </c>
      <c r="N1442" s="19">
        <v>66.66</v>
      </c>
      <c r="O1442" s="19">
        <v>66.66</v>
      </c>
      <c r="P1442" s="19">
        <v>0</v>
      </c>
      <c r="Q1442" s="19">
        <v>0</v>
      </c>
      <c r="R1442" s="19" t="s">
        <v>870</v>
      </c>
      <c r="S1442" s="19">
        <v>0.9</v>
      </c>
      <c r="T1442" s="19">
        <v>1</v>
      </c>
      <c r="U1442" s="19">
        <v>0</v>
      </c>
      <c r="W1442" s="19">
        <v>0</v>
      </c>
      <c r="X1442" s="19">
        <v>66.66</v>
      </c>
      <c r="Z1442" s="19">
        <v>0</v>
      </c>
      <c r="AA1442" s="19">
        <v>66.66</v>
      </c>
    </row>
    <row r="1443" spans="1:27" x14ac:dyDescent="0.25">
      <c r="A1443" s="19" t="s">
        <v>2825</v>
      </c>
      <c r="B1443" s="19" t="s">
        <v>2787</v>
      </c>
      <c r="C1443" s="19" t="s">
        <v>2788</v>
      </c>
      <c r="D1443" s="19">
        <v>2.2197779999999998</v>
      </c>
      <c r="E1443" s="19" t="s">
        <v>167</v>
      </c>
      <c r="F1443" s="19" t="s">
        <v>168</v>
      </c>
      <c r="G1443" s="19" t="s">
        <v>163</v>
      </c>
      <c r="I1443" s="19" t="s">
        <v>164</v>
      </c>
      <c r="J1443" s="19">
        <v>3</v>
      </c>
      <c r="K1443" s="19">
        <v>3.3300000000000003E-2</v>
      </c>
      <c r="L1443" s="19" t="s">
        <v>35</v>
      </c>
      <c r="M1443" s="19" t="s">
        <v>165</v>
      </c>
      <c r="N1443" s="19">
        <v>66.66</v>
      </c>
      <c r="O1443" s="19">
        <v>66.66</v>
      </c>
      <c r="P1443" s="19">
        <v>0</v>
      </c>
      <c r="Q1443" s="19">
        <v>0</v>
      </c>
      <c r="R1443" s="19" t="s">
        <v>870</v>
      </c>
      <c r="S1443" s="19">
        <v>0.9</v>
      </c>
      <c r="T1443" s="19">
        <v>1</v>
      </c>
      <c r="U1443" s="19">
        <v>0</v>
      </c>
      <c r="W1443" s="19">
        <v>0</v>
      </c>
      <c r="X1443" s="19">
        <v>66.66</v>
      </c>
      <c r="Z1443" s="19">
        <v>0</v>
      </c>
      <c r="AA1443" s="19">
        <v>66.66</v>
      </c>
    </row>
    <row r="1444" spans="1:27" x14ac:dyDescent="0.25">
      <c r="A1444" s="19" t="s">
        <v>2826</v>
      </c>
      <c r="B1444" s="19" t="s">
        <v>2787</v>
      </c>
      <c r="C1444" s="19" t="s">
        <v>2788</v>
      </c>
      <c r="D1444" s="19">
        <v>2.2644000000000002</v>
      </c>
      <c r="E1444" s="19" t="s">
        <v>170</v>
      </c>
      <c r="F1444" s="19" t="s">
        <v>171</v>
      </c>
      <c r="G1444" s="19" t="s">
        <v>163</v>
      </c>
      <c r="I1444" s="19" t="s">
        <v>164</v>
      </c>
      <c r="J1444" s="19">
        <v>2</v>
      </c>
      <c r="K1444" s="19">
        <v>3.3300000000000003E-2</v>
      </c>
      <c r="L1444" s="19" t="s">
        <v>35</v>
      </c>
      <c r="M1444" s="19" t="s">
        <v>165</v>
      </c>
      <c r="N1444" s="19">
        <v>68</v>
      </c>
      <c r="O1444" s="19">
        <v>68</v>
      </c>
      <c r="P1444" s="19">
        <v>0</v>
      </c>
      <c r="Q1444" s="19">
        <v>0</v>
      </c>
      <c r="R1444" s="19" t="s">
        <v>870</v>
      </c>
      <c r="S1444" s="19">
        <v>0.9</v>
      </c>
      <c r="T1444" s="19">
        <v>1</v>
      </c>
      <c r="U1444" s="19">
        <v>0</v>
      </c>
      <c r="W1444" s="19">
        <v>0</v>
      </c>
      <c r="X1444" s="19">
        <v>68</v>
      </c>
      <c r="Z1444" s="19">
        <v>0</v>
      </c>
      <c r="AA1444" s="19">
        <v>68</v>
      </c>
    </row>
    <row r="1445" spans="1:27" x14ac:dyDescent="0.25">
      <c r="A1445" s="19" t="s">
        <v>1036</v>
      </c>
      <c r="B1445" s="19" t="s">
        <v>1032</v>
      </c>
      <c r="C1445" s="19">
        <v>41127</v>
      </c>
      <c r="D1445" s="19">
        <v>1.5596715621803201</v>
      </c>
      <c r="E1445" s="19" t="s">
        <v>46</v>
      </c>
      <c r="F1445" s="19" t="s">
        <v>47</v>
      </c>
      <c r="G1445" s="19" t="s">
        <v>32</v>
      </c>
      <c r="H1445" s="19" t="s">
        <v>33</v>
      </c>
      <c r="I1445" s="19" t="s">
        <v>34</v>
      </c>
      <c r="J1445" s="19">
        <v>15</v>
      </c>
      <c r="K1445" s="19">
        <v>1.6299999999999999E-2</v>
      </c>
      <c r="L1445" s="19" t="s">
        <v>541</v>
      </c>
      <c r="M1445" s="19" t="s">
        <v>541</v>
      </c>
      <c r="N1445" s="19">
        <v>50</v>
      </c>
      <c r="O1445" s="19">
        <v>95.685371912899996</v>
      </c>
      <c r="P1445" s="19">
        <v>91.370743825800005</v>
      </c>
      <c r="Q1445" s="19">
        <v>45.685371912900003</v>
      </c>
      <c r="R1445" s="19" t="s">
        <v>1075</v>
      </c>
      <c r="S1445" s="19">
        <v>1</v>
      </c>
      <c r="T1445" s="19">
        <v>1</v>
      </c>
      <c r="U1445" s="19">
        <v>45.685371912900003</v>
      </c>
      <c r="AA1445" s="19">
        <v>0</v>
      </c>
    </row>
    <row r="1446" spans="1:27" x14ac:dyDescent="0.25">
      <c r="A1446" s="19" t="s">
        <v>1037</v>
      </c>
      <c r="B1446" s="19" t="s">
        <v>1032</v>
      </c>
      <c r="C1446" s="19">
        <v>41127</v>
      </c>
      <c r="D1446" s="19">
        <v>1.63</v>
      </c>
      <c r="E1446" s="19" t="s">
        <v>49</v>
      </c>
      <c r="F1446" s="19" t="s">
        <v>50</v>
      </c>
      <c r="G1446" s="19" t="s">
        <v>32</v>
      </c>
      <c r="H1446" s="19" t="s">
        <v>33</v>
      </c>
      <c r="I1446" s="19" t="s">
        <v>34</v>
      </c>
      <c r="J1446" s="19">
        <v>12</v>
      </c>
      <c r="K1446" s="19">
        <v>1.6299999999999999E-2</v>
      </c>
      <c r="L1446" s="19" t="s">
        <v>541</v>
      </c>
      <c r="M1446" s="19" t="s">
        <v>541</v>
      </c>
      <c r="N1446" s="19">
        <v>50</v>
      </c>
      <c r="O1446" s="19">
        <v>100</v>
      </c>
      <c r="P1446" s="19">
        <v>100</v>
      </c>
      <c r="Q1446" s="19">
        <v>50</v>
      </c>
      <c r="R1446" s="19" t="s">
        <v>1075</v>
      </c>
      <c r="S1446" s="19">
        <v>1</v>
      </c>
      <c r="T1446" s="19">
        <v>1</v>
      </c>
      <c r="U1446" s="19">
        <v>50</v>
      </c>
      <c r="AA1446" s="19">
        <v>0</v>
      </c>
    </row>
    <row r="1447" spans="1:27" x14ac:dyDescent="0.25">
      <c r="A1447" s="19" t="s">
        <v>1038</v>
      </c>
      <c r="B1447" s="19" t="s">
        <v>1032</v>
      </c>
      <c r="C1447" s="19">
        <v>41127</v>
      </c>
      <c r="D1447" s="19">
        <v>1.59051841297676</v>
      </c>
      <c r="E1447" s="19" t="s">
        <v>52</v>
      </c>
      <c r="F1447" s="19" t="s">
        <v>53</v>
      </c>
      <c r="G1447" s="19" t="s">
        <v>32</v>
      </c>
      <c r="H1447" s="19" t="s">
        <v>33</v>
      </c>
      <c r="I1447" s="19" t="s">
        <v>34</v>
      </c>
      <c r="J1447" s="19">
        <v>16</v>
      </c>
      <c r="K1447" s="19">
        <v>1.6299999999999999E-2</v>
      </c>
      <c r="L1447" s="19" t="s">
        <v>541</v>
      </c>
      <c r="M1447" s="19" t="s">
        <v>541</v>
      </c>
      <c r="N1447" s="19">
        <v>50</v>
      </c>
      <c r="O1447" s="19">
        <v>97.577816747</v>
      </c>
      <c r="P1447" s="19">
        <v>95.155633494100002</v>
      </c>
      <c r="Q1447" s="19">
        <v>47.577816747</v>
      </c>
      <c r="R1447" s="19" t="s">
        <v>1075</v>
      </c>
      <c r="S1447" s="19">
        <v>1</v>
      </c>
      <c r="T1447" s="19">
        <v>1</v>
      </c>
      <c r="U1447" s="19">
        <v>47.577816747</v>
      </c>
      <c r="AA1447" s="19">
        <v>0</v>
      </c>
    </row>
    <row r="1448" spans="1:27" x14ac:dyDescent="0.25">
      <c r="A1448" s="19" t="s">
        <v>1039</v>
      </c>
      <c r="B1448" s="19" t="s">
        <v>1032</v>
      </c>
      <c r="C1448" s="19">
        <v>41127</v>
      </c>
      <c r="D1448" s="19">
        <v>1.6281539529446101</v>
      </c>
      <c r="E1448" s="19" t="s">
        <v>55</v>
      </c>
      <c r="F1448" s="19" t="s">
        <v>56</v>
      </c>
      <c r="G1448" s="19" t="s">
        <v>32</v>
      </c>
      <c r="H1448" s="19" t="s">
        <v>33</v>
      </c>
      <c r="I1448" s="19" t="s">
        <v>34</v>
      </c>
      <c r="J1448" s="19">
        <v>14</v>
      </c>
      <c r="K1448" s="19">
        <v>1.6299999999999999E-2</v>
      </c>
      <c r="L1448" s="19" t="s">
        <v>541</v>
      </c>
      <c r="M1448" s="19" t="s">
        <v>541</v>
      </c>
      <c r="N1448" s="19">
        <v>50</v>
      </c>
      <c r="O1448" s="19">
        <v>99.886745579399999</v>
      </c>
      <c r="P1448" s="19">
        <v>99.773491158799999</v>
      </c>
      <c r="Q1448" s="19">
        <v>49.886745579399999</v>
      </c>
      <c r="R1448" s="19" t="s">
        <v>1075</v>
      </c>
      <c r="S1448" s="19">
        <v>1</v>
      </c>
      <c r="T1448" s="19">
        <v>1</v>
      </c>
      <c r="U1448" s="19">
        <v>49.886745579399999</v>
      </c>
      <c r="AA1448" s="19">
        <v>0</v>
      </c>
    </row>
    <row r="1449" spans="1:27" x14ac:dyDescent="0.25">
      <c r="A1449" s="19" t="s">
        <v>1040</v>
      </c>
      <c r="B1449" s="19" t="s">
        <v>1032</v>
      </c>
      <c r="C1449" s="19">
        <v>41127</v>
      </c>
      <c r="D1449" s="19">
        <v>1.63</v>
      </c>
      <c r="E1449" s="19" t="s">
        <v>58</v>
      </c>
      <c r="F1449" s="19" t="s">
        <v>59</v>
      </c>
      <c r="G1449" s="19" t="s">
        <v>32</v>
      </c>
      <c r="H1449" s="19" t="s">
        <v>33</v>
      </c>
      <c r="I1449" s="19" t="s">
        <v>34</v>
      </c>
      <c r="J1449" s="19">
        <v>13</v>
      </c>
      <c r="K1449" s="19">
        <v>1.6299999999999999E-2</v>
      </c>
      <c r="L1449" s="19" t="s">
        <v>541</v>
      </c>
      <c r="M1449" s="19" t="s">
        <v>541</v>
      </c>
      <c r="N1449" s="19">
        <v>50</v>
      </c>
      <c r="O1449" s="19">
        <v>100</v>
      </c>
      <c r="P1449" s="19">
        <v>100</v>
      </c>
      <c r="Q1449" s="19">
        <v>50</v>
      </c>
      <c r="R1449" s="19" t="s">
        <v>1075</v>
      </c>
      <c r="S1449" s="19">
        <v>1</v>
      </c>
      <c r="T1449" s="19">
        <v>1</v>
      </c>
      <c r="U1449" s="19">
        <v>50</v>
      </c>
      <c r="AA1449" s="19">
        <v>0</v>
      </c>
    </row>
    <row r="1450" spans="1:27" x14ac:dyDescent="0.25">
      <c r="A1450" s="19" t="s">
        <v>1043</v>
      </c>
      <c r="B1450" s="19" t="s">
        <v>1032</v>
      </c>
      <c r="C1450" s="19">
        <v>41127</v>
      </c>
      <c r="D1450" s="19">
        <v>1.39506795265234</v>
      </c>
      <c r="E1450" s="19" t="s">
        <v>69</v>
      </c>
      <c r="F1450" s="19" t="s">
        <v>70</v>
      </c>
      <c r="G1450" s="19" t="s">
        <v>32</v>
      </c>
      <c r="H1450" s="19" t="s">
        <v>63</v>
      </c>
      <c r="I1450" s="19" t="s">
        <v>64</v>
      </c>
      <c r="J1450" s="19">
        <v>23</v>
      </c>
      <c r="K1450" s="19">
        <v>1.8599999999999998E-2</v>
      </c>
      <c r="L1450" s="19" t="s">
        <v>541</v>
      </c>
      <c r="M1450" s="19" t="s">
        <v>541</v>
      </c>
      <c r="N1450" s="19">
        <v>50</v>
      </c>
      <c r="O1450" s="19">
        <v>75.003653368399995</v>
      </c>
      <c r="P1450" s="19">
        <v>50.007306736799997</v>
      </c>
      <c r="Q1450" s="19">
        <v>25.003653368399998</v>
      </c>
      <c r="R1450" s="19" t="s">
        <v>1075</v>
      </c>
      <c r="S1450" s="19">
        <v>1</v>
      </c>
      <c r="T1450" s="19">
        <v>1</v>
      </c>
      <c r="U1450" s="19">
        <v>25.003653368399998</v>
      </c>
      <c r="AA1450" s="19">
        <v>0</v>
      </c>
    </row>
    <row r="1451" spans="1:27" x14ac:dyDescent="0.25">
      <c r="A1451" s="19" t="s">
        <v>1045</v>
      </c>
      <c r="B1451" s="19" t="s">
        <v>1032</v>
      </c>
      <c r="C1451" s="19">
        <v>41127</v>
      </c>
      <c r="D1451" s="19">
        <v>1.8599999999999901</v>
      </c>
      <c r="E1451" s="19" t="s">
        <v>75</v>
      </c>
      <c r="F1451" s="19" t="s">
        <v>76</v>
      </c>
      <c r="G1451" s="19" t="s">
        <v>32</v>
      </c>
      <c r="H1451" s="19" t="s">
        <v>63</v>
      </c>
      <c r="I1451" s="19" t="s">
        <v>64</v>
      </c>
      <c r="J1451" s="19">
        <v>24</v>
      </c>
      <c r="K1451" s="19">
        <v>1.8599999999999998E-2</v>
      </c>
      <c r="L1451" s="19" t="s">
        <v>541</v>
      </c>
      <c r="M1451" s="19" t="s">
        <v>541</v>
      </c>
      <c r="N1451" s="19">
        <v>50</v>
      </c>
      <c r="O1451" s="19">
        <v>100</v>
      </c>
      <c r="P1451" s="19">
        <v>100</v>
      </c>
      <c r="Q1451" s="19">
        <v>50</v>
      </c>
      <c r="R1451" s="19" t="s">
        <v>1075</v>
      </c>
      <c r="S1451" s="19">
        <v>1</v>
      </c>
      <c r="T1451" s="19">
        <v>1</v>
      </c>
      <c r="U1451" s="19">
        <v>50</v>
      </c>
      <c r="AA1451" s="19">
        <v>0</v>
      </c>
    </row>
    <row r="1452" spans="1:27" x14ac:dyDescent="0.25">
      <c r="A1452" s="19" t="s">
        <v>1048</v>
      </c>
      <c r="B1452" s="19" t="s">
        <v>1032</v>
      </c>
      <c r="C1452" s="19">
        <v>41127</v>
      </c>
      <c r="D1452" s="19">
        <v>2.1657167908811901</v>
      </c>
      <c r="E1452" s="19" t="s">
        <v>85</v>
      </c>
      <c r="F1452" s="19" t="s">
        <v>86</v>
      </c>
      <c r="G1452" s="19" t="s">
        <v>32</v>
      </c>
      <c r="H1452" s="19" t="s">
        <v>87</v>
      </c>
      <c r="I1452" s="19" t="s">
        <v>88</v>
      </c>
      <c r="J1452" s="19">
        <v>35</v>
      </c>
      <c r="K1452" s="19">
        <v>3.2500000000000001E-2</v>
      </c>
      <c r="L1452" s="19" t="s">
        <v>541</v>
      </c>
      <c r="M1452" s="19" t="s">
        <v>541</v>
      </c>
      <c r="N1452" s="19">
        <v>50</v>
      </c>
      <c r="O1452" s="19">
        <v>66.637439719400007</v>
      </c>
      <c r="P1452" s="19">
        <v>33.274879438799999</v>
      </c>
      <c r="Q1452" s="19">
        <v>16.6374397194</v>
      </c>
      <c r="R1452" s="19" t="s">
        <v>1075</v>
      </c>
      <c r="S1452" s="19">
        <v>1</v>
      </c>
      <c r="T1452" s="19">
        <v>1</v>
      </c>
      <c r="U1452" s="19">
        <v>16.6374397194</v>
      </c>
      <c r="AA1452" s="19">
        <v>0</v>
      </c>
    </row>
    <row r="1453" spans="1:27" x14ac:dyDescent="0.25">
      <c r="A1453" s="19" t="s">
        <v>1049</v>
      </c>
      <c r="B1453" s="19" t="s">
        <v>1032</v>
      </c>
      <c r="C1453" s="19">
        <v>41127</v>
      </c>
      <c r="D1453" s="19">
        <v>1.93050379950314</v>
      </c>
      <c r="E1453" s="19" t="s">
        <v>90</v>
      </c>
      <c r="F1453" s="19" t="s">
        <v>91</v>
      </c>
      <c r="G1453" s="19" t="s">
        <v>32</v>
      </c>
      <c r="H1453" s="19" t="s">
        <v>87</v>
      </c>
      <c r="I1453" s="19" t="s">
        <v>88</v>
      </c>
      <c r="J1453" s="19">
        <v>33</v>
      </c>
      <c r="K1453" s="19">
        <v>3.2500000000000001E-2</v>
      </c>
      <c r="L1453" s="19" t="s">
        <v>541</v>
      </c>
      <c r="M1453" s="19" t="s">
        <v>541</v>
      </c>
      <c r="N1453" s="19">
        <v>50</v>
      </c>
      <c r="O1453" s="19">
        <v>59.400116907799998</v>
      </c>
      <c r="P1453" s="19">
        <v>18.800233815599999</v>
      </c>
      <c r="Q1453" s="19">
        <v>9.4001169077900002</v>
      </c>
      <c r="R1453" s="19" t="s">
        <v>1075</v>
      </c>
      <c r="S1453" s="19">
        <v>1</v>
      </c>
      <c r="T1453" s="19">
        <v>1</v>
      </c>
      <c r="U1453" s="19">
        <v>9.4001169077900002</v>
      </c>
      <c r="AA1453" s="19">
        <v>0</v>
      </c>
    </row>
    <row r="1454" spans="1:27" x14ac:dyDescent="0.25">
      <c r="A1454" s="19" t="s">
        <v>1050</v>
      </c>
      <c r="B1454" s="19" t="s">
        <v>1032</v>
      </c>
      <c r="C1454" s="19">
        <v>41127</v>
      </c>
      <c r="D1454" s="19">
        <v>2.0108870378488901</v>
      </c>
      <c r="E1454" s="19" t="s">
        <v>93</v>
      </c>
      <c r="F1454" s="19" t="s">
        <v>94</v>
      </c>
      <c r="G1454" s="19" t="s">
        <v>32</v>
      </c>
      <c r="H1454" s="19" t="s">
        <v>87</v>
      </c>
      <c r="I1454" s="19" t="s">
        <v>88</v>
      </c>
      <c r="J1454" s="19">
        <v>34</v>
      </c>
      <c r="K1454" s="19">
        <v>3.2500000000000001E-2</v>
      </c>
      <c r="L1454" s="19" t="s">
        <v>541</v>
      </c>
      <c r="M1454" s="19" t="s">
        <v>541</v>
      </c>
      <c r="N1454" s="19">
        <v>50</v>
      </c>
      <c r="O1454" s="19">
        <v>61.873447318399997</v>
      </c>
      <c r="P1454" s="19">
        <v>23.746894636899999</v>
      </c>
      <c r="Q1454" s="19">
        <v>11.8734473184</v>
      </c>
      <c r="R1454" s="19" t="s">
        <v>1075</v>
      </c>
      <c r="S1454" s="19">
        <v>1</v>
      </c>
      <c r="T1454" s="19">
        <v>1</v>
      </c>
      <c r="U1454" s="19">
        <v>11.8734473184</v>
      </c>
      <c r="AA1454" s="19">
        <v>0</v>
      </c>
    </row>
    <row r="1455" spans="1:27" x14ac:dyDescent="0.25">
      <c r="A1455" s="19" t="s">
        <v>1059</v>
      </c>
      <c r="B1455" s="19" t="s">
        <v>1032</v>
      </c>
      <c r="C1455" s="19">
        <v>41127</v>
      </c>
      <c r="D1455" s="19">
        <v>2.0580593307028998</v>
      </c>
      <c r="E1455" s="19" t="s">
        <v>126</v>
      </c>
      <c r="F1455" s="19" t="s">
        <v>127</v>
      </c>
      <c r="G1455" s="19" t="s">
        <v>32</v>
      </c>
      <c r="H1455" s="19" t="s">
        <v>114</v>
      </c>
      <c r="I1455" s="19" t="s">
        <v>115</v>
      </c>
      <c r="J1455" s="19">
        <v>29</v>
      </c>
      <c r="K1455" s="19">
        <v>2.1700000000000001E-2</v>
      </c>
      <c r="L1455" s="19" t="s">
        <v>541</v>
      </c>
      <c r="M1455" s="19" t="s">
        <v>541</v>
      </c>
      <c r="N1455" s="19">
        <v>50</v>
      </c>
      <c r="O1455" s="19">
        <v>94.841443811199994</v>
      </c>
      <c r="P1455" s="19">
        <v>89.682887622400003</v>
      </c>
      <c r="Q1455" s="19">
        <v>44.841443811200001</v>
      </c>
      <c r="R1455" s="19" t="s">
        <v>1075</v>
      </c>
      <c r="S1455" s="19">
        <v>1</v>
      </c>
      <c r="T1455" s="19">
        <v>1</v>
      </c>
      <c r="U1455" s="19">
        <v>44.841443811200001</v>
      </c>
      <c r="AA1455" s="19">
        <v>0</v>
      </c>
    </row>
    <row r="1456" spans="1:27" x14ac:dyDescent="0.25">
      <c r="A1456" s="19" t="s">
        <v>1031</v>
      </c>
      <c r="B1456" s="19" t="s">
        <v>1032</v>
      </c>
      <c r="C1456" s="19">
        <v>41127</v>
      </c>
      <c r="D1456" s="19">
        <v>0</v>
      </c>
      <c r="E1456" s="19" t="s">
        <v>30</v>
      </c>
      <c r="F1456" s="19" t="s">
        <v>31</v>
      </c>
      <c r="G1456" s="19" t="s">
        <v>32</v>
      </c>
      <c r="H1456" s="19" t="s">
        <v>33</v>
      </c>
      <c r="I1456" s="19" t="s">
        <v>34</v>
      </c>
      <c r="J1456" s="19">
        <v>17</v>
      </c>
      <c r="K1456" s="19">
        <v>1.6299999999999999E-2</v>
      </c>
      <c r="L1456" s="19" t="s">
        <v>35</v>
      </c>
      <c r="N1456" s="19">
        <v>0</v>
      </c>
      <c r="O1456" s="19">
        <v>0</v>
      </c>
      <c r="P1456" s="19">
        <v>0</v>
      </c>
      <c r="Q1456" s="19">
        <v>0</v>
      </c>
      <c r="R1456" s="19" t="s">
        <v>1075</v>
      </c>
      <c r="S1456" s="19">
        <v>1</v>
      </c>
      <c r="T1456" s="19">
        <v>1</v>
      </c>
      <c r="U1456" s="19">
        <v>0</v>
      </c>
      <c r="V1456" s="19" t="s">
        <v>36</v>
      </c>
      <c r="W1456" s="19">
        <v>0</v>
      </c>
      <c r="Z1456" s="19">
        <v>0</v>
      </c>
      <c r="AA1456" s="19">
        <v>0</v>
      </c>
    </row>
    <row r="1457" spans="1:27" x14ac:dyDescent="0.25">
      <c r="A1457" s="19" t="s">
        <v>1034</v>
      </c>
      <c r="B1457" s="19" t="s">
        <v>1032</v>
      </c>
      <c r="C1457" s="19">
        <v>41127</v>
      </c>
      <c r="D1457" s="19">
        <v>0</v>
      </c>
      <c r="E1457" s="19" t="s">
        <v>38</v>
      </c>
      <c r="F1457" s="19" t="s">
        <v>39</v>
      </c>
      <c r="G1457" s="19" t="s">
        <v>32</v>
      </c>
      <c r="H1457" s="19" t="s">
        <v>33</v>
      </c>
      <c r="I1457" s="19" t="s">
        <v>34</v>
      </c>
      <c r="J1457" s="19">
        <v>19</v>
      </c>
      <c r="K1457" s="19">
        <v>1.6299999999999999E-2</v>
      </c>
      <c r="L1457" s="19" t="s">
        <v>35</v>
      </c>
      <c r="M1457" s="19" t="s">
        <v>110</v>
      </c>
      <c r="N1457" s="19">
        <v>0</v>
      </c>
      <c r="O1457" s="19">
        <v>0</v>
      </c>
      <c r="P1457" s="19">
        <v>0</v>
      </c>
      <c r="Q1457" s="19">
        <v>0</v>
      </c>
      <c r="R1457" s="19" t="s">
        <v>1075</v>
      </c>
      <c r="S1457" s="19">
        <v>1</v>
      </c>
      <c r="T1457" s="19">
        <v>1</v>
      </c>
      <c r="U1457" s="19">
        <v>0</v>
      </c>
      <c r="V1457" s="19" t="s">
        <v>80</v>
      </c>
      <c r="W1457" s="19">
        <v>0</v>
      </c>
      <c r="Y1457" s="19" t="s">
        <v>110</v>
      </c>
      <c r="Z1457" s="19">
        <v>16.664999999999999</v>
      </c>
      <c r="AA1457" s="19">
        <v>0</v>
      </c>
    </row>
    <row r="1458" spans="1:27" x14ac:dyDescent="0.25">
      <c r="A1458" s="19" t="s">
        <v>1035</v>
      </c>
      <c r="B1458" s="19" t="s">
        <v>1032</v>
      </c>
      <c r="C1458" s="19">
        <v>41127</v>
      </c>
      <c r="D1458" s="19">
        <v>0</v>
      </c>
      <c r="E1458" s="19" t="s">
        <v>43</v>
      </c>
      <c r="F1458" s="19" t="s">
        <v>44</v>
      </c>
      <c r="G1458" s="19" t="s">
        <v>32</v>
      </c>
      <c r="H1458" s="19" t="s">
        <v>33</v>
      </c>
      <c r="I1458" s="19" t="s">
        <v>34</v>
      </c>
      <c r="J1458" s="19">
        <v>18</v>
      </c>
      <c r="K1458" s="19">
        <v>1.6299999999999999E-2</v>
      </c>
      <c r="L1458" s="19" t="s">
        <v>35</v>
      </c>
      <c r="M1458" s="19" t="s">
        <v>110</v>
      </c>
      <c r="N1458" s="19">
        <v>0</v>
      </c>
      <c r="O1458" s="19">
        <v>0</v>
      </c>
      <c r="P1458" s="19">
        <v>0</v>
      </c>
      <c r="Q1458" s="19">
        <v>0</v>
      </c>
      <c r="R1458" s="19" t="s">
        <v>1075</v>
      </c>
      <c r="S1458" s="19">
        <v>1</v>
      </c>
      <c r="T1458" s="19">
        <v>1</v>
      </c>
      <c r="U1458" s="19">
        <v>0</v>
      </c>
      <c r="V1458" s="19" t="s">
        <v>80</v>
      </c>
      <c r="W1458" s="19">
        <v>0</v>
      </c>
      <c r="Y1458" s="19" t="s">
        <v>110</v>
      </c>
      <c r="Z1458" s="19">
        <v>16.664999999999999</v>
      </c>
      <c r="AA1458" s="19">
        <v>0</v>
      </c>
    </row>
    <row r="1459" spans="1:27" x14ac:dyDescent="0.25">
      <c r="A1459" s="19" t="s">
        <v>1041</v>
      </c>
      <c r="B1459" s="19" t="s">
        <v>1032</v>
      </c>
      <c r="C1459" s="19">
        <v>41127</v>
      </c>
      <c r="D1459" s="19">
        <v>0.92999999999999905</v>
      </c>
      <c r="E1459" s="19" t="s">
        <v>61</v>
      </c>
      <c r="F1459" s="19" t="s">
        <v>62</v>
      </c>
      <c r="G1459" s="19" t="s">
        <v>32</v>
      </c>
      <c r="H1459" s="19" t="s">
        <v>63</v>
      </c>
      <c r="I1459" s="19" t="s">
        <v>64</v>
      </c>
      <c r="J1459" s="19">
        <v>22</v>
      </c>
      <c r="K1459" s="19">
        <v>1.8599999999999998E-2</v>
      </c>
      <c r="L1459" s="19" t="s">
        <v>35</v>
      </c>
      <c r="M1459" s="19" t="s">
        <v>142</v>
      </c>
      <c r="N1459" s="19">
        <v>50</v>
      </c>
      <c r="O1459" s="19">
        <v>50</v>
      </c>
      <c r="P1459" s="19">
        <v>0</v>
      </c>
      <c r="Q1459" s="19">
        <v>0</v>
      </c>
      <c r="R1459" s="19" t="s">
        <v>1075</v>
      </c>
      <c r="S1459" s="19">
        <v>1</v>
      </c>
      <c r="T1459" s="19">
        <v>1</v>
      </c>
      <c r="U1459" s="19">
        <v>0</v>
      </c>
      <c r="V1459" s="19" t="s">
        <v>41</v>
      </c>
      <c r="W1459" s="19">
        <v>1</v>
      </c>
      <c r="Y1459" s="19" t="s">
        <v>142</v>
      </c>
      <c r="Z1459" s="19">
        <v>50</v>
      </c>
      <c r="AA1459" s="19">
        <v>50</v>
      </c>
    </row>
    <row r="1460" spans="1:27" x14ac:dyDescent="0.25">
      <c r="A1460" s="19" t="s">
        <v>1042</v>
      </c>
      <c r="B1460" s="19" t="s">
        <v>1032</v>
      </c>
      <c r="C1460" s="19">
        <v>41127</v>
      </c>
      <c r="D1460" s="19">
        <v>0.61993799999999899</v>
      </c>
      <c r="E1460" s="19" t="s">
        <v>66</v>
      </c>
      <c r="F1460" s="19" t="s">
        <v>67</v>
      </c>
      <c r="G1460" s="19" t="s">
        <v>32</v>
      </c>
      <c r="H1460" s="19" t="s">
        <v>63</v>
      </c>
      <c r="I1460" s="19" t="s">
        <v>64</v>
      </c>
      <c r="J1460" s="19">
        <v>20</v>
      </c>
      <c r="K1460" s="19">
        <v>1.8599999999999998E-2</v>
      </c>
      <c r="L1460" s="19" t="s">
        <v>35</v>
      </c>
      <c r="M1460" s="19" t="s">
        <v>40</v>
      </c>
      <c r="N1460" s="19">
        <v>33.33</v>
      </c>
      <c r="O1460" s="19">
        <v>33.33</v>
      </c>
      <c r="P1460" s="19">
        <v>0</v>
      </c>
      <c r="Q1460" s="19">
        <v>0</v>
      </c>
      <c r="R1460" s="19" t="s">
        <v>1075</v>
      </c>
      <c r="S1460" s="19">
        <v>1</v>
      </c>
      <c r="T1460" s="19">
        <v>1</v>
      </c>
      <c r="U1460" s="19">
        <v>0</v>
      </c>
      <c r="V1460" s="19" t="s">
        <v>41</v>
      </c>
      <c r="W1460" s="19">
        <v>1</v>
      </c>
      <c r="Y1460" s="19" t="s">
        <v>40</v>
      </c>
      <c r="Z1460" s="19">
        <v>33.33</v>
      </c>
      <c r="AA1460" s="19">
        <v>33.33</v>
      </c>
    </row>
    <row r="1461" spans="1:27" x14ac:dyDescent="0.25">
      <c r="A1461" s="19" t="s">
        <v>1044</v>
      </c>
      <c r="B1461" s="19" t="s">
        <v>1032</v>
      </c>
      <c r="C1461" s="19">
        <v>41127</v>
      </c>
      <c r="D1461" s="19">
        <v>0</v>
      </c>
      <c r="E1461" s="19" t="s">
        <v>72</v>
      </c>
      <c r="F1461" s="19" t="s">
        <v>73</v>
      </c>
      <c r="G1461" s="19" t="s">
        <v>32</v>
      </c>
      <c r="H1461" s="19" t="s">
        <v>63</v>
      </c>
      <c r="I1461" s="19" t="s">
        <v>64</v>
      </c>
      <c r="J1461" s="19">
        <v>21</v>
      </c>
      <c r="K1461" s="19">
        <v>1.8599999999999998E-2</v>
      </c>
      <c r="L1461" s="19" t="s">
        <v>35</v>
      </c>
      <c r="N1461" s="19">
        <v>0</v>
      </c>
      <c r="O1461" s="19">
        <v>0</v>
      </c>
      <c r="P1461" s="19">
        <v>0</v>
      </c>
      <c r="Q1461" s="19">
        <v>0</v>
      </c>
      <c r="R1461" s="19" t="s">
        <v>1075</v>
      </c>
      <c r="S1461" s="19">
        <v>1</v>
      </c>
      <c r="T1461" s="19">
        <v>1</v>
      </c>
      <c r="U1461" s="19">
        <v>0</v>
      </c>
      <c r="V1461" s="19" t="s">
        <v>36</v>
      </c>
      <c r="W1461" s="19">
        <v>0</v>
      </c>
      <c r="Z1461" s="19">
        <v>0</v>
      </c>
      <c r="AA1461" s="19">
        <v>0</v>
      </c>
    </row>
    <row r="1462" spans="1:27" x14ac:dyDescent="0.25">
      <c r="A1462" s="19" t="s">
        <v>1046</v>
      </c>
      <c r="B1462" s="19" t="s">
        <v>1032</v>
      </c>
      <c r="C1462" s="19">
        <v>41127</v>
      </c>
      <c r="D1462" s="19">
        <v>0.309968999999999</v>
      </c>
      <c r="E1462" s="19" t="s">
        <v>78</v>
      </c>
      <c r="F1462" s="19" t="s">
        <v>79</v>
      </c>
      <c r="G1462" s="19" t="s">
        <v>32</v>
      </c>
      <c r="H1462" s="19" t="s">
        <v>63</v>
      </c>
      <c r="I1462" s="19" t="s">
        <v>64</v>
      </c>
      <c r="J1462" s="19">
        <v>25</v>
      </c>
      <c r="K1462" s="19">
        <v>1.8599999999999998E-2</v>
      </c>
      <c r="L1462" s="19" t="s">
        <v>35</v>
      </c>
      <c r="M1462" s="19" t="s">
        <v>110</v>
      </c>
      <c r="N1462" s="19">
        <v>16.664999999999999</v>
      </c>
      <c r="O1462" s="19">
        <v>16.664999999999999</v>
      </c>
      <c r="P1462" s="19">
        <v>0</v>
      </c>
      <c r="Q1462" s="19">
        <v>0</v>
      </c>
      <c r="R1462" s="19" t="s">
        <v>1075</v>
      </c>
      <c r="S1462" s="19">
        <v>1</v>
      </c>
      <c r="T1462" s="19">
        <v>1</v>
      </c>
      <c r="U1462" s="19">
        <v>0</v>
      </c>
      <c r="V1462" s="19" t="s">
        <v>41</v>
      </c>
      <c r="W1462" s="19">
        <v>1</v>
      </c>
      <c r="Y1462" s="19" t="s">
        <v>110</v>
      </c>
      <c r="Z1462" s="19">
        <v>16.664999999999999</v>
      </c>
      <c r="AA1462" s="19">
        <v>16.664999999999999</v>
      </c>
    </row>
    <row r="1463" spans="1:27" x14ac:dyDescent="0.25">
      <c r="A1463" s="19" t="s">
        <v>1047</v>
      </c>
      <c r="B1463" s="19" t="s">
        <v>1032</v>
      </c>
      <c r="C1463" s="19">
        <v>41127</v>
      </c>
      <c r="D1463" s="19">
        <v>0</v>
      </c>
      <c r="E1463" s="19" t="s">
        <v>82</v>
      </c>
      <c r="F1463" s="19" t="s">
        <v>83</v>
      </c>
      <c r="G1463" s="19" t="s">
        <v>32</v>
      </c>
      <c r="H1463" s="19" t="s">
        <v>63</v>
      </c>
      <c r="I1463" s="19" t="s">
        <v>64</v>
      </c>
      <c r="J1463" s="19">
        <v>26</v>
      </c>
      <c r="K1463" s="19">
        <v>1.8599999999999998E-2</v>
      </c>
      <c r="L1463" s="19" t="s">
        <v>35</v>
      </c>
      <c r="N1463" s="19">
        <v>0</v>
      </c>
      <c r="O1463" s="19">
        <v>0</v>
      </c>
      <c r="P1463" s="19">
        <v>0</v>
      </c>
      <c r="Q1463" s="19">
        <v>0</v>
      </c>
      <c r="R1463" s="19" t="s">
        <v>1075</v>
      </c>
      <c r="S1463" s="19">
        <v>1</v>
      </c>
      <c r="T1463" s="19">
        <v>1</v>
      </c>
      <c r="U1463" s="19">
        <v>0</v>
      </c>
      <c r="V1463" s="19" t="s">
        <v>36</v>
      </c>
      <c r="W1463" s="19">
        <v>0</v>
      </c>
      <c r="Z1463" s="19">
        <v>0</v>
      </c>
      <c r="AA1463" s="19">
        <v>0</v>
      </c>
    </row>
    <row r="1464" spans="1:27" x14ac:dyDescent="0.25">
      <c r="A1464" s="19" t="s">
        <v>1051</v>
      </c>
      <c r="B1464" s="19" t="s">
        <v>1032</v>
      </c>
      <c r="C1464" s="19">
        <v>41127</v>
      </c>
      <c r="D1464" s="19">
        <v>0</v>
      </c>
      <c r="E1464" s="19" t="s">
        <v>96</v>
      </c>
      <c r="F1464" s="19" t="s">
        <v>97</v>
      </c>
      <c r="G1464" s="19" t="s">
        <v>32</v>
      </c>
      <c r="H1464" s="19" t="s">
        <v>87</v>
      </c>
      <c r="I1464" s="19" t="s">
        <v>88</v>
      </c>
      <c r="J1464" s="19">
        <v>36</v>
      </c>
      <c r="K1464" s="19">
        <v>3.2500000000000001E-2</v>
      </c>
      <c r="L1464" s="19" t="s">
        <v>35</v>
      </c>
      <c r="N1464" s="19">
        <v>0</v>
      </c>
      <c r="O1464" s="19">
        <v>0</v>
      </c>
      <c r="P1464" s="19">
        <v>0</v>
      </c>
      <c r="Q1464" s="19">
        <v>0</v>
      </c>
      <c r="R1464" s="19" t="s">
        <v>1075</v>
      </c>
      <c r="S1464" s="19">
        <v>1</v>
      </c>
      <c r="T1464" s="19">
        <v>1</v>
      </c>
      <c r="U1464" s="19">
        <v>0</v>
      </c>
      <c r="V1464" s="19" t="s">
        <v>36</v>
      </c>
      <c r="W1464" s="19">
        <v>0</v>
      </c>
      <c r="Z1464" s="19">
        <v>0</v>
      </c>
      <c r="AA1464" s="19">
        <v>0</v>
      </c>
    </row>
    <row r="1465" spans="1:27" x14ac:dyDescent="0.25">
      <c r="A1465" s="19" t="s">
        <v>1052</v>
      </c>
      <c r="B1465" s="19" t="s">
        <v>1032</v>
      </c>
      <c r="C1465" s="19">
        <v>41127</v>
      </c>
      <c r="D1465" s="19">
        <v>0</v>
      </c>
      <c r="E1465" s="19" t="s">
        <v>99</v>
      </c>
      <c r="F1465" s="19" t="s">
        <v>100</v>
      </c>
      <c r="G1465" s="19" t="s">
        <v>32</v>
      </c>
      <c r="H1465" s="19" t="s">
        <v>101</v>
      </c>
      <c r="I1465" s="19" t="s">
        <v>102</v>
      </c>
      <c r="J1465" s="19">
        <v>39</v>
      </c>
      <c r="K1465" s="19">
        <v>4.3299999999999998E-2</v>
      </c>
      <c r="L1465" s="19" t="s">
        <v>35</v>
      </c>
      <c r="M1465" s="19" t="s">
        <v>103</v>
      </c>
      <c r="N1465" s="19">
        <v>0</v>
      </c>
      <c r="O1465" s="19">
        <v>0</v>
      </c>
      <c r="P1465" s="19">
        <v>0</v>
      </c>
      <c r="Q1465" s="19">
        <v>0</v>
      </c>
      <c r="R1465" s="19" t="s">
        <v>1075</v>
      </c>
      <c r="S1465" s="19">
        <v>1</v>
      </c>
      <c r="T1465" s="19">
        <v>1</v>
      </c>
      <c r="U1465" s="19">
        <v>0</v>
      </c>
      <c r="V1465" s="19" t="s">
        <v>36</v>
      </c>
      <c r="W1465" s="19">
        <v>0</v>
      </c>
      <c r="Y1465" s="19" t="s">
        <v>103</v>
      </c>
      <c r="Z1465" s="19">
        <v>50</v>
      </c>
      <c r="AA1465" s="19">
        <v>0</v>
      </c>
    </row>
    <row r="1466" spans="1:27" x14ac:dyDescent="0.25">
      <c r="A1466" s="19" t="s">
        <v>1053</v>
      </c>
      <c r="B1466" s="19" t="s">
        <v>1032</v>
      </c>
      <c r="C1466" s="19">
        <v>41127</v>
      </c>
      <c r="D1466" s="19">
        <v>2.165</v>
      </c>
      <c r="E1466" s="19" t="s">
        <v>105</v>
      </c>
      <c r="F1466" s="19" t="s">
        <v>106</v>
      </c>
      <c r="G1466" s="19" t="s">
        <v>32</v>
      </c>
      <c r="H1466" s="19" t="s">
        <v>101</v>
      </c>
      <c r="I1466" s="19" t="s">
        <v>102</v>
      </c>
      <c r="J1466" s="19">
        <v>38</v>
      </c>
      <c r="K1466" s="19">
        <v>4.3299999999999998E-2</v>
      </c>
      <c r="L1466" s="19" t="s">
        <v>35</v>
      </c>
      <c r="M1466" s="19" t="s">
        <v>103</v>
      </c>
      <c r="N1466" s="19">
        <v>50</v>
      </c>
      <c r="O1466" s="19">
        <v>50</v>
      </c>
      <c r="P1466" s="19">
        <v>0</v>
      </c>
      <c r="Q1466" s="19">
        <v>0</v>
      </c>
      <c r="R1466" s="19" t="s">
        <v>1075</v>
      </c>
      <c r="S1466" s="19">
        <v>1</v>
      </c>
      <c r="T1466" s="19">
        <v>1</v>
      </c>
      <c r="U1466" s="19">
        <v>0</v>
      </c>
      <c r="V1466" s="19" t="s">
        <v>41</v>
      </c>
      <c r="W1466" s="19">
        <v>1</v>
      </c>
      <c r="Y1466" s="19" t="s">
        <v>103</v>
      </c>
      <c r="Z1466" s="19">
        <v>50</v>
      </c>
      <c r="AA1466" s="19">
        <v>50</v>
      </c>
    </row>
    <row r="1467" spans="1:27" x14ac:dyDescent="0.25">
      <c r="A1467" s="19" t="s">
        <v>1054</v>
      </c>
      <c r="B1467" s="19" t="s">
        <v>1032</v>
      </c>
      <c r="C1467" s="19">
        <v>41127</v>
      </c>
      <c r="D1467" s="19">
        <v>0</v>
      </c>
      <c r="E1467" s="19" t="s">
        <v>108</v>
      </c>
      <c r="F1467" s="19" t="s">
        <v>109</v>
      </c>
      <c r="G1467" s="19" t="s">
        <v>32</v>
      </c>
      <c r="H1467" s="19" t="s">
        <v>101</v>
      </c>
      <c r="I1467" s="19" t="s">
        <v>102</v>
      </c>
      <c r="J1467" s="19">
        <v>37</v>
      </c>
      <c r="K1467" s="19">
        <v>4.3299999999999998E-2</v>
      </c>
      <c r="L1467" s="19" t="s">
        <v>35</v>
      </c>
      <c r="M1467" s="19" t="s">
        <v>110</v>
      </c>
      <c r="N1467" s="19">
        <v>0</v>
      </c>
      <c r="O1467" s="19">
        <v>0</v>
      </c>
      <c r="P1467" s="19">
        <v>0</v>
      </c>
      <c r="Q1467" s="19">
        <v>0</v>
      </c>
      <c r="R1467" s="19" t="s">
        <v>1075</v>
      </c>
      <c r="S1467" s="19">
        <v>1</v>
      </c>
      <c r="T1467" s="19">
        <v>1</v>
      </c>
      <c r="U1467" s="19">
        <v>0</v>
      </c>
      <c r="V1467" s="19" t="s">
        <v>80</v>
      </c>
      <c r="W1467" s="19">
        <v>0</v>
      </c>
      <c r="Y1467" s="19" t="s">
        <v>110</v>
      </c>
      <c r="Z1467" s="19">
        <v>16.664999999999999</v>
      </c>
      <c r="AA1467" s="19">
        <v>0</v>
      </c>
    </row>
    <row r="1468" spans="1:27" x14ac:dyDescent="0.25">
      <c r="A1468" s="19" t="s">
        <v>1055</v>
      </c>
      <c r="B1468" s="19" t="s">
        <v>1032</v>
      </c>
      <c r="C1468" s="19">
        <v>41127</v>
      </c>
      <c r="D1468" s="19">
        <v>1.085</v>
      </c>
      <c r="E1468" s="19" t="s">
        <v>112</v>
      </c>
      <c r="F1468" s="19" t="s">
        <v>113</v>
      </c>
      <c r="G1468" s="19" t="s">
        <v>32</v>
      </c>
      <c r="H1468" s="19" t="s">
        <v>114</v>
      </c>
      <c r="I1468" s="19" t="s">
        <v>115</v>
      </c>
      <c r="J1468" s="19">
        <v>30</v>
      </c>
      <c r="K1468" s="19">
        <v>2.1700000000000001E-2</v>
      </c>
      <c r="L1468" s="19" t="s">
        <v>35</v>
      </c>
      <c r="M1468" s="19" t="s">
        <v>103</v>
      </c>
      <c r="N1468" s="19">
        <v>50</v>
      </c>
      <c r="O1468" s="19">
        <v>50</v>
      </c>
      <c r="P1468" s="19">
        <v>0</v>
      </c>
      <c r="Q1468" s="19">
        <v>0</v>
      </c>
      <c r="R1468" s="19" t="s">
        <v>1075</v>
      </c>
      <c r="S1468" s="19">
        <v>1</v>
      </c>
      <c r="T1468" s="19">
        <v>1</v>
      </c>
      <c r="U1468" s="19">
        <v>0</v>
      </c>
      <c r="V1468" s="19" t="s">
        <v>41</v>
      </c>
      <c r="W1468" s="19">
        <v>1</v>
      </c>
      <c r="Y1468" s="19" t="s">
        <v>103</v>
      </c>
      <c r="Z1468" s="19">
        <v>50</v>
      </c>
      <c r="AA1468" s="19">
        <v>50</v>
      </c>
    </row>
    <row r="1469" spans="1:27" x14ac:dyDescent="0.25">
      <c r="A1469" s="19" t="s">
        <v>1056</v>
      </c>
      <c r="B1469" s="19" t="s">
        <v>1032</v>
      </c>
      <c r="C1469" s="19">
        <v>41127</v>
      </c>
      <c r="D1469" s="19">
        <v>0</v>
      </c>
      <c r="E1469" s="19" t="s">
        <v>117</v>
      </c>
      <c r="F1469" s="19" t="s">
        <v>118</v>
      </c>
      <c r="G1469" s="19" t="s">
        <v>32</v>
      </c>
      <c r="H1469" s="19" t="s">
        <v>114</v>
      </c>
      <c r="I1469" s="19" t="s">
        <v>115</v>
      </c>
      <c r="J1469" s="19">
        <v>31</v>
      </c>
      <c r="K1469" s="19">
        <v>2.1700000000000001E-2</v>
      </c>
      <c r="L1469" s="19" t="s">
        <v>35</v>
      </c>
      <c r="M1469" s="19" t="s">
        <v>103</v>
      </c>
      <c r="N1469" s="19">
        <v>0</v>
      </c>
      <c r="O1469" s="19">
        <v>0</v>
      </c>
      <c r="P1469" s="19">
        <v>0</v>
      </c>
      <c r="Q1469" s="19">
        <v>0</v>
      </c>
      <c r="R1469" s="19" t="s">
        <v>1075</v>
      </c>
      <c r="S1469" s="19">
        <v>1</v>
      </c>
      <c r="T1469" s="19">
        <v>1</v>
      </c>
      <c r="U1469" s="19">
        <v>0</v>
      </c>
      <c r="V1469" s="19" t="s">
        <v>80</v>
      </c>
      <c r="W1469" s="19">
        <v>0</v>
      </c>
      <c r="Y1469" s="19" t="s">
        <v>103</v>
      </c>
      <c r="Z1469" s="19">
        <v>50</v>
      </c>
      <c r="AA1469" s="19">
        <v>0</v>
      </c>
    </row>
    <row r="1470" spans="1:27" x14ac:dyDescent="0.25">
      <c r="A1470" s="19" t="s">
        <v>1057</v>
      </c>
      <c r="B1470" s="19" t="s">
        <v>1032</v>
      </c>
      <c r="C1470" s="19">
        <v>41127</v>
      </c>
      <c r="D1470" s="19">
        <v>1.085</v>
      </c>
      <c r="E1470" s="19" t="s">
        <v>120</v>
      </c>
      <c r="F1470" s="19" t="s">
        <v>121</v>
      </c>
      <c r="G1470" s="19" t="s">
        <v>32</v>
      </c>
      <c r="H1470" s="19" t="s">
        <v>114</v>
      </c>
      <c r="I1470" s="19" t="s">
        <v>115</v>
      </c>
      <c r="J1470" s="19">
        <v>28</v>
      </c>
      <c r="K1470" s="19">
        <v>2.1700000000000001E-2</v>
      </c>
      <c r="L1470" s="19" t="s">
        <v>35</v>
      </c>
      <c r="M1470" s="19" t="s">
        <v>103</v>
      </c>
      <c r="N1470" s="19">
        <v>50</v>
      </c>
      <c r="O1470" s="19">
        <v>50</v>
      </c>
      <c r="P1470" s="19">
        <v>0</v>
      </c>
      <c r="Q1470" s="19">
        <v>0</v>
      </c>
      <c r="R1470" s="19" t="s">
        <v>1075</v>
      </c>
      <c r="S1470" s="19">
        <v>1</v>
      </c>
      <c r="T1470" s="19">
        <v>1</v>
      </c>
      <c r="U1470" s="19">
        <v>0</v>
      </c>
      <c r="V1470" s="19" t="s">
        <v>41</v>
      </c>
      <c r="W1470" s="19">
        <v>1</v>
      </c>
      <c r="Y1470" s="19" t="s">
        <v>103</v>
      </c>
      <c r="Z1470" s="19">
        <v>50</v>
      </c>
      <c r="AA1470" s="19">
        <v>50</v>
      </c>
    </row>
    <row r="1471" spans="1:27" x14ac:dyDescent="0.25">
      <c r="A1471" s="19" t="s">
        <v>1058</v>
      </c>
      <c r="B1471" s="19" t="s">
        <v>1032</v>
      </c>
      <c r="C1471" s="19">
        <v>41127</v>
      </c>
      <c r="D1471" s="19">
        <v>1.085</v>
      </c>
      <c r="E1471" s="19" t="s">
        <v>123</v>
      </c>
      <c r="F1471" s="19" t="s">
        <v>124</v>
      </c>
      <c r="G1471" s="19" t="s">
        <v>32</v>
      </c>
      <c r="H1471" s="19" t="s">
        <v>114</v>
      </c>
      <c r="I1471" s="19" t="s">
        <v>115</v>
      </c>
      <c r="J1471" s="19">
        <v>27</v>
      </c>
      <c r="K1471" s="19">
        <v>2.1700000000000001E-2</v>
      </c>
      <c r="L1471" s="19" t="s">
        <v>35</v>
      </c>
      <c r="M1471" s="19" t="s">
        <v>103</v>
      </c>
      <c r="N1471" s="19">
        <v>50</v>
      </c>
      <c r="O1471" s="19">
        <v>50</v>
      </c>
      <c r="P1471" s="19">
        <v>0</v>
      </c>
      <c r="Q1471" s="19">
        <v>0</v>
      </c>
      <c r="R1471" s="19" t="s">
        <v>1075</v>
      </c>
      <c r="S1471" s="19">
        <v>1</v>
      </c>
      <c r="T1471" s="19">
        <v>1</v>
      </c>
      <c r="U1471" s="19">
        <v>0</v>
      </c>
      <c r="V1471" s="19" t="s">
        <v>41</v>
      </c>
      <c r="W1471" s="19">
        <v>1</v>
      </c>
      <c r="Y1471" s="19" t="s">
        <v>103</v>
      </c>
      <c r="Z1471" s="19">
        <v>50</v>
      </c>
      <c r="AA1471" s="19">
        <v>50</v>
      </c>
    </row>
    <row r="1472" spans="1:27" x14ac:dyDescent="0.25">
      <c r="A1472" s="19" t="s">
        <v>1060</v>
      </c>
      <c r="B1472" s="19" t="s">
        <v>1032</v>
      </c>
      <c r="C1472" s="19">
        <v>41127</v>
      </c>
      <c r="D1472" s="19">
        <v>1.085</v>
      </c>
      <c r="E1472" s="19" t="s">
        <v>129</v>
      </c>
      <c r="F1472" s="19" t="s">
        <v>130</v>
      </c>
      <c r="G1472" s="19" t="s">
        <v>32</v>
      </c>
      <c r="H1472" s="19" t="s">
        <v>114</v>
      </c>
      <c r="I1472" s="19" t="s">
        <v>115</v>
      </c>
      <c r="J1472" s="19">
        <v>32</v>
      </c>
      <c r="K1472" s="19">
        <v>2.1700000000000001E-2</v>
      </c>
      <c r="L1472" s="19" t="s">
        <v>35</v>
      </c>
      <c r="M1472" s="19" t="s">
        <v>103</v>
      </c>
      <c r="N1472" s="19">
        <v>50</v>
      </c>
      <c r="O1472" s="19">
        <v>50</v>
      </c>
      <c r="P1472" s="19">
        <v>0</v>
      </c>
      <c r="Q1472" s="19">
        <v>0</v>
      </c>
      <c r="R1472" s="19" t="s">
        <v>1075</v>
      </c>
      <c r="S1472" s="19">
        <v>1</v>
      </c>
      <c r="T1472" s="19">
        <v>1</v>
      </c>
      <c r="U1472" s="19">
        <v>0</v>
      </c>
      <c r="V1472" s="19" t="s">
        <v>41</v>
      </c>
      <c r="W1472" s="19">
        <v>1</v>
      </c>
      <c r="Y1472" s="19" t="s">
        <v>103</v>
      </c>
      <c r="Z1472" s="19">
        <v>50</v>
      </c>
      <c r="AA1472" s="19">
        <v>50</v>
      </c>
    </row>
    <row r="1473" spans="1:27" x14ac:dyDescent="0.25">
      <c r="A1473" s="19" t="s">
        <v>1061</v>
      </c>
      <c r="B1473" s="19" t="s">
        <v>1032</v>
      </c>
      <c r="C1473" s="19">
        <v>41127</v>
      </c>
      <c r="D1473" s="19">
        <v>2.085</v>
      </c>
      <c r="E1473" s="19" t="s">
        <v>132</v>
      </c>
      <c r="F1473" s="19" t="s">
        <v>133</v>
      </c>
      <c r="G1473" s="19" t="s">
        <v>134</v>
      </c>
      <c r="H1473" s="19" t="s">
        <v>87</v>
      </c>
      <c r="I1473" s="19" t="s">
        <v>135</v>
      </c>
      <c r="J1473" s="19">
        <v>11</v>
      </c>
      <c r="K1473" s="19">
        <v>4.1700000000000001E-2</v>
      </c>
      <c r="L1473" s="19" t="s">
        <v>35</v>
      </c>
      <c r="M1473" s="19" t="s">
        <v>103</v>
      </c>
      <c r="N1473" s="19">
        <v>50</v>
      </c>
      <c r="O1473" s="19">
        <v>50</v>
      </c>
      <c r="P1473" s="19">
        <v>0</v>
      </c>
      <c r="Q1473" s="19">
        <v>0</v>
      </c>
      <c r="R1473" s="19" t="s">
        <v>1075</v>
      </c>
      <c r="S1473" s="19">
        <v>1</v>
      </c>
      <c r="T1473" s="19">
        <v>1</v>
      </c>
      <c r="U1473" s="19">
        <v>0</v>
      </c>
      <c r="V1473" s="19" t="s">
        <v>41</v>
      </c>
      <c r="W1473" s="19">
        <v>1</v>
      </c>
      <c r="Y1473" s="19" t="s">
        <v>103</v>
      </c>
      <c r="Z1473" s="19">
        <v>50</v>
      </c>
      <c r="AA1473" s="19">
        <v>50</v>
      </c>
    </row>
    <row r="1474" spans="1:27" x14ac:dyDescent="0.25">
      <c r="A1474" s="19" t="s">
        <v>1062</v>
      </c>
      <c r="B1474" s="19" t="s">
        <v>1032</v>
      </c>
      <c r="C1474" s="19">
        <v>41127</v>
      </c>
      <c r="D1474" s="19">
        <v>0.92657400000000001</v>
      </c>
      <c r="E1474" s="19" t="s">
        <v>137</v>
      </c>
      <c r="F1474" s="19" t="s">
        <v>138</v>
      </c>
      <c r="G1474" s="19" t="s">
        <v>134</v>
      </c>
      <c r="H1474" s="19" t="s">
        <v>87</v>
      </c>
      <c r="I1474" s="19" t="s">
        <v>135</v>
      </c>
      <c r="J1474" s="19">
        <v>9</v>
      </c>
      <c r="K1474" s="19">
        <v>4.1700000000000001E-2</v>
      </c>
      <c r="L1474" s="19" t="s">
        <v>35</v>
      </c>
      <c r="M1474" s="19" t="s">
        <v>40</v>
      </c>
      <c r="N1474" s="19">
        <v>22.22</v>
      </c>
      <c r="O1474" s="19">
        <v>22.22</v>
      </c>
      <c r="P1474" s="19">
        <v>0</v>
      </c>
      <c r="Q1474" s="19">
        <v>0</v>
      </c>
      <c r="R1474" s="19" t="s">
        <v>1075</v>
      </c>
      <c r="S1474" s="19">
        <v>1</v>
      </c>
      <c r="T1474" s="19">
        <v>1</v>
      </c>
      <c r="U1474" s="19">
        <v>0</v>
      </c>
      <c r="W1474" s="19">
        <v>0</v>
      </c>
      <c r="X1474" s="19">
        <v>2</v>
      </c>
      <c r="Y1474" s="19" t="s">
        <v>40</v>
      </c>
      <c r="Z1474" s="19">
        <v>33.33</v>
      </c>
      <c r="AA1474" s="19">
        <v>22.22</v>
      </c>
    </row>
    <row r="1475" spans="1:27" x14ac:dyDescent="0.25">
      <c r="A1475" s="19" t="s">
        <v>1063</v>
      </c>
      <c r="B1475" s="19" t="s">
        <v>1032</v>
      </c>
      <c r="C1475" s="19">
        <v>41127</v>
      </c>
      <c r="D1475" s="19">
        <v>0.92657400000000001</v>
      </c>
      <c r="E1475" s="19" t="s">
        <v>140</v>
      </c>
      <c r="F1475" s="19" t="s">
        <v>141</v>
      </c>
      <c r="G1475" s="19" t="s">
        <v>134</v>
      </c>
      <c r="H1475" s="19" t="s">
        <v>87</v>
      </c>
      <c r="I1475" s="19" t="s">
        <v>135</v>
      </c>
      <c r="J1475" s="19">
        <v>10</v>
      </c>
      <c r="K1475" s="19">
        <v>4.1700000000000001E-2</v>
      </c>
      <c r="L1475" s="19" t="s">
        <v>35</v>
      </c>
      <c r="M1475" s="19" t="s">
        <v>40</v>
      </c>
      <c r="N1475" s="19">
        <v>22.22</v>
      </c>
      <c r="O1475" s="19">
        <v>22.22</v>
      </c>
      <c r="P1475" s="19">
        <v>0</v>
      </c>
      <c r="Q1475" s="19">
        <v>0</v>
      </c>
      <c r="R1475" s="19" t="s">
        <v>1075</v>
      </c>
      <c r="S1475" s="19">
        <v>1</v>
      </c>
      <c r="T1475" s="19">
        <v>1</v>
      </c>
      <c r="U1475" s="19">
        <v>0</v>
      </c>
      <c r="W1475" s="19">
        <v>0</v>
      </c>
      <c r="X1475" s="19">
        <v>2</v>
      </c>
      <c r="Y1475" s="19" t="s">
        <v>40</v>
      </c>
      <c r="Z1475" s="19">
        <v>33.33</v>
      </c>
      <c r="AA1475" s="19">
        <v>22.22</v>
      </c>
    </row>
    <row r="1476" spans="1:27" x14ac:dyDescent="0.25">
      <c r="A1476" s="19" t="s">
        <v>1064</v>
      </c>
      <c r="B1476" s="19" t="s">
        <v>1032</v>
      </c>
      <c r="C1476" s="19">
        <v>41127</v>
      </c>
      <c r="D1476" s="19">
        <v>1.25</v>
      </c>
      <c r="E1476" s="19" t="s">
        <v>144</v>
      </c>
      <c r="F1476" s="19" t="s">
        <v>145</v>
      </c>
      <c r="G1476" s="19" t="s">
        <v>134</v>
      </c>
      <c r="H1476" s="19" t="s">
        <v>146</v>
      </c>
      <c r="I1476" s="19" t="s">
        <v>147</v>
      </c>
      <c r="J1476" s="19">
        <v>4</v>
      </c>
      <c r="K1476" s="19">
        <v>2.5000000000000001E-2</v>
      </c>
      <c r="L1476" s="19" t="s">
        <v>35</v>
      </c>
      <c r="M1476" s="19" t="s">
        <v>103</v>
      </c>
      <c r="N1476" s="19">
        <v>50</v>
      </c>
      <c r="O1476" s="19">
        <v>50</v>
      </c>
      <c r="P1476" s="19">
        <v>0</v>
      </c>
      <c r="Q1476" s="19">
        <v>0</v>
      </c>
      <c r="R1476" s="19" t="s">
        <v>1075</v>
      </c>
      <c r="S1476" s="19">
        <v>1</v>
      </c>
      <c r="T1476" s="19">
        <v>1</v>
      </c>
      <c r="U1476" s="19">
        <v>0</v>
      </c>
      <c r="V1476" s="19" t="s">
        <v>41</v>
      </c>
      <c r="W1476" s="19">
        <v>1</v>
      </c>
      <c r="Y1476" s="19" t="s">
        <v>103</v>
      </c>
      <c r="Z1476" s="19">
        <v>50</v>
      </c>
      <c r="AA1476" s="19">
        <v>50</v>
      </c>
    </row>
    <row r="1477" spans="1:27" x14ac:dyDescent="0.25">
      <c r="A1477" s="19" t="s">
        <v>1065</v>
      </c>
      <c r="B1477" s="19" t="s">
        <v>1032</v>
      </c>
      <c r="C1477" s="19">
        <v>41127</v>
      </c>
      <c r="D1477" s="19">
        <v>1.25</v>
      </c>
      <c r="E1477" s="19" t="s">
        <v>149</v>
      </c>
      <c r="F1477" s="19" t="s">
        <v>150</v>
      </c>
      <c r="G1477" s="19" t="s">
        <v>134</v>
      </c>
      <c r="H1477" s="19" t="s">
        <v>146</v>
      </c>
      <c r="I1477" s="19" t="s">
        <v>147</v>
      </c>
      <c r="J1477" s="19">
        <v>5</v>
      </c>
      <c r="K1477" s="19">
        <v>2.5000000000000001E-2</v>
      </c>
      <c r="L1477" s="19" t="s">
        <v>35</v>
      </c>
      <c r="M1477" s="19" t="s">
        <v>103</v>
      </c>
      <c r="N1477" s="19">
        <v>50</v>
      </c>
      <c r="O1477" s="19">
        <v>50</v>
      </c>
      <c r="P1477" s="19">
        <v>0</v>
      </c>
      <c r="Q1477" s="19">
        <v>0</v>
      </c>
      <c r="R1477" s="19" t="s">
        <v>1075</v>
      </c>
      <c r="S1477" s="19">
        <v>1</v>
      </c>
      <c r="T1477" s="19">
        <v>1</v>
      </c>
      <c r="U1477" s="19">
        <v>0</v>
      </c>
      <c r="V1477" s="19" t="s">
        <v>41</v>
      </c>
      <c r="W1477" s="19">
        <v>1</v>
      </c>
      <c r="Y1477" s="19" t="s">
        <v>103</v>
      </c>
      <c r="Z1477" s="19">
        <v>50</v>
      </c>
      <c r="AA1477" s="19">
        <v>50</v>
      </c>
    </row>
    <row r="1478" spans="1:27" x14ac:dyDescent="0.25">
      <c r="A1478" s="19" t="s">
        <v>1066</v>
      </c>
      <c r="B1478" s="19" t="s">
        <v>1032</v>
      </c>
      <c r="C1478" s="19">
        <v>41127</v>
      </c>
      <c r="D1478" s="19">
        <v>1.25</v>
      </c>
      <c r="E1478" s="19" t="s">
        <v>152</v>
      </c>
      <c r="F1478" s="19" t="s">
        <v>153</v>
      </c>
      <c r="G1478" s="19" t="s">
        <v>134</v>
      </c>
      <c r="H1478" s="19" t="s">
        <v>146</v>
      </c>
      <c r="I1478" s="19" t="s">
        <v>147</v>
      </c>
      <c r="J1478" s="19">
        <v>6</v>
      </c>
      <c r="K1478" s="19">
        <v>2.5000000000000001E-2</v>
      </c>
      <c r="L1478" s="19" t="s">
        <v>35</v>
      </c>
      <c r="M1478" s="19" t="s">
        <v>103</v>
      </c>
      <c r="N1478" s="19">
        <v>50</v>
      </c>
      <c r="O1478" s="19">
        <v>50</v>
      </c>
      <c r="P1478" s="19">
        <v>0</v>
      </c>
      <c r="Q1478" s="19">
        <v>0</v>
      </c>
      <c r="R1478" s="19" t="s">
        <v>1075</v>
      </c>
      <c r="S1478" s="19">
        <v>1</v>
      </c>
      <c r="T1478" s="19">
        <v>1</v>
      </c>
      <c r="U1478" s="19">
        <v>0</v>
      </c>
      <c r="V1478" s="19" t="s">
        <v>41</v>
      </c>
      <c r="W1478" s="19">
        <v>1</v>
      </c>
      <c r="Y1478" s="19" t="s">
        <v>103</v>
      </c>
      <c r="Z1478" s="19">
        <v>50</v>
      </c>
      <c r="AA1478" s="19">
        <v>50</v>
      </c>
    </row>
    <row r="1479" spans="1:27" x14ac:dyDescent="0.25">
      <c r="A1479" s="19" t="s">
        <v>1067</v>
      </c>
      <c r="B1479" s="19" t="s">
        <v>1032</v>
      </c>
      <c r="C1479" s="19">
        <v>41127</v>
      </c>
      <c r="D1479" s="19">
        <v>1.25</v>
      </c>
      <c r="E1479" s="19" t="s">
        <v>155</v>
      </c>
      <c r="F1479" s="19" t="s">
        <v>156</v>
      </c>
      <c r="G1479" s="19" t="s">
        <v>134</v>
      </c>
      <c r="H1479" s="19" t="s">
        <v>146</v>
      </c>
      <c r="I1479" s="19" t="s">
        <v>147</v>
      </c>
      <c r="J1479" s="19">
        <v>7</v>
      </c>
      <c r="K1479" s="19">
        <v>2.5000000000000001E-2</v>
      </c>
      <c r="L1479" s="19" t="s">
        <v>35</v>
      </c>
      <c r="M1479" s="19" t="s">
        <v>103</v>
      </c>
      <c r="N1479" s="19">
        <v>50</v>
      </c>
      <c r="O1479" s="19">
        <v>50</v>
      </c>
      <c r="P1479" s="19">
        <v>0</v>
      </c>
      <c r="Q1479" s="19">
        <v>0</v>
      </c>
      <c r="R1479" s="19" t="s">
        <v>1075</v>
      </c>
      <c r="S1479" s="19">
        <v>1</v>
      </c>
      <c r="T1479" s="19">
        <v>1</v>
      </c>
      <c r="U1479" s="19">
        <v>0</v>
      </c>
      <c r="V1479" s="19" t="s">
        <v>41</v>
      </c>
      <c r="W1479" s="19">
        <v>1</v>
      </c>
      <c r="Y1479" s="19" t="s">
        <v>103</v>
      </c>
      <c r="Z1479" s="19">
        <v>50</v>
      </c>
      <c r="AA1479" s="19">
        <v>50</v>
      </c>
    </row>
    <row r="1480" spans="1:27" x14ac:dyDescent="0.25">
      <c r="A1480" s="19" t="s">
        <v>1068</v>
      </c>
      <c r="B1480" s="19" t="s">
        <v>1032</v>
      </c>
      <c r="C1480" s="19">
        <v>41127</v>
      </c>
      <c r="D1480" s="19">
        <v>1.25</v>
      </c>
      <c r="E1480" s="19" t="s">
        <v>158</v>
      </c>
      <c r="F1480" s="19" t="s">
        <v>159</v>
      </c>
      <c r="G1480" s="19" t="s">
        <v>134</v>
      </c>
      <c r="H1480" s="19" t="s">
        <v>146</v>
      </c>
      <c r="I1480" s="19" t="s">
        <v>147</v>
      </c>
      <c r="J1480" s="19">
        <v>8</v>
      </c>
      <c r="K1480" s="19">
        <v>2.5000000000000001E-2</v>
      </c>
      <c r="L1480" s="19" t="s">
        <v>35</v>
      </c>
      <c r="M1480" s="19" t="s">
        <v>103</v>
      </c>
      <c r="N1480" s="19">
        <v>50</v>
      </c>
      <c r="O1480" s="19">
        <v>50</v>
      </c>
      <c r="P1480" s="19">
        <v>0</v>
      </c>
      <c r="Q1480" s="19">
        <v>0</v>
      </c>
      <c r="R1480" s="19" t="s">
        <v>1075</v>
      </c>
      <c r="S1480" s="19">
        <v>1</v>
      </c>
      <c r="T1480" s="19">
        <v>1</v>
      </c>
      <c r="U1480" s="19">
        <v>0</v>
      </c>
      <c r="V1480" s="19" t="s">
        <v>41</v>
      </c>
      <c r="W1480" s="19">
        <v>1</v>
      </c>
      <c r="Y1480" s="19" t="s">
        <v>103</v>
      </c>
      <c r="Z1480" s="19">
        <v>50</v>
      </c>
      <c r="AA1480" s="19">
        <v>50</v>
      </c>
    </row>
    <row r="1481" spans="1:27" x14ac:dyDescent="0.25">
      <c r="A1481" s="19" t="s">
        <v>1069</v>
      </c>
      <c r="B1481" s="19" t="s">
        <v>1032</v>
      </c>
      <c r="C1481" s="19">
        <v>41127</v>
      </c>
      <c r="D1481" s="19">
        <v>0</v>
      </c>
      <c r="E1481" s="19" t="s">
        <v>161</v>
      </c>
      <c r="F1481" s="19" t="s">
        <v>162</v>
      </c>
      <c r="G1481" s="19" t="s">
        <v>163</v>
      </c>
      <c r="I1481" s="19" t="s">
        <v>164</v>
      </c>
      <c r="J1481" s="19">
        <v>1</v>
      </c>
      <c r="K1481" s="19">
        <v>3.3300000000000003E-2</v>
      </c>
      <c r="L1481" s="19" t="s">
        <v>35</v>
      </c>
      <c r="M1481" s="19" t="s">
        <v>165</v>
      </c>
      <c r="N1481" s="19">
        <v>0</v>
      </c>
      <c r="O1481" s="19">
        <v>0</v>
      </c>
      <c r="P1481" s="19">
        <v>0</v>
      </c>
      <c r="Q1481" s="19">
        <v>0</v>
      </c>
      <c r="R1481" s="19" t="s">
        <v>1075</v>
      </c>
      <c r="S1481" s="19">
        <v>1</v>
      </c>
      <c r="T1481" s="19">
        <v>1</v>
      </c>
      <c r="U1481" s="19">
        <v>0</v>
      </c>
      <c r="W1481" s="19">
        <v>0</v>
      </c>
      <c r="X1481" s="19">
        <v>0</v>
      </c>
      <c r="Z1481" s="19">
        <v>0</v>
      </c>
      <c r="AA1481" s="19">
        <v>0</v>
      </c>
    </row>
    <row r="1482" spans="1:27" x14ac:dyDescent="0.25">
      <c r="A1482" s="19" t="s">
        <v>1070</v>
      </c>
      <c r="B1482" s="19" t="s">
        <v>1032</v>
      </c>
      <c r="C1482" s="19">
        <v>41127</v>
      </c>
      <c r="D1482" s="19">
        <v>2.2197779999999998</v>
      </c>
      <c r="E1482" s="19" t="s">
        <v>167</v>
      </c>
      <c r="F1482" s="19" t="s">
        <v>168</v>
      </c>
      <c r="G1482" s="19" t="s">
        <v>163</v>
      </c>
      <c r="I1482" s="19" t="s">
        <v>164</v>
      </c>
      <c r="J1482" s="19">
        <v>3</v>
      </c>
      <c r="K1482" s="19">
        <v>3.3300000000000003E-2</v>
      </c>
      <c r="L1482" s="19" t="s">
        <v>35</v>
      </c>
      <c r="M1482" s="19" t="s">
        <v>165</v>
      </c>
      <c r="N1482" s="19">
        <v>66.66</v>
      </c>
      <c r="O1482" s="19">
        <v>66.66</v>
      </c>
      <c r="P1482" s="19">
        <v>0</v>
      </c>
      <c r="Q1482" s="19">
        <v>0</v>
      </c>
      <c r="R1482" s="19" t="s">
        <v>1075</v>
      </c>
      <c r="S1482" s="19">
        <v>1</v>
      </c>
      <c r="T1482" s="19">
        <v>1</v>
      </c>
      <c r="U1482" s="19">
        <v>0</v>
      </c>
      <c r="W1482" s="19">
        <v>0</v>
      </c>
      <c r="X1482" s="19">
        <v>66.66</v>
      </c>
      <c r="Z1482" s="19">
        <v>0</v>
      </c>
      <c r="AA1482" s="19">
        <v>66.66</v>
      </c>
    </row>
    <row r="1483" spans="1:27" x14ac:dyDescent="0.25">
      <c r="A1483" s="19" t="s">
        <v>1071</v>
      </c>
      <c r="B1483" s="19" t="s">
        <v>1032</v>
      </c>
      <c r="C1483" s="19">
        <v>41127</v>
      </c>
      <c r="D1483" s="19">
        <v>1.0656000000000001</v>
      </c>
      <c r="E1483" s="19" t="s">
        <v>170</v>
      </c>
      <c r="F1483" s="19" t="s">
        <v>171</v>
      </c>
      <c r="G1483" s="19" t="s">
        <v>163</v>
      </c>
      <c r="I1483" s="19" t="s">
        <v>164</v>
      </c>
      <c r="J1483" s="19">
        <v>2</v>
      </c>
      <c r="K1483" s="19">
        <v>3.3300000000000003E-2</v>
      </c>
      <c r="L1483" s="19" t="s">
        <v>35</v>
      </c>
      <c r="M1483" s="19" t="s">
        <v>165</v>
      </c>
      <c r="N1483" s="19">
        <v>32</v>
      </c>
      <c r="O1483" s="19">
        <v>32</v>
      </c>
      <c r="P1483" s="19">
        <v>0</v>
      </c>
      <c r="Q1483" s="19">
        <v>0</v>
      </c>
      <c r="R1483" s="19" t="s">
        <v>1075</v>
      </c>
      <c r="S1483" s="19">
        <v>1</v>
      </c>
      <c r="T1483" s="19">
        <v>1</v>
      </c>
      <c r="U1483" s="19">
        <v>0</v>
      </c>
      <c r="W1483" s="19">
        <v>0</v>
      </c>
      <c r="X1483" s="19">
        <v>32</v>
      </c>
      <c r="Z1483" s="19">
        <v>0</v>
      </c>
      <c r="AA1483" s="19">
        <v>32</v>
      </c>
    </row>
    <row r="1484" spans="1:27" x14ac:dyDescent="0.25">
      <c r="A1484" s="19" t="s">
        <v>1725</v>
      </c>
      <c r="B1484" s="19" t="s">
        <v>1726</v>
      </c>
      <c r="C1484" s="19" t="s">
        <v>1727</v>
      </c>
      <c r="D1484" s="19">
        <v>0</v>
      </c>
      <c r="E1484" s="19" t="s">
        <v>30</v>
      </c>
      <c r="F1484" s="19" t="s">
        <v>31</v>
      </c>
      <c r="G1484" s="19" t="s">
        <v>32</v>
      </c>
      <c r="H1484" s="19" t="s">
        <v>33</v>
      </c>
      <c r="I1484" s="19" t="s">
        <v>34</v>
      </c>
      <c r="J1484" s="19">
        <v>17</v>
      </c>
      <c r="K1484" s="19">
        <v>1.6299999999999999E-2</v>
      </c>
      <c r="L1484" s="19" t="s">
        <v>35</v>
      </c>
      <c r="M1484" s="19" t="s">
        <v>40</v>
      </c>
      <c r="N1484" s="19">
        <v>0</v>
      </c>
      <c r="O1484" s="19">
        <v>0</v>
      </c>
      <c r="P1484" s="19">
        <v>0</v>
      </c>
      <c r="Q1484" s="19">
        <v>0</v>
      </c>
      <c r="S1484" s="19">
        <v>1</v>
      </c>
      <c r="T1484" s="19">
        <v>1</v>
      </c>
      <c r="U1484" s="19">
        <v>0</v>
      </c>
      <c r="V1484" s="19" t="s">
        <v>80</v>
      </c>
      <c r="W1484" s="19">
        <v>0</v>
      </c>
      <c r="Y1484" s="19" t="s">
        <v>40</v>
      </c>
      <c r="Z1484" s="19">
        <v>33.33</v>
      </c>
      <c r="AA1484" s="19">
        <v>0</v>
      </c>
    </row>
    <row r="1485" spans="1:27" x14ac:dyDescent="0.25">
      <c r="A1485" s="19" t="s">
        <v>1728</v>
      </c>
      <c r="B1485" s="19" t="s">
        <v>1726</v>
      </c>
      <c r="C1485" s="19" t="s">
        <v>1727</v>
      </c>
      <c r="D1485" s="19">
        <v>0.54327899999999996</v>
      </c>
      <c r="E1485" s="19" t="s">
        <v>38</v>
      </c>
      <c r="F1485" s="19" t="s">
        <v>39</v>
      </c>
      <c r="G1485" s="19" t="s">
        <v>32</v>
      </c>
      <c r="H1485" s="19" t="s">
        <v>33</v>
      </c>
      <c r="I1485" s="19" t="s">
        <v>34</v>
      </c>
      <c r="J1485" s="19">
        <v>19</v>
      </c>
      <c r="K1485" s="19">
        <v>1.6299999999999999E-2</v>
      </c>
      <c r="L1485" s="19" t="s">
        <v>35</v>
      </c>
      <c r="M1485" s="19" t="s">
        <v>40</v>
      </c>
      <c r="N1485" s="19">
        <v>33.33</v>
      </c>
      <c r="O1485" s="19">
        <v>33.33</v>
      </c>
      <c r="P1485" s="19">
        <v>0</v>
      </c>
      <c r="Q1485" s="19">
        <v>0</v>
      </c>
      <c r="S1485" s="19">
        <v>1</v>
      </c>
      <c r="T1485" s="19">
        <v>1</v>
      </c>
      <c r="U1485" s="19">
        <v>0</v>
      </c>
      <c r="V1485" s="19" t="s">
        <v>41</v>
      </c>
      <c r="W1485" s="19">
        <v>1</v>
      </c>
      <c r="Y1485" s="19" t="s">
        <v>40</v>
      </c>
      <c r="Z1485" s="19">
        <v>33.33</v>
      </c>
      <c r="AA1485" s="19">
        <v>33.33</v>
      </c>
    </row>
    <row r="1486" spans="1:27" x14ac:dyDescent="0.25">
      <c r="A1486" s="19" t="s">
        <v>1729</v>
      </c>
      <c r="B1486" s="19" t="s">
        <v>1726</v>
      </c>
      <c r="C1486" s="19" t="s">
        <v>1727</v>
      </c>
      <c r="D1486" s="19">
        <v>0</v>
      </c>
      <c r="E1486" s="19" t="s">
        <v>43</v>
      </c>
      <c r="F1486" s="19" t="s">
        <v>44</v>
      </c>
      <c r="G1486" s="19" t="s">
        <v>32</v>
      </c>
      <c r="H1486" s="19" t="s">
        <v>33</v>
      </c>
      <c r="I1486" s="19" t="s">
        <v>34</v>
      </c>
      <c r="J1486" s="19">
        <v>18</v>
      </c>
      <c r="K1486" s="19">
        <v>1.6299999999999999E-2</v>
      </c>
      <c r="L1486" s="19" t="s">
        <v>35</v>
      </c>
      <c r="N1486" s="19">
        <v>0</v>
      </c>
      <c r="O1486" s="19">
        <v>0</v>
      </c>
      <c r="P1486" s="19">
        <v>0</v>
      </c>
      <c r="Q1486" s="19">
        <v>0</v>
      </c>
      <c r="S1486" s="19">
        <v>1</v>
      </c>
      <c r="T1486" s="19">
        <v>1</v>
      </c>
      <c r="U1486" s="19">
        <v>0</v>
      </c>
      <c r="V1486" s="19" t="s">
        <v>36</v>
      </c>
      <c r="W1486" s="19">
        <v>0</v>
      </c>
      <c r="Z1486" s="19">
        <v>0</v>
      </c>
      <c r="AA1486" s="19">
        <v>0</v>
      </c>
    </row>
    <row r="1487" spans="1:27" x14ac:dyDescent="0.25">
      <c r="A1487" s="19" t="s">
        <v>1730</v>
      </c>
      <c r="B1487" s="19" t="s">
        <v>1726</v>
      </c>
      <c r="C1487" s="19" t="s">
        <v>1727</v>
      </c>
      <c r="D1487" s="19">
        <v>0.81499999999999995</v>
      </c>
      <c r="E1487" s="19" t="s">
        <v>46</v>
      </c>
      <c r="F1487" s="19" t="s">
        <v>47</v>
      </c>
      <c r="G1487" s="19" t="s">
        <v>32</v>
      </c>
      <c r="H1487" s="19" t="s">
        <v>33</v>
      </c>
      <c r="I1487" s="19" t="s">
        <v>34</v>
      </c>
      <c r="J1487" s="19">
        <v>15</v>
      </c>
      <c r="K1487" s="19">
        <v>1.6299999999999999E-2</v>
      </c>
      <c r="L1487" s="19" t="s">
        <v>35</v>
      </c>
      <c r="M1487" s="19" t="s">
        <v>142</v>
      </c>
      <c r="N1487" s="19">
        <v>50</v>
      </c>
      <c r="O1487" s="19">
        <v>50</v>
      </c>
      <c r="P1487" s="19">
        <v>0</v>
      </c>
      <c r="Q1487" s="19">
        <v>0</v>
      </c>
      <c r="S1487" s="19">
        <v>1</v>
      </c>
      <c r="T1487" s="19">
        <v>1</v>
      </c>
      <c r="U1487" s="19">
        <v>0</v>
      </c>
      <c r="V1487" s="19" t="s">
        <v>41</v>
      </c>
      <c r="W1487" s="19">
        <v>1</v>
      </c>
      <c r="Y1487" s="19" t="s">
        <v>142</v>
      </c>
      <c r="Z1487" s="19">
        <v>50</v>
      </c>
      <c r="AA1487" s="19">
        <v>50</v>
      </c>
    </row>
    <row r="1488" spans="1:27" x14ac:dyDescent="0.25">
      <c r="A1488" s="19" t="s">
        <v>1731</v>
      </c>
      <c r="B1488" s="19" t="s">
        <v>1726</v>
      </c>
      <c r="C1488" s="19" t="s">
        <v>1727</v>
      </c>
      <c r="D1488" s="19">
        <v>0.81499999999999995</v>
      </c>
      <c r="E1488" s="19" t="s">
        <v>49</v>
      </c>
      <c r="F1488" s="19" t="s">
        <v>50</v>
      </c>
      <c r="G1488" s="19" t="s">
        <v>32</v>
      </c>
      <c r="H1488" s="19" t="s">
        <v>33</v>
      </c>
      <c r="I1488" s="19" t="s">
        <v>34</v>
      </c>
      <c r="J1488" s="19">
        <v>12</v>
      </c>
      <c r="K1488" s="19">
        <v>1.6299999999999999E-2</v>
      </c>
      <c r="L1488" s="19" t="s">
        <v>35</v>
      </c>
      <c r="M1488" s="19" t="s">
        <v>142</v>
      </c>
      <c r="N1488" s="19">
        <v>50</v>
      </c>
      <c r="O1488" s="19">
        <v>50</v>
      </c>
      <c r="P1488" s="19">
        <v>0</v>
      </c>
      <c r="Q1488" s="19">
        <v>0</v>
      </c>
      <c r="S1488" s="19">
        <v>1</v>
      </c>
      <c r="T1488" s="19">
        <v>1</v>
      </c>
      <c r="U1488" s="19">
        <v>0</v>
      </c>
      <c r="V1488" s="19" t="s">
        <v>41</v>
      </c>
      <c r="W1488" s="19">
        <v>1</v>
      </c>
      <c r="Y1488" s="19" t="s">
        <v>142</v>
      </c>
      <c r="Z1488" s="19">
        <v>50</v>
      </c>
      <c r="AA1488" s="19">
        <v>50</v>
      </c>
    </row>
    <row r="1489" spans="1:27" x14ac:dyDescent="0.25">
      <c r="A1489" s="19" t="s">
        <v>1732</v>
      </c>
      <c r="B1489" s="19" t="s">
        <v>1726</v>
      </c>
      <c r="C1489" s="19" t="s">
        <v>1727</v>
      </c>
      <c r="D1489" s="19">
        <v>0</v>
      </c>
      <c r="E1489" s="19" t="s">
        <v>52</v>
      </c>
      <c r="F1489" s="19" t="s">
        <v>53</v>
      </c>
      <c r="G1489" s="19" t="s">
        <v>32</v>
      </c>
      <c r="H1489" s="19" t="s">
        <v>33</v>
      </c>
      <c r="I1489" s="19" t="s">
        <v>34</v>
      </c>
      <c r="J1489" s="19">
        <v>16</v>
      </c>
      <c r="K1489" s="19">
        <v>1.6299999999999999E-2</v>
      </c>
      <c r="L1489" s="19" t="s">
        <v>35</v>
      </c>
      <c r="M1489" s="19" t="s">
        <v>40</v>
      </c>
      <c r="N1489" s="19">
        <v>0</v>
      </c>
      <c r="O1489" s="19">
        <v>0</v>
      </c>
      <c r="P1489" s="19">
        <v>0</v>
      </c>
      <c r="Q1489" s="19">
        <v>0</v>
      </c>
      <c r="S1489" s="19">
        <v>1</v>
      </c>
      <c r="T1489" s="19">
        <v>1</v>
      </c>
      <c r="U1489" s="19">
        <v>0</v>
      </c>
      <c r="V1489" s="19" t="s">
        <v>80</v>
      </c>
      <c r="W1489" s="19">
        <v>0</v>
      </c>
      <c r="Y1489" s="19" t="s">
        <v>40</v>
      </c>
      <c r="Z1489" s="19">
        <v>33.33</v>
      </c>
      <c r="AA1489" s="19">
        <v>0</v>
      </c>
    </row>
    <row r="1490" spans="1:27" x14ac:dyDescent="0.25">
      <c r="A1490" s="19" t="s">
        <v>1733</v>
      </c>
      <c r="B1490" s="19" t="s">
        <v>1726</v>
      </c>
      <c r="C1490" s="19" t="s">
        <v>1727</v>
      </c>
      <c r="D1490" s="19">
        <v>0.81499999999999995</v>
      </c>
      <c r="E1490" s="19" t="s">
        <v>55</v>
      </c>
      <c r="F1490" s="19" t="s">
        <v>56</v>
      </c>
      <c r="G1490" s="19" t="s">
        <v>32</v>
      </c>
      <c r="H1490" s="19" t="s">
        <v>33</v>
      </c>
      <c r="I1490" s="19" t="s">
        <v>34</v>
      </c>
      <c r="J1490" s="19">
        <v>14</v>
      </c>
      <c r="K1490" s="19">
        <v>1.6299999999999999E-2</v>
      </c>
      <c r="L1490" s="19" t="s">
        <v>35</v>
      </c>
      <c r="M1490" s="19" t="s">
        <v>142</v>
      </c>
      <c r="N1490" s="19">
        <v>50</v>
      </c>
      <c r="O1490" s="19">
        <v>50</v>
      </c>
      <c r="P1490" s="19">
        <v>0</v>
      </c>
      <c r="Q1490" s="19">
        <v>0</v>
      </c>
      <c r="S1490" s="19">
        <v>1</v>
      </c>
      <c r="T1490" s="19">
        <v>1</v>
      </c>
      <c r="U1490" s="19">
        <v>0</v>
      </c>
      <c r="V1490" s="19" t="s">
        <v>41</v>
      </c>
      <c r="W1490" s="19">
        <v>1</v>
      </c>
      <c r="Y1490" s="19" t="s">
        <v>142</v>
      </c>
      <c r="Z1490" s="19">
        <v>50</v>
      </c>
      <c r="AA1490" s="19">
        <v>50</v>
      </c>
    </row>
    <row r="1491" spans="1:27" x14ac:dyDescent="0.25">
      <c r="A1491" s="19" t="s">
        <v>1734</v>
      </c>
      <c r="B1491" s="19" t="s">
        <v>1726</v>
      </c>
      <c r="C1491" s="19" t="s">
        <v>1727</v>
      </c>
      <c r="D1491" s="19">
        <v>0.81499999999999995</v>
      </c>
      <c r="E1491" s="19" t="s">
        <v>58</v>
      </c>
      <c r="F1491" s="19" t="s">
        <v>59</v>
      </c>
      <c r="G1491" s="19" t="s">
        <v>32</v>
      </c>
      <c r="H1491" s="19" t="s">
        <v>33</v>
      </c>
      <c r="I1491" s="19" t="s">
        <v>34</v>
      </c>
      <c r="J1491" s="19">
        <v>13</v>
      </c>
      <c r="K1491" s="19">
        <v>1.6299999999999999E-2</v>
      </c>
      <c r="L1491" s="19" t="s">
        <v>35</v>
      </c>
      <c r="M1491" s="19" t="s">
        <v>142</v>
      </c>
      <c r="N1491" s="19">
        <v>50</v>
      </c>
      <c r="O1491" s="19">
        <v>50</v>
      </c>
      <c r="P1491" s="19">
        <v>0</v>
      </c>
      <c r="Q1491" s="19">
        <v>0</v>
      </c>
      <c r="S1491" s="19">
        <v>1</v>
      </c>
      <c r="T1491" s="19">
        <v>1</v>
      </c>
      <c r="U1491" s="19">
        <v>0</v>
      </c>
      <c r="V1491" s="19" t="s">
        <v>41</v>
      </c>
      <c r="W1491" s="19">
        <v>1</v>
      </c>
      <c r="Y1491" s="19" t="s">
        <v>142</v>
      </c>
      <c r="Z1491" s="19">
        <v>50</v>
      </c>
      <c r="AA1491" s="19">
        <v>50</v>
      </c>
    </row>
    <row r="1492" spans="1:27" x14ac:dyDescent="0.25">
      <c r="A1492" s="19" t="s">
        <v>1735</v>
      </c>
      <c r="B1492" s="19" t="s">
        <v>1726</v>
      </c>
      <c r="C1492" s="19" t="s">
        <v>1727</v>
      </c>
      <c r="D1492" s="19">
        <v>0</v>
      </c>
      <c r="E1492" s="19" t="s">
        <v>61</v>
      </c>
      <c r="F1492" s="19" t="s">
        <v>62</v>
      </c>
      <c r="G1492" s="19" t="s">
        <v>32</v>
      </c>
      <c r="H1492" s="19" t="s">
        <v>63</v>
      </c>
      <c r="I1492" s="19" t="s">
        <v>64</v>
      </c>
      <c r="J1492" s="19">
        <v>22</v>
      </c>
      <c r="K1492" s="19">
        <v>1.8599999999999998E-2</v>
      </c>
      <c r="L1492" s="19" t="s">
        <v>35</v>
      </c>
      <c r="N1492" s="19">
        <v>0</v>
      </c>
      <c r="O1492" s="19">
        <v>0</v>
      </c>
      <c r="P1492" s="19">
        <v>0</v>
      </c>
      <c r="Q1492" s="19">
        <v>0</v>
      </c>
      <c r="S1492" s="19">
        <v>1</v>
      </c>
      <c r="T1492" s="19">
        <v>1</v>
      </c>
      <c r="U1492" s="19">
        <v>0</v>
      </c>
      <c r="V1492" s="19" t="s">
        <v>36</v>
      </c>
      <c r="W1492" s="19">
        <v>0</v>
      </c>
      <c r="Z1492" s="19">
        <v>0</v>
      </c>
      <c r="AA1492" s="19">
        <v>0</v>
      </c>
    </row>
    <row r="1493" spans="1:27" x14ac:dyDescent="0.25">
      <c r="A1493" s="19" t="s">
        <v>1736</v>
      </c>
      <c r="B1493" s="19" t="s">
        <v>1726</v>
      </c>
      <c r="C1493" s="19" t="s">
        <v>1727</v>
      </c>
      <c r="D1493" s="19">
        <v>0.92999999999999905</v>
      </c>
      <c r="E1493" s="19" t="s">
        <v>66</v>
      </c>
      <c r="F1493" s="19" t="s">
        <v>67</v>
      </c>
      <c r="G1493" s="19" t="s">
        <v>32</v>
      </c>
      <c r="H1493" s="19" t="s">
        <v>63</v>
      </c>
      <c r="I1493" s="19" t="s">
        <v>64</v>
      </c>
      <c r="J1493" s="19">
        <v>20</v>
      </c>
      <c r="K1493" s="19">
        <v>1.8599999999999998E-2</v>
      </c>
      <c r="L1493" s="19" t="s">
        <v>35</v>
      </c>
      <c r="M1493" s="19" t="s">
        <v>142</v>
      </c>
      <c r="N1493" s="19">
        <v>50</v>
      </c>
      <c r="O1493" s="19">
        <v>50</v>
      </c>
      <c r="P1493" s="19">
        <v>0</v>
      </c>
      <c r="Q1493" s="19">
        <v>0</v>
      </c>
      <c r="S1493" s="19">
        <v>1</v>
      </c>
      <c r="T1493" s="19">
        <v>1</v>
      </c>
      <c r="U1493" s="19">
        <v>0</v>
      </c>
      <c r="V1493" s="19" t="s">
        <v>41</v>
      </c>
      <c r="W1493" s="19">
        <v>1</v>
      </c>
      <c r="Y1493" s="19" t="s">
        <v>142</v>
      </c>
      <c r="Z1493" s="19">
        <v>50</v>
      </c>
      <c r="AA1493" s="19">
        <v>50</v>
      </c>
    </row>
    <row r="1494" spans="1:27" x14ac:dyDescent="0.25">
      <c r="A1494" s="19" t="s">
        <v>1737</v>
      </c>
      <c r="B1494" s="19" t="s">
        <v>1726</v>
      </c>
      <c r="C1494" s="19" t="s">
        <v>1727</v>
      </c>
      <c r="D1494" s="19">
        <v>0</v>
      </c>
      <c r="E1494" s="19" t="s">
        <v>69</v>
      </c>
      <c r="F1494" s="19" t="s">
        <v>70</v>
      </c>
      <c r="G1494" s="19" t="s">
        <v>32</v>
      </c>
      <c r="H1494" s="19" t="s">
        <v>63</v>
      </c>
      <c r="I1494" s="19" t="s">
        <v>64</v>
      </c>
      <c r="J1494" s="19">
        <v>23</v>
      </c>
      <c r="K1494" s="19">
        <v>1.8599999999999998E-2</v>
      </c>
      <c r="L1494" s="19" t="s">
        <v>35</v>
      </c>
      <c r="M1494" s="19" t="s">
        <v>40</v>
      </c>
      <c r="N1494" s="19">
        <v>0</v>
      </c>
      <c r="O1494" s="19">
        <v>0</v>
      </c>
      <c r="P1494" s="19">
        <v>0</v>
      </c>
      <c r="Q1494" s="19">
        <v>0</v>
      </c>
      <c r="S1494" s="19">
        <v>1</v>
      </c>
      <c r="T1494" s="19">
        <v>1</v>
      </c>
      <c r="U1494" s="19">
        <v>0</v>
      </c>
      <c r="V1494" s="19" t="s">
        <v>80</v>
      </c>
      <c r="W1494" s="19">
        <v>0</v>
      </c>
      <c r="Y1494" s="19" t="s">
        <v>40</v>
      </c>
      <c r="Z1494" s="19">
        <v>33.33</v>
      </c>
      <c r="AA1494" s="19">
        <v>0</v>
      </c>
    </row>
    <row r="1495" spans="1:27" x14ac:dyDescent="0.25">
      <c r="A1495" s="19" t="s">
        <v>1738</v>
      </c>
      <c r="B1495" s="19" t="s">
        <v>1726</v>
      </c>
      <c r="C1495" s="19" t="s">
        <v>1727</v>
      </c>
      <c r="D1495" s="19">
        <v>0</v>
      </c>
      <c r="E1495" s="19" t="s">
        <v>72</v>
      </c>
      <c r="F1495" s="19" t="s">
        <v>73</v>
      </c>
      <c r="G1495" s="19" t="s">
        <v>32</v>
      </c>
      <c r="H1495" s="19" t="s">
        <v>63</v>
      </c>
      <c r="I1495" s="19" t="s">
        <v>64</v>
      </c>
      <c r="J1495" s="19">
        <v>21</v>
      </c>
      <c r="K1495" s="19">
        <v>1.8599999999999998E-2</v>
      </c>
      <c r="L1495" s="19" t="s">
        <v>35</v>
      </c>
      <c r="M1495" s="19" t="s">
        <v>40</v>
      </c>
      <c r="N1495" s="19">
        <v>0</v>
      </c>
      <c r="O1495" s="19">
        <v>0</v>
      </c>
      <c r="P1495" s="19">
        <v>0</v>
      </c>
      <c r="Q1495" s="19">
        <v>0</v>
      </c>
      <c r="S1495" s="19">
        <v>1</v>
      </c>
      <c r="T1495" s="19">
        <v>1</v>
      </c>
      <c r="U1495" s="19">
        <v>0</v>
      </c>
      <c r="V1495" s="19" t="s">
        <v>80</v>
      </c>
      <c r="W1495" s="19">
        <v>0</v>
      </c>
      <c r="Y1495" s="19" t="s">
        <v>40</v>
      </c>
      <c r="Z1495" s="19">
        <v>33.33</v>
      </c>
      <c r="AA1495" s="19">
        <v>0</v>
      </c>
    </row>
    <row r="1496" spans="1:27" x14ac:dyDescent="0.25">
      <c r="A1496" s="19" t="s">
        <v>1739</v>
      </c>
      <c r="B1496" s="19" t="s">
        <v>1726</v>
      </c>
      <c r="C1496" s="19" t="s">
        <v>1727</v>
      </c>
      <c r="D1496" s="19">
        <v>0.92999999999999905</v>
      </c>
      <c r="E1496" s="19" t="s">
        <v>75</v>
      </c>
      <c r="F1496" s="19" t="s">
        <v>76</v>
      </c>
      <c r="G1496" s="19" t="s">
        <v>32</v>
      </c>
      <c r="H1496" s="19" t="s">
        <v>63</v>
      </c>
      <c r="I1496" s="19" t="s">
        <v>64</v>
      </c>
      <c r="J1496" s="19">
        <v>24</v>
      </c>
      <c r="K1496" s="19">
        <v>1.8599999999999998E-2</v>
      </c>
      <c r="L1496" s="19" t="s">
        <v>35</v>
      </c>
      <c r="M1496" s="19" t="s">
        <v>142</v>
      </c>
      <c r="N1496" s="19">
        <v>50</v>
      </c>
      <c r="O1496" s="19">
        <v>50</v>
      </c>
      <c r="P1496" s="19">
        <v>0</v>
      </c>
      <c r="Q1496" s="19">
        <v>0</v>
      </c>
      <c r="S1496" s="19">
        <v>1</v>
      </c>
      <c r="T1496" s="19">
        <v>1</v>
      </c>
      <c r="U1496" s="19">
        <v>0</v>
      </c>
      <c r="V1496" s="19" t="s">
        <v>41</v>
      </c>
      <c r="W1496" s="19">
        <v>1</v>
      </c>
      <c r="Y1496" s="19" t="s">
        <v>142</v>
      </c>
      <c r="Z1496" s="19">
        <v>50</v>
      </c>
      <c r="AA1496" s="19">
        <v>50</v>
      </c>
    </row>
    <row r="1497" spans="1:27" x14ac:dyDescent="0.25">
      <c r="A1497" s="19" t="s">
        <v>1740</v>
      </c>
      <c r="B1497" s="19" t="s">
        <v>1726</v>
      </c>
      <c r="C1497" s="19" t="s">
        <v>1727</v>
      </c>
      <c r="D1497" s="19">
        <v>0</v>
      </c>
      <c r="E1497" s="19" t="s">
        <v>78</v>
      </c>
      <c r="F1497" s="19" t="s">
        <v>79</v>
      </c>
      <c r="G1497" s="19" t="s">
        <v>32</v>
      </c>
      <c r="H1497" s="19" t="s">
        <v>63</v>
      </c>
      <c r="I1497" s="19" t="s">
        <v>64</v>
      </c>
      <c r="J1497" s="19">
        <v>25</v>
      </c>
      <c r="K1497" s="19">
        <v>1.8599999999999998E-2</v>
      </c>
      <c r="L1497" s="19" t="s">
        <v>35</v>
      </c>
      <c r="M1497" s="19" t="s">
        <v>40</v>
      </c>
      <c r="N1497" s="19">
        <v>0</v>
      </c>
      <c r="O1497" s="19">
        <v>0</v>
      </c>
      <c r="P1497" s="19">
        <v>0</v>
      </c>
      <c r="Q1497" s="19">
        <v>0</v>
      </c>
      <c r="S1497" s="19">
        <v>1</v>
      </c>
      <c r="T1497" s="19">
        <v>1</v>
      </c>
      <c r="U1497" s="19">
        <v>0</v>
      </c>
      <c r="V1497" s="19" t="s">
        <v>80</v>
      </c>
      <c r="W1497" s="19">
        <v>0</v>
      </c>
      <c r="Y1497" s="19" t="s">
        <v>40</v>
      </c>
      <c r="Z1497" s="19">
        <v>33.33</v>
      </c>
      <c r="AA1497" s="19">
        <v>0</v>
      </c>
    </row>
    <row r="1498" spans="1:27" x14ac:dyDescent="0.25">
      <c r="A1498" s="19" t="s">
        <v>1741</v>
      </c>
      <c r="B1498" s="19" t="s">
        <v>1726</v>
      </c>
      <c r="C1498" s="19" t="s">
        <v>1727</v>
      </c>
      <c r="D1498" s="19">
        <v>0</v>
      </c>
      <c r="E1498" s="19" t="s">
        <v>82</v>
      </c>
      <c r="F1498" s="19" t="s">
        <v>83</v>
      </c>
      <c r="G1498" s="19" t="s">
        <v>32</v>
      </c>
      <c r="H1498" s="19" t="s">
        <v>63</v>
      </c>
      <c r="I1498" s="19" t="s">
        <v>64</v>
      </c>
      <c r="J1498" s="19">
        <v>26</v>
      </c>
      <c r="K1498" s="19">
        <v>1.8599999999999998E-2</v>
      </c>
      <c r="L1498" s="19" t="s">
        <v>35</v>
      </c>
      <c r="N1498" s="19">
        <v>0</v>
      </c>
      <c r="O1498" s="19">
        <v>0</v>
      </c>
      <c r="P1498" s="19">
        <v>0</v>
      </c>
      <c r="Q1498" s="19">
        <v>0</v>
      </c>
      <c r="S1498" s="19">
        <v>1</v>
      </c>
      <c r="T1498" s="19">
        <v>1</v>
      </c>
      <c r="U1498" s="19">
        <v>0</v>
      </c>
      <c r="V1498" s="19" t="s">
        <v>36</v>
      </c>
      <c r="W1498" s="19">
        <v>0</v>
      </c>
      <c r="Z1498" s="19">
        <v>0</v>
      </c>
      <c r="AA1498" s="19">
        <v>0</v>
      </c>
    </row>
    <row r="1499" spans="1:27" x14ac:dyDescent="0.25">
      <c r="A1499" s="19" t="s">
        <v>1742</v>
      </c>
      <c r="B1499" s="19" t="s">
        <v>1726</v>
      </c>
      <c r="C1499" s="19" t="s">
        <v>1727</v>
      </c>
      <c r="D1499" s="19">
        <v>0</v>
      </c>
      <c r="E1499" s="19" t="s">
        <v>85</v>
      </c>
      <c r="F1499" s="19" t="s">
        <v>86</v>
      </c>
      <c r="G1499" s="19" t="s">
        <v>32</v>
      </c>
      <c r="H1499" s="19" t="s">
        <v>87</v>
      </c>
      <c r="I1499" s="19" t="s">
        <v>88</v>
      </c>
      <c r="J1499" s="19">
        <v>35</v>
      </c>
      <c r="K1499" s="19">
        <v>3.2500000000000001E-2</v>
      </c>
      <c r="L1499" s="19" t="s">
        <v>35</v>
      </c>
      <c r="N1499" s="19">
        <v>0</v>
      </c>
      <c r="O1499" s="19">
        <v>0</v>
      </c>
      <c r="P1499" s="19">
        <v>0</v>
      </c>
      <c r="Q1499" s="19">
        <v>0</v>
      </c>
      <c r="S1499" s="19">
        <v>1</v>
      </c>
      <c r="T1499" s="19">
        <v>1</v>
      </c>
      <c r="U1499" s="19">
        <v>0</v>
      </c>
      <c r="V1499" s="19" t="s">
        <v>36</v>
      </c>
      <c r="W1499" s="19">
        <v>0</v>
      </c>
      <c r="Z1499" s="19">
        <v>0</v>
      </c>
      <c r="AA1499" s="19">
        <v>0</v>
      </c>
    </row>
    <row r="1500" spans="1:27" x14ac:dyDescent="0.25">
      <c r="A1500" s="19" t="s">
        <v>1743</v>
      </c>
      <c r="B1500" s="19" t="s">
        <v>1726</v>
      </c>
      <c r="C1500" s="19" t="s">
        <v>1727</v>
      </c>
      <c r="D1500" s="19">
        <v>1.625</v>
      </c>
      <c r="E1500" s="19" t="s">
        <v>90</v>
      </c>
      <c r="F1500" s="19" t="s">
        <v>91</v>
      </c>
      <c r="G1500" s="19" t="s">
        <v>32</v>
      </c>
      <c r="H1500" s="19" t="s">
        <v>87</v>
      </c>
      <c r="I1500" s="19" t="s">
        <v>88</v>
      </c>
      <c r="J1500" s="19">
        <v>33</v>
      </c>
      <c r="K1500" s="19">
        <v>3.2500000000000001E-2</v>
      </c>
      <c r="L1500" s="19" t="s">
        <v>35</v>
      </c>
      <c r="M1500" s="19" t="s">
        <v>142</v>
      </c>
      <c r="N1500" s="19">
        <v>50</v>
      </c>
      <c r="O1500" s="19">
        <v>50</v>
      </c>
      <c r="P1500" s="19">
        <v>0</v>
      </c>
      <c r="Q1500" s="19">
        <v>0</v>
      </c>
      <c r="S1500" s="19">
        <v>1</v>
      </c>
      <c r="T1500" s="19">
        <v>1</v>
      </c>
      <c r="U1500" s="19">
        <v>0</v>
      </c>
      <c r="V1500" s="19" t="s">
        <v>41</v>
      </c>
      <c r="W1500" s="19">
        <v>1</v>
      </c>
      <c r="Y1500" s="19" t="s">
        <v>142</v>
      </c>
      <c r="Z1500" s="19">
        <v>50</v>
      </c>
      <c r="AA1500" s="19">
        <v>50</v>
      </c>
    </row>
    <row r="1501" spans="1:27" x14ac:dyDescent="0.25">
      <c r="A1501" s="19" t="s">
        <v>1744</v>
      </c>
      <c r="B1501" s="19" t="s">
        <v>1726</v>
      </c>
      <c r="C1501" s="19" t="s">
        <v>1727</v>
      </c>
      <c r="D1501" s="19">
        <v>1.625</v>
      </c>
      <c r="E1501" s="19" t="s">
        <v>93</v>
      </c>
      <c r="F1501" s="19" t="s">
        <v>94</v>
      </c>
      <c r="G1501" s="19" t="s">
        <v>32</v>
      </c>
      <c r="H1501" s="19" t="s">
        <v>87</v>
      </c>
      <c r="I1501" s="19" t="s">
        <v>88</v>
      </c>
      <c r="J1501" s="19">
        <v>34</v>
      </c>
      <c r="K1501" s="19">
        <v>3.2500000000000001E-2</v>
      </c>
      <c r="L1501" s="19" t="s">
        <v>35</v>
      </c>
      <c r="M1501" s="19" t="s">
        <v>142</v>
      </c>
      <c r="N1501" s="19">
        <v>50</v>
      </c>
      <c r="O1501" s="19">
        <v>50</v>
      </c>
      <c r="P1501" s="19">
        <v>0</v>
      </c>
      <c r="Q1501" s="19">
        <v>0</v>
      </c>
      <c r="S1501" s="19">
        <v>1</v>
      </c>
      <c r="T1501" s="19">
        <v>1</v>
      </c>
      <c r="U1501" s="19">
        <v>0</v>
      </c>
      <c r="V1501" s="19" t="s">
        <v>41</v>
      </c>
      <c r="W1501" s="19">
        <v>1</v>
      </c>
      <c r="Y1501" s="19" t="s">
        <v>142</v>
      </c>
      <c r="Z1501" s="19">
        <v>50</v>
      </c>
      <c r="AA1501" s="19">
        <v>50</v>
      </c>
    </row>
    <row r="1502" spans="1:27" x14ac:dyDescent="0.25">
      <c r="A1502" s="19" t="s">
        <v>1745</v>
      </c>
      <c r="B1502" s="19" t="s">
        <v>1726</v>
      </c>
      <c r="C1502" s="19" t="s">
        <v>1727</v>
      </c>
      <c r="D1502" s="19">
        <v>0</v>
      </c>
      <c r="E1502" s="19" t="s">
        <v>96</v>
      </c>
      <c r="F1502" s="19" t="s">
        <v>97</v>
      </c>
      <c r="G1502" s="19" t="s">
        <v>32</v>
      </c>
      <c r="H1502" s="19" t="s">
        <v>87</v>
      </c>
      <c r="I1502" s="19" t="s">
        <v>88</v>
      </c>
      <c r="J1502" s="19">
        <v>36</v>
      </c>
      <c r="K1502" s="19">
        <v>3.2500000000000001E-2</v>
      </c>
      <c r="L1502" s="19" t="s">
        <v>35</v>
      </c>
      <c r="N1502" s="19">
        <v>0</v>
      </c>
      <c r="O1502" s="19">
        <v>0</v>
      </c>
      <c r="P1502" s="19">
        <v>0</v>
      </c>
      <c r="Q1502" s="19">
        <v>0</v>
      </c>
      <c r="S1502" s="19">
        <v>1</v>
      </c>
      <c r="T1502" s="19">
        <v>1</v>
      </c>
      <c r="U1502" s="19">
        <v>0</v>
      </c>
      <c r="V1502" s="19" t="s">
        <v>36</v>
      </c>
      <c r="W1502" s="19">
        <v>0</v>
      </c>
      <c r="Z1502" s="19">
        <v>0</v>
      </c>
      <c r="AA1502" s="19">
        <v>0</v>
      </c>
    </row>
    <row r="1503" spans="1:27" x14ac:dyDescent="0.25">
      <c r="A1503" s="19" t="s">
        <v>1746</v>
      </c>
      <c r="B1503" s="19" t="s">
        <v>1726</v>
      </c>
      <c r="C1503" s="19" t="s">
        <v>1727</v>
      </c>
      <c r="D1503" s="19">
        <v>0</v>
      </c>
      <c r="E1503" s="19" t="s">
        <v>99</v>
      </c>
      <c r="F1503" s="19" t="s">
        <v>100</v>
      </c>
      <c r="G1503" s="19" t="s">
        <v>32</v>
      </c>
      <c r="H1503" s="19" t="s">
        <v>101</v>
      </c>
      <c r="I1503" s="19" t="s">
        <v>102</v>
      </c>
      <c r="J1503" s="19">
        <v>39</v>
      </c>
      <c r="K1503" s="19">
        <v>4.3299999999999998E-2</v>
      </c>
      <c r="L1503" s="19" t="s">
        <v>35</v>
      </c>
      <c r="M1503" s="19" t="s">
        <v>103</v>
      </c>
      <c r="N1503" s="19">
        <v>0</v>
      </c>
      <c r="O1503" s="19">
        <v>0</v>
      </c>
      <c r="P1503" s="19">
        <v>0</v>
      </c>
      <c r="Q1503" s="19">
        <v>0</v>
      </c>
      <c r="S1503" s="19">
        <v>1</v>
      </c>
      <c r="T1503" s="19">
        <v>1</v>
      </c>
      <c r="U1503" s="19">
        <v>0</v>
      </c>
      <c r="V1503" s="19" t="s">
        <v>36</v>
      </c>
      <c r="W1503" s="19">
        <v>0</v>
      </c>
      <c r="Y1503" s="19" t="s">
        <v>103</v>
      </c>
      <c r="Z1503" s="19">
        <v>50</v>
      </c>
      <c r="AA1503" s="19">
        <v>0</v>
      </c>
    </row>
    <row r="1504" spans="1:27" x14ac:dyDescent="0.25">
      <c r="A1504" s="19" t="s">
        <v>1747</v>
      </c>
      <c r="B1504" s="19" t="s">
        <v>1726</v>
      </c>
      <c r="C1504" s="19" t="s">
        <v>1727</v>
      </c>
      <c r="D1504" s="19">
        <v>0</v>
      </c>
      <c r="E1504" s="19" t="s">
        <v>105</v>
      </c>
      <c r="F1504" s="19" t="s">
        <v>106</v>
      </c>
      <c r="G1504" s="19" t="s">
        <v>32</v>
      </c>
      <c r="H1504" s="19" t="s">
        <v>101</v>
      </c>
      <c r="I1504" s="19" t="s">
        <v>102</v>
      </c>
      <c r="J1504" s="19">
        <v>38</v>
      </c>
      <c r="K1504" s="19">
        <v>4.3299999999999998E-2</v>
      </c>
      <c r="L1504" s="19" t="s">
        <v>35</v>
      </c>
      <c r="M1504" s="19" t="s">
        <v>103</v>
      </c>
      <c r="N1504" s="19">
        <v>0</v>
      </c>
      <c r="O1504" s="19">
        <v>0</v>
      </c>
      <c r="P1504" s="19">
        <v>0</v>
      </c>
      <c r="Q1504" s="19">
        <v>0</v>
      </c>
      <c r="S1504" s="19">
        <v>1</v>
      </c>
      <c r="T1504" s="19">
        <v>1</v>
      </c>
      <c r="U1504" s="19">
        <v>0</v>
      </c>
      <c r="V1504" s="19" t="s">
        <v>36</v>
      </c>
      <c r="W1504" s="19">
        <v>0</v>
      </c>
      <c r="Y1504" s="19" t="s">
        <v>103</v>
      </c>
      <c r="Z1504" s="19">
        <v>50</v>
      </c>
      <c r="AA1504" s="19">
        <v>0</v>
      </c>
    </row>
    <row r="1505" spans="1:27" x14ac:dyDescent="0.25">
      <c r="A1505" s="19" t="s">
        <v>1748</v>
      </c>
      <c r="B1505" s="19" t="s">
        <v>1726</v>
      </c>
      <c r="C1505" s="19" t="s">
        <v>1727</v>
      </c>
      <c r="D1505" s="19">
        <v>0</v>
      </c>
      <c r="E1505" s="19" t="s">
        <v>108</v>
      </c>
      <c r="F1505" s="19" t="s">
        <v>109</v>
      </c>
      <c r="G1505" s="19" t="s">
        <v>32</v>
      </c>
      <c r="H1505" s="19" t="s">
        <v>101</v>
      </c>
      <c r="I1505" s="19" t="s">
        <v>102</v>
      </c>
      <c r="J1505" s="19">
        <v>37</v>
      </c>
      <c r="K1505" s="19">
        <v>4.3299999999999998E-2</v>
      </c>
      <c r="L1505" s="19" t="s">
        <v>35</v>
      </c>
      <c r="M1505" s="19" t="s">
        <v>110</v>
      </c>
      <c r="N1505" s="19">
        <v>0</v>
      </c>
      <c r="O1505" s="19">
        <v>0</v>
      </c>
      <c r="P1505" s="19">
        <v>0</v>
      </c>
      <c r="Q1505" s="19">
        <v>0</v>
      </c>
      <c r="S1505" s="19">
        <v>1</v>
      </c>
      <c r="T1505" s="19">
        <v>1</v>
      </c>
      <c r="U1505" s="19">
        <v>0</v>
      </c>
      <c r="V1505" s="19" t="s">
        <v>80</v>
      </c>
      <c r="W1505" s="19">
        <v>0</v>
      </c>
      <c r="Y1505" s="19" t="s">
        <v>110</v>
      </c>
      <c r="Z1505" s="19">
        <v>16.664999999999999</v>
      </c>
      <c r="AA1505" s="19">
        <v>0</v>
      </c>
    </row>
    <row r="1506" spans="1:27" x14ac:dyDescent="0.25">
      <c r="A1506" s="19" t="s">
        <v>1749</v>
      </c>
      <c r="B1506" s="19" t="s">
        <v>1726</v>
      </c>
      <c r="C1506" s="19" t="s">
        <v>1727</v>
      </c>
      <c r="D1506" s="19">
        <v>0</v>
      </c>
      <c r="E1506" s="19" t="s">
        <v>112</v>
      </c>
      <c r="F1506" s="19" t="s">
        <v>113</v>
      </c>
      <c r="G1506" s="19" t="s">
        <v>32</v>
      </c>
      <c r="H1506" s="19" t="s">
        <v>114</v>
      </c>
      <c r="I1506" s="19" t="s">
        <v>115</v>
      </c>
      <c r="J1506" s="19">
        <v>30</v>
      </c>
      <c r="K1506" s="19">
        <v>2.1700000000000001E-2</v>
      </c>
      <c r="L1506" s="19" t="s">
        <v>35</v>
      </c>
      <c r="M1506" s="19" t="s">
        <v>103</v>
      </c>
      <c r="N1506" s="19">
        <v>0</v>
      </c>
      <c r="O1506" s="19">
        <v>0</v>
      </c>
      <c r="P1506" s="19">
        <v>0</v>
      </c>
      <c r="Q1506" s="19">
        <v>0</v>
      </c>
      <c r="S1506" s="19">
        <v>1</v>
      </c>
      <c r="T1506" s="19">
        <v>1</v>
      </c>
      <c r="U1506" s="19">
        <v>0</v>
      </c>
      <c r="V1506" s="19" t="s">
        <v>36</v>
      </c>
      <c r="W1506" s="19">
        <v>0</v>
      </c>
      <c r="Y1506" s="19" t="s">
        <v>103</v>
      </c>
      <c r="Z1506" s="19">
        <v>50</v>
      </c>
      <c r="AA1506" s="19">
        <v>0</v>
      </c>
    </row>
    <row r="1507" spans="1:27" x14ac:dyDescent="0.25">
      <c r="A1507" s="19" t="s">
        <v>1750</v>
      </c>
      <c r="B1507" s="19" t="s">
        <v>1726</v>
      </c>
      <c r="C1507" s="19" t="s">
        <v>1727</v>
      </c>
      <c r="D1507" s="19">
        <v>0</v>
      </c>
      <c r="E1507" s="19" t="s">
        <v>117</v>
      </c>
      <c r="F1507" s="19" t="s">
        <v>118</v>
      </c>
      <c r="G1507" s="19" t="s">
        <v>32</v>
      </c>
      <c r="H1507" s="19" t="s">
        <v>114</v>
      </c>
      <c r="I1507" s="19" t="s">
        <v>115</v>
      </c>
      <c r="J1507" s="19">
        <v>31</v>
      </c>
      <c r="K1507" s="19">
        <v>2.1700000000000001E-2</v>
      </c>
      <c r="L1507" s="19" t="s">
        <v>35</v>
      </c>
      <c r="M1507" s="19" t="s">
        <v>103</v>
      </c>
      <c r="N1507" s="19">
        <v>0</v>
      </c>
      <c r="O1507" s="19">
        <v>0</v>
      </c>
      <c r="P1507" s="19">
        <v>0</v>
      </c>
      <c r="Q1507" s="19">
        <v>0</v>
      </c>
      <c r="S1507" s="19">
        <v>1</v>
      </c>
      <c r="T1507" s="19">
        <v>1</v>
      </c>
      <c r="U1507" s="19">
        <v>0</v>
      </c>
      <c r="V1507" s="19" t="s">
        <v>36</v>
      </c>
      <c r="W1507" s="19">
        <v>0</v>
      </c>
      <c r="Y1507" s="19" t="s">
        <v>103</v>
      </c>
      <c r="Z1507" s="19">
        <v>50</v>
      </c>
      <c r="AA1507" s="19">
        <v>0</v>
      </c>
    </row>
    <row r="1508" spans="1:27" x14ac:dyDescent="0.25">
      <c r="A1508" s="19" t="s">
        <v>1751</v>
      </c>
      <c r="B1508" s="19" t="s">
        <v>1726</v>
      </c>
      <c r="C1508" s="19" t="s">
        <v>1727</v>
      </c>
      <c r="D1508" s="19">
        <v>1.085</v>
      </c>
      <c r="E1508" s="19" t="s">
        <v>120</v>
      </c>
      <c r="F1508" s="19" t="s">
        <v>121</v>
      </c>
      <c r="G1508" s="19" t="s">
        <v>32</v>
      </c>
      <c r="H1508" s="19" t="s">
        <v>114</v>
      </c>
      <c r="I1508" s="19" t="s">
        <v>115</v>
      </c>
      <c r="J1508" s="19">
        <v>28</v>
      </c>
      <c r="K1508" s="19">
        <v>2.1700000000000001E-2</v>
      </c>
      <c r="L1508" s="19" t="s">
        <v>35</v>
      </c>
      <c r="M1508" s="19" t="s">
        <v>103</v>
      </c>
      <c r="N1508" s="19">
        <v>50</v>
      </c>
      <c r="O1508" s="19">
        <v>50</v>
      </c>
      <c r="P1508" s="19">
        <v>0</v>
      </c>
      <c r="Q1508" s="19">
        <v>0</v>
      </c>
      <c r="S1508" s="19">
        <v>1</v>
      </c>
      <c r="T1508" s="19">
        <v>1</v>
      </c>
      <c r="U1508" s="19">
        <v>0</v>
      </c>
      <c r="V1508" s="19" t="s">
        <v>41</v>
      </c>
      <c r="W1508" s="19">
        <v>1</v>
      </c>
      <c r="Y1508" s="19" t="s">
        <v>103</v>
      </c>
      <c r="Z1508" s="19">
        <v>50</v>
      </c>
      <c r="AA1508" s="19">
        <v>50</v>
      </c>
    </row>
    <row r="1509" spans="1:27" x14ac:dyDescent="0.25">
      <c r="A1509" s="19" t="s">
        <v>1752</v>
      </c>
      <c r="B1509" s="19" t="s">
        <v>1726</v>
      </c>
      <c r="C1509" s="19" t="s">
        <v>1727</v>
      </c>
      <c r="D1509" s="19">
        <v>0</v>
      </c>
      <c r="E1509" s="19" t="s">
        <v>123</v>
      </c>
      <c r="F1509" s="19" t="s">
        <v>124</v>
      </c>
      <c r="G1509" s="19" t="s">
        <v>32</v>
      </c>
      <c r="H1509" s="19" t="s">
        <v>114</v>
      </c>
      <c r="I1509" s="19" t="s">
        <v>115</v>
      </c>
      <c r="J1509" s="19">
        <v>27</v>
      </c>
      <c r="K1509" s="19">
        <v>2.1700000000000001E-2</v>
      </c>
      <c r="L1509" s="19" t="s">
        <v>35</v>
      </c>
      <c r="M1509" s="19" t="s">
        <v>103</v>
      </c>
      <c r="N1509" s="19">
        <v>0</v>
      </c>
      <c r="O1509" s="19">
        <v>0</v>
      </c>
      <c r="P1509" s="19">
        <v>0</v>
      </c>
      <c r="Q1509" s="19">
        <v>0</v>
      </c>
      <c r="S1509" s="19">
        <v>1</v>
      </c>
      <c r="T1509" s="19">
        <v>1</v>
      </c>
      <c r="U1509" s="19">
        <v>0</v>
      </c>
      <c r="V1509" s="19" t="s">
        <v>80</v>
      </c>
      <c r="W1509" s="19">
        <v>0</v>
      </c>
      <c r="Y1509" s="19" t="s">
        <v>103</v>
      </c>
      <c r="Z1509" s="19">
        <v>50</v>
      </c>
      <c r="AA1509" s="19">
        <v>0</v>
      </c>
    </row>
    <row r="1510" spans="1:27" x14ac:dyDescent="0.25">
      <c r="A1510" s="19" t="s">
        <v>1753</v>
      </c>
      <c r="B1510" s="19" t="s">
        <v>1726</v>
      </c>
      <c r="C1510" s="19" t="s">
        <v>1727</v>
      </c>
      <c r="D1510" s="19">
        <v>1.085</v>
      </c>
      <c r="E1510" s="19" t="s">
        <v>126</v>
      </c>
      <c r="F1510" s="19" t="s">
        <v>127</v>
      </c>
      <c r="G1510" s="19" t="s">
        <v>32</v>
      </c>
      <c r="H1510" s="19" t="s">
        <v>114</v>
      </c>
      <c r="I1510" s="19" t="s">
        <v>115</v>
      </c>
      <c r="J1510" s="19">
        <v>29</v>
      </c>
      <c r="K1510" s="19">
        <v>2.1700000000000001E-2</v>
      </c>
      <c r="L1510" s="19" t="s">
        <v>35</v>
      </c>
      <c r="M1510" s="19" t="s">
        <v>103</v>
      </c>
      <c r="N1510" s="19">
        <v>50</v>
      </c>
      <c r="O1510" s="19">
        <v>50</v>
      </c>
      <c r="P1510" s="19">
        <v>0</v>
      </c>
      <c r="Q1510" s="19">
        <v>0</v>
      </c>
      <c r="S1510" s="19">
        <v>1</v>
      </c>
      <c r="T1510" s="19">
        <v>1</v>
      </c>
      <c r="U1510" s="19">
        <v>0</v>
      </c>
      <c r="V1510" s="19" t="s">
        <v>41</v>
      </c>
      <c r="W1510" s="19">
        <v>1</v>
      </c>
      <c r="Y1510" s="19" t="s">
        <v>103</v>
      </c>
      <c r="Z1510" s="19">
        <v>50</v>
      </c>
      <c r="AA1510" s="19">
        <v>50</v>
      </c>
    </row>
    <row r="1511" spans="1:27" x14ac:dyDescent="0.25">
      <c r="A1511" s="19" t="s">
        <v>1754</v>
      </c>
      <c r="B1511" s="19" t="s">
        <v>1726</v>
      </c>
      <c r="C1511" s="19" t="s">
        <v>1727</v>
      </c>
      <c r="D1511" s="19">
        <v>1.085</v>
      </c>
      <c r="E1511" s="19" t="s">
        <v>129</v>
      </c>
      <c r="F1511" s="19" t="s">
        <v>130</v>
      </c>
      <c r="G1511" s="19" t="s">
        <v>32</v>
      </c>
      <c r="H1511" s="19" t="s">
        <v>114</v>
      </c>
      <c r="I1511" s="19" t="s">
        <v>115</v>
      </c>
      <c r="J1511" s="19">
        <v>32</v>
      </c>
      <c r="K1511" s="19">
        <v>2.1700000000000001E-2</v>
      </c>
      <c r="L1511" s="19" t="s">
        <v>35</v>
      </c>
      <c r="M1511" s="19" t="s">
        <v>103</v>
      </c>
      <c r="N1511" s="19">
        <v>50</v>
      </c>
      <c r="O1511" s="19">
        <v>50</v>
      </c>
      <c r="P1511" s="19">
        <v>0</v>
      </c>
      <c r="Q1511" s="19">
        <v>0</v>
      </c>
      <c r="S1511" s="19">
        <v>1</v>
      </c>
      <c r="T1511" s="19">
        <v>1</v>
      </c>
      <c r="U1511" s="19">
        <v>0</v>
      </c>
      <c r="V1511" s="19" t="s">
        <v>41</v>
      </c>
      <c r="W1511" s="19">
        <v>1</v>
      </c>
      <c r="Y1511" s="19" t="s">
        <v>103</v>
      </c>
      <c r="Z1511" s="19">
        <v>50</v>
      </c>
      <c r="AA1511" s="19">
        <v>50</v>
      </c>
    </row>
    <row r="1512" spans="1:27" x14ac:dyDescent="0.25">
      <c r="A1512" s="19" t="s">
        <v>1755</v>
      </c>
      <c r="B1512" s="19" t="s">
        <v>1726</v>
      </c>
      <c r="C1512" s="19" t="s">
        <v>1727</v>
      </c>
      <c r="D1512" s="19">
        <v>2.085</v>
      </c>
      <c r="E1512" s="19" t="s">
        <v>132</v>
      </c>
      <c r="F1512" s="19" t="s">
        <v>133</v>
      </c>
      <c r="G1512" s="19" t="s">
        <v>134</v>
      </c>
      <c r="H1512" s="19" t="s">
        <v>87</v>
      </c>
      <c r="I1512" s="19" t="s">
        <v>135</v>
      </c>
      <c r="J1512" s="19">
        <v>11</v>
      </c>
      <c r="K1512" s="19">
        <v>4.1700000000000001E-2</v>
      </c>
      <c r="L1512" s="19" t="s">
        <v>35</v>
      </c>
      <c r="M1512" s="19" t="s">
        <v>103</v>
      </c>
      <c r="N1512" s="19">
        <v>50</v>
      </c>
      <c r="O1512" s="19">
        <v>50</v>
      </c>
      <c r="P1512" s="19">
        <v>0</v>
      </c>
      <c r="Q1512" s="19">
        <v>0</v>
      </c>
      <c r="S1512" s="19">
        <v>1</v>
      </c>
      <c r="T1512" s="19">
        <v>1</v>
      </c>
      <c r="U1512" s="19">
        <v>0</v>
      </c>
      <c r="V1512" s="19" t="s">
        <v>41</v>
      </c>
      <c r="W1512" s="19">
        <v>1</v>
      </c>
      <c r="Y1512" s="19" t="s">
        <v>103</v>
      </c>
      <c r="Z1512" s="19">
        <v>50</v>
      </c>
      <c r="AA1512" s="19">
        <v>50</v>
      </c>
    </row>
    <row r="1513" spans="1:27" x14ac:dyDescent="0.25">
      <c r="A1513" s="19" t="s">
        <v>1756</v>
      </c>
      <c r="B1513" s="19" t="s">
        <v>1726</v>
      </c>
      <c r="C1513" s="19" t="s">
        <v>1727</v>
      </c>
      <c r="D1513" s="19">
        <v>0.463287</v>
      </c>
      <c r="E1513" s="19" t="s">
        <v>137</v>
      </c>
      <c r="F1513" s="19" t="s">
        <v>138</v>
      </c>
      <c r="G1513" s="19" t="s">
        <v>134</v>
      </c>
      <c r="H1513" s="19" t="s">
        <v>87</v>
      </c>
      <c r="I1513" s="19" t="s">
        <v>135</v>
      </c>
      <c r="J1513" s="19">
        <v>9</v>
      </c>
      <c r="K1513" s="19">
        <v>4.1700000000000001E-2</v>
      </c>
      <c r="L1513" s="19" t="s">
        <v>35</v>
      </c>
      <c r="M1513" s="19" t="s">
        <v>40</v>
      </c>
      <c r="N1513" s="19">
        <v>11.11</v>
      </c>
      <c r="O1513" s="19">
        <v>11.11</v>
      </c>
      <c r="P1513" s="19">
        <v>0</v>
      </c>
      <c r="Q1513" s="19">
        <v>0</v>
      </c>
      <c r="S1513" s="19">
        <v>1</v>
      </c>
      <c r="T1513" s="19">
        <v>1</v>
      </c>
      <c r="U1513" s="19">
        <v>0</v>
      </c>
      <c r="W1513" s="19">
        <v>0</v>
      </c>
      <c r="X1513" s="19">
        <v>1</v>
      </c>
      <c r="Y1513" s="19" t="s">
        <v>40</v>
      </c>
      <c r="Z1513" s="19">
        <v>33.33</v>
      </c>
      <c r="AA1513" s="19">
        <v>11.11</v>
      </c>
    </row>
    <row r="1514" spans="1:27" x14ac:dyDescent="0.25">
      <c r="A1514" s="19" t="s">
        <v>1757</v>
      </c>
      <c r="B1514" s="19" t="s">
        <v>1726</v>
      </c>
      <c r="C1514" s="19" t="s">
        <v>1727</v>
      </c>
      <c r="D1514" s="19">
        <v>0</v>
      </c>
      <c r="E1514" s="19" t="s">
        <v>140</v>
      </c>
      <c r="F1514" s="19" t="s">
        <v>141</v>
      </c>
      <c r="G1514" s="19" t="s">
        <v>134</v>
      </c>
      <c r="H1514" s="19" t="s">
        <v>87</v>
      </c>
      <c r="I1514" s="19" t="s">
        <v>135</v>
      </c>
      <c r="J1514" s="19">
        <v>10</v>
      </c>
      <c r="K1514" s="19">
        <v>4.1700000000000001E-2</v>
      </c>
      <c r="L1514" s="19" t="s">
        <v>35</v>
      </c>
      <c r="N1514" s="19">
        <v>0</v>
      </c>
      <c r="O1514" s="19">
        <v>0</v>
      </c>
      <c r="P1514" s="19">
        <v>0</v>
      </c>
      <c r="Q1514" s="19">
        <v>0</v>
      </c>
      <c r="S1514" s="19">
        <v>1</v>
      </c>
      <c r="T1514" s="19">
        <v>1</v>
      </c>
      <c r="U1514" s="19">
        <v>0</v>
      </c>
      <c r="W1514" s="19">
        <v>0</v>
      </c>
      <c r="X1514" s="19">
        <v>0</v>
      </c>
      <c r="Z1514" s="19">
        <v>0</v>
      </c>
      <c r="AA1514" s="19">
        <v>0</v>
      </c>
    </row>
    <row r="1515" spans="1:27" x14ac:dyDescent="0.25">
      <c r="A1515" s="19" t="s">
        <v>1758</v>
      </c>
      <c r="B1515" s="19" t="s">
        <v>1726</v>
      </c>
      <c r="C1515" s="19" t="s">
        <v>1727</v>
      </c>
      <c r="D1515" s="19">
        <v>1.25</v>
      </c>
      <c r="E1515" s="19" t="s">
        <v>144</v>
      </c>
      <c r="F1515" s="19" t="s">
        <v>145</v>
      </c>
      <c r="G1515" s="19" t="s">
        <v>134</v>
      </c>
      <c r="H1515" s="19" t="s">
        <v>146</v>
      </c>
      <c r="I1515" s="19" t="s">
        <v>147</v>
      </c>
      <c r="J1515" s="19">
        <v>4</v>
      </c>
      <c r="K1515" s="19">
        <v>2.5000000000000001E-2</v>
      </c>
      <c r="L1515" s="19" t="s">
        <v>35</v>
      </c>
      <c r="M1515" s="19" t="s">
        <v>103</v>
      </c>
      <c r="N1515" s="19">
        <v>50</v>
      </c>
      <c r="O1515" s="19">
        <v>50</v>
      </c>
      <c r="P1515" s="19">
        <v>0</v>
      </c>
      <c r="Q1515" s="19">
        <v>0</v>
      </c>
      <c r="S1515" s="19">
        <v>1</v>
      </c>
      <c r="T1515" s="19">
        <v>1</v>
      </c>
      <c r="U1515" s="19">
        <v>0</v>
      </c>
      <c r="V1515" s="19" t="s">
        <v>41</v>
      </c>
      <c r="W1515" s="19">
        <v>1</v>
      </c>
      <c r="Y1515" s="19" t="s">
        <v>103</v>
      </c>
      <c r="Z1515" s="19">
        <v>50</v>
      </c>
      <c r="AA1515" s="19">
        <v>50</v>
      </c>
    </row>
    <row r="1516" spans="1:27" x14ac:dyDescent="0.25">
      <c r="A1516" s="19" t="s">
        <v>1759</v>
      </c>
      <c r="B1516" s="19" t="s">
        <v>1726</v>
      </c>
      <c r="C1516" s="19" t="s">
        <v>1727</v>
      </c>
      <c r="D1516" s="19">
        <v>1.25</v>
      </c>
      <c r="E1516" s="19" t="s">
        <v>149</v>
      </c>
      <c r="F1516" s="19" t="s">
        <v>150</v>
      </c>
      <c r="G1516" s="19" t="s">
        <v>134</v>
      </c>
      <c r="H1516" s="19" t="s">
        <v>146</v>
      </c>
      <c r="I1516" s="19" t="s">
        <v>147</v>
      </c>
      <c r="J1516" s="19">
        <v>5</v>
      </c>
      <c r="K1516" s="19">
        <v>2.5000000000000001E-2</v>
      </c>
      <c r="L1516" s="19" t="s">
        <v>35</v>
      </c>
      <c r="M1516" s="19" t="s">
        <v>103</v>
      </c>
      <c r="N1516" s="19">
        <v>50</v>
      </c>
      <c r="O1516" s="19">
        <v>50</v>
      </c>
      <c r="P1516" s="19">
        <v>0</v>
      </c>
      <c r="Q1516" s="19">
        <v>0</v>
      </c>
      <c r="S1516" s="19">
        <v>1</v>
      </c>
      <c r="T1516" s="19">
        <v>1</v>
      </c>
      <c r="U1516" s="19">
        <v>0</v>
      </c>
      <c r="V1516" s="19" t="s">
        <v>41</v>
      </c>
      <c r="W1516" s="19">
        <v>1</v>
      </c>
      <c r="Y1516" s="19" t="s">
        <v>103</v>
      </c>
      <c r="Z1516" s="19">
        <v>50</v>
      </c>
      <c r="AA1516" s="19">
        <v>50</v>
      </c>
    </row>
    <row r="1517" spans="1:27" x14ac:dyDescent="0.25">
      <c r="A1517" s="19" t="s">
        <v>1760</v>
      </c>
      <c r="B1517" s="19" t="s">
        <v>1726</v>
      </c>
      <c r="C1517" s="19" t="s">
        <v>1727</v>
      </c>
      <c r="D1517" s="19">
        <v>1.25</v>
      </c>
      <c r="E1517" s="19" t="s">
        <v>152</v>
      </c>
      <c r="F1517" s="19" t="s">
        <v>153</v>
      </c>
      <c r="G1517" s="19" t="s">
        <v>134</v>
      </c>
      <c r="H1517" s="19" t="s">
        <v>146</v>
      </c>
      <c r="I1517" s="19" t="s">
        <v>147</v>
      </c>
      <c r="J1517" s="19">
        <v>6</v>
      </c>
      <c r="K1517" s="19">
        <v>2.5000000000000001E-2</v>
      </c>
      <c r="L1517" s="19" t="s">
        <v>35</v>
      </c>
      <c r="M1517" s="19" t="s">
        <v>103</v>
      </c>
      <c r="N1517" s="19">
        <v>50</v>
      </c>
      <c r="O1517" s="19">
        <v>50</v>
      </c>
      <c r="P1517" s="19">
        <v>0</v>
      </c>
      <c r="Q1517" s="19">
        <v>0</v>
      </c>
      <c r="S1517" s="19">
        <v>1</v>
      </c>
      <c r="T1517" s="19">
        <v>1</v>
      </c>
      <c r="U1517" s="19">
        <v>0</v>
      </c>
      <c r="V1517" s="19" t="s">
        <v>41</v>
      </c>
      <c r="W1517" s="19">
        <v>1</v>
      </c>
      <c r="Y1517" s="19" t="s">
        <v>103</v>
      </c>
      <c r="Z1517" s="19">
        <v>50</v>
      </c>
      <c r="AA1517" s="19">
        <v>50</v>
      </c>
    </row>
    <row r="1518" spans="1:27" x14ac:dyDescent="0.25">
      <c r="A1518" s="19" t="s">
        <v>1761</v>
      </c>
      <c r="B1518" s="19" t="s">
        <v>1726</v>
      </c>
      <c r="C1518" s="19" t="s">
        <v>1727</v>
      </c>
      <c r="D1518" s="19">
        <v>1.25</v>
      </c>
      <c r="E1518" s="19" t="s">
        <v>155</v>
      </c>
      <c r="F1518" s="19" t="s">
        <v>156</v>
      </c>
      <c r="G1518" s="19" t="s">
        <v>134</v>
      </c>
      <c r="H1518" s="19" t="s">
        <v>146</v>
      </c>
      <c r="I1518" s="19" t="s">
        <v>147</v>
      </c>
      <c r="J1518" s="19">
        <v>7</v>
      </c>
      <c r="K1518" s="19">
        <v>2.5000000000000001E-2</v>
      </c>
      <c r="L1518" s="19" t="s">
        <v>35</v>
      </c>
      <c r="M1518" s="19" t="s">
        <v>103</v>
      </c>
      <c r="N1518" s="19">
        <v>50</v>
      </c>
      <c r="O1518" s="19">
        <v>50</v>
      </c>
      <c r="P1518" s="19">
        <v>0</v>
      </c>
      <c r="Q1518" s="19">
        <v>0</v>
      </c>
      <c r="S1518" s="19">
        <v>1</v>
      </c>
      <c r="T1518" s="19">
        <v>1</v>
      </c>
      <c r="U1518" s="19">
        <v>0</v>
      </c>
      <c r="V1518" s="19" t="s">
        <v>41</v>
      </c>
      <c r="W1518" s="19">
        <v>1</v>
      </c>
      <c r="Y1518" s="19" t="s">
        <v>103</v>
      </c>
      <c r="Z1518" s="19">
        <v>50</v>
      </c>
      <c r="AA1518" s="19">
        <v>50</v>
      </c>
    </row>
    <row r="1519" spans="1:27" x14ac:dyDescent="0.25">
      <c r="A1519" s="19" t="s">
        <v>1762</v>
      </c>
      <c r="B1519" s="19" t="s">
        <v>1726</v>
      </c>
      <c r="C1519" s="19" t="s">
        <v>1727</v>
      </c>
      <c r="D1519" s="19">
        <v>1.25</v>
      </c>
      <c r="E1519" s="19" t="s">
        <v>158</v>
      </c>
      <c r="F1519" s="19" t="s">
        <v>159</v>
      </c>
      <c r="G1519" s="19" t="s">
        <v>134</v>
      </c>
      <c r="H1519" s="19" t="s">
        <v>146</v>
      </c>
      <c r="I1519" s="19" t="s">
        <v>147</v>
      </c>
      <c r="J1519" s="19">
        <v>8</v>
      </c>
      <c r="K1519" s="19">
        <v>2.5000000000000001E-2</v>
      </c>
      <c r="L1519" s="19" t="s">
        <v>35</v>
      </c>
      <c r="M1519" s="19" t="s">
        <v>103</v>
      </c>
      <c r="N1519" s="19">
        <v>50</v>
      </c>
      <c r="O1519" s="19">
        <v>50</v>
      </c>
      <c r="P1519" s="19">
        <v>0</v>
      </c>
      <c r="Q1519" s="19">
        <v>0</v>
      </c>
      <c r="S1519" s="19">
        <v>1</v>
      </c>
      <c r="T1519" s="19">
        <v>1</v>
      </c>
      <c r="U1519" s="19">
        <v>0</v>
      </c>
      <c r="V1519" s="19" t="s">
        <v>41</v>
      </c>
      <c r="W1519" s="19">
        <v>1</v>
      </c>
      <c r="Y1519" s="19" t="s">
        <v>103</v>
      </c>
      <c r="Z1519" s="19">
        <v>50</v>
      </c>
      <c r="AA1519" s="19">
        <v>50</v>
      </c>
    </row>
    <row r="1520" spans="1:27" x14ac:dyDescent="0.25">
      <c r="A1520" s="19" t="s">
        <v>1763</v>
      </c>
      <c r="B1520" s="19" t="s">
        <v>1726</v>
      </c>
      <c r="C1520" s="19" t="s">
        <v>1727</v>
      </c>
      <c r="D1520" s="19">
        <v>2.2197779999999998</v>
      </c>
      <c r="E1520" s="19" t="s">
        <v>161</v>
      </c>
      <c r="F1520" s="19" t="s">
        <v>162</v>
      </c>
      <c r="G1520" s="19" t="s">
        <v>163</v>
      </c>
      <c r="I1520" s="19" t="s">
        <v>164</v>
      </c>
      <c r="J1520" s="19">
        <v>1</v>
      </c>
      <c r="K1520" s="19">
        <v>3.3300000000000003E-2</v>
      </c>
      <c r="L1520" s="19" t="s">
        <v>35</v>
      </c>
      <c r="M1520" s="19" t="s">
        <v>165</v>
      </c>
      <c r="N1520" s="19">
        <v>66.66</v>
      </c>
      <c r="O1520" s="19">
        <v>66.66</v>
      </c>
      <c r="P1520" s="19">
        <v>0</v>
      </c>
      <c r="Q1520" s="19">
        <v>0</v>
      </c>
      <c r="S1520" s="19">
        <v>1</v>
      </c>
      <c r="T1520" s="19">
        <v>1</v>
      </c>
      <c r="U1520" s="19">
        <v>0</v>
      </c>
      <c r="W1520" s="19">
        <v>0</v>
      </c>
      <c r="X1520" s="19">
        <v>66.66</v>
      </c>
      <c r="Z1520" s="19">
        <v>0</v>
      </c>
      <c r="AA1520" s="19">
        <v>66.66</v>
      </c>
    </row>
    <row r="1521" spans="1:27" x14ac:dyDescent="0.25">
      <c r="A1521" s="19" t="s">
        <v>1764</v>
      </c>
      <c r="B1521" s="19" t="s">
        <v>1726</v>
      </c>
      <c r="C1521" s="19" t="s">
        <v>1727</v>
      </c>
      <c r="D1521" s="19">
        <v>3.33</v>
      </c>
      <c r="E1521" s="19" t="s">
        <v>167</v>
      </c>
      <c r="F1521" s="19" t="s">
        <v>168</v>
      </c>
      <c r="G1521" s="19" t="s">
        <v>163</v>
      </c>
      <c r="I1521" s="19" t="s">
        <v>164</v>
      </c>
      <c r="J1521" s="19">
        <v>3</v>
      </c>
      <c r="K1521" s="19">
        <v>3.3300000000000003E-2</v>
      </c>
      <c r="L1521" s="19" t="s">
        <v>35</v>
      </c>
      <c r="M1521" s="19" t="s">
        <v>165</v>
      </c>
      <c r="N1521" s="19">
        <v>100</v>
      </c>
      <c r="O1521" s="19">
        <v>100</v>
      </c>
      <c r="P1521" s="19">
        <v>0</v>
      </c>
      <c r="Q1521" s="19">
        <v>0</v>
      </c>
      <c r="S1521" s="19">
        <v>1</v>
      </c>
      <c r="T1521" s="19">
        <v>1</v>
      </c>
      <c r="U1521" s="19">
        <v>0</v>
      </c>
      <c r="W1521" s="19">
        <v>0</v>
      </c>
      <c r="X1521" s="19">
        <v>100</v>
      </c>
      <c r="Z1521" s="19">
        <v>0</v>
      </c>
      <c r="AA1521" s="19">
        <v>100</v>
      </c>
    </row>
    <row r="1522" spans="1:27" x14ac:dyDescent="0.25">
      <c r="A1522" s="19" t="s">
        <v>1765</v>
      </c>
      <c r="B1522" s="19" t="s">
        <v>1726</v>
      </c>
      <c r="C1522" s="19" t="s">
        <v>1727</v>
      </c>
      <c r="D1522" s="19">
        <v>1.1322000000000001</v>
      </c>
      <c r="E1522" s="19" t="s">
        <v>170</v>
      </c>
      <c r="F1522" s="19" t="s">
        <v>171</v>
      </c>
      <c r="G1522" s="19" t="s">
        <v>163</v>
      </c>
      <c r="I1522" s="19" t="s">
        <v>164</v>
      </c>
      <c r="J1522" s="19">
        <v>2</v>
      </c>
      <c r="K1522" s="19">
        <v>3.3300000000000003E-2</v>
      </c>
      <c r="L1522" s="19" t="s">
        <v>35</v>
      </c>
      <c r="M1522" s="19" t="s">
        <v>165</v>
      </c>
      <c r="N1522" s="19">
        <v>34</v>
      </c>
      <c r="O1522" s="19">
        <v>34</v>
      </c>
      <c r="P1522" s="19">
        <v>0</v>
      </c>
      <c r="Q1522" s="19">
        <v>0</v>
      </c>
      <c r="S1522" s="19">
        <v>1</v>
      </c>
      <c r="T1522" s="19">
        <v>1</v>
      </c>
      <c r="U1522" s="19">
        <v>0</v>
      </c>
      <c r="W1522" s="19">
        <v>0</v>
      </c>
      <c r="X1522" s="19">
        <v>34</v>
      </c>
      <c r="Z1522" s="19">
        <v>0</v>
      </c>
      <c r="AA1522" s="19">
        <v>34</v>
      </c>
    </row>
    <row r="1523" spans="1:27" x14ac:dyDescent="0.25">
      <c r="A1523" s="19" t="s">
        <v>1788</v>
      </c>
      <c r="B1523" s="19" t="s">
        <v>1767</v>
      </c>
      <c r="C1523" s="19" t="s">
        <v>1768</v>
      </c>
      <c r="D1523" s="19">
        <v>2.78</v>
      </c>
      <c r="E1523" s="19" t="s">
        <v>137</v>
      </c>
      <c r="F1523" s="19" t="s">
        <v>138</v>
      </c>
      <c r="G1523" s="19" t="s">
        <v>134</v>
      </c>
      <c r="H1523" s="19" t="s">
        <v>87</v>
      </c>
      <c r="I1523" s="19" t="s">
        <v>135</v>
      </c>
      <c r="J1523" s="19">
        <v>9</v>
      </c>
      <c r="K1523" s="19">
        <v>4.1700000000000001E-2</v>
      </c>
      <c r="L1523" s="19" t="s">
        <v>541</v>
      </c>
      <c r="M1523" s="19" t="s">
        <v>541</v>
      </c>
      <c r="N1523" s="19">
        <v>50</v>
      </c>
      <c r="O1523" s="19">
        <v>66.666666666699996</v>
      </c>
      <c r="P1523" s="19">
        <v>33.333333333299997</v>
      </c>
      <c r="Q1523" s="19">
        <v>16.666666666699999</v>
      </c>
      <c r="R1523" s="19" t="s">
        <v>1075</v>
      </c>
      <c r="S1523" s="19">
        <v>1</v>
      </c>
      <c r="T1523" s="19">
        <v>1</v>
      </c>
      <c r="U1523" s="19">
        <v>16.666666666699999</v>
      </c>
      <c r="AA1523" s="19">
        <v>0</v>
      </c>
    </row>
    <row r="1524" spans="1:27" x14ac:dyDescent="0.25">
      <c r="A1524" s="19" t="s">
        <v>1789</v>
      </c>
      <c r="B1524" s="19" t="s">
        <v>1767</v>
      </c>
      <c r="C1524" s="19" t="s">
        <v>1768</v>
      </c>
      <c r="D1524" s="19">
        <v>2.7234335133540299</v>
      </c>
      <c r="E1524" s="19" t="s">
        <v>140</v>
      </c>
      <c r="F1524" s="19" t="s">
        <v>141</v>
      </c>
      <c r="G1524" s="19" t="s">
        <v>134</v>
      </c>
      <c r="H1524" s="19" t="s">
        <v>87</v>
      </c>
      <c r="I1524" s="19" t="s">
        <v>135</v>
      </c>
      <c r="J1524" s="19">
        <v>10</v>
      </c>
      <c r="K1524" s="19">
        <v>4.1700000000000001E-2</v>
      </c>
      <c r="L1524" s="19" t="s">
        <v>541</v>
      </c>
      <c r="M1524" s="19" t="s">
        <v>541</v>
      </c>
      <c r="N1524" s="19">
        <v>50</v>
      </c>
      <c r="O1524" s="19">
        <v>65.310156195499999</v>
      </c>
      <c r="P1524" s="19">
        <v>30.620312391100001</v>
      </c>
      <c r="Q1524" s="19">
        <v>15.310156195499999</v>
      </c>
      <c r="R1524" s="19" t="s">
        <v>1075</v>
      </c>
      <c r="S1524" s="19">
        <v>1</v>
      </c>
      <c r="T1524" s="19">
        <v>1</v>
      </c>
      <c r="U1524" s="19">
        <v>15.310156195499999</v>
      </c>
      <c r="AA1524" s="19">
        <v>0</v>
      </c>
    </row>
    <row r="1525" spans="1:27" x14ac:dyDescent="0.25">
      <c r="A1525" s="19" t="s">
        <v>1766</v>
      </c>
      <c r="B1525" s="19" t="s">
        <v>1767</v>
      </c>
      <c r="C1525" s="19" t="s">
        <v>1768</v>
      </c>
      <c r="D1525" s="19">
        <v>1.63</v>
      </c>
      <c r="E1525" s="19" t="s">
        <v>30</v>
      </c>
      <c r="F1525" s="19" t="s">
        <v>31</v>
      </c>
      <c r="G1525" s="19" t="s">
        <v>32</v>
      </c>
      <c r="H1525" s="19" t="s">
        <v>33</v>
      </c>
      <c r="I1525" s="19" t="s">
        <v>34</v>
      </c>
      <c r="J1525" s="19">
        <v>17</v>
      </c>
      <c r="K1525" s="19">
        <v>1.6299999999999999E-2</v>
      </c>
      <c r="L1525" s="19" t="s">
        <v>541</v>
      </c>
      <c r="M1525" s="19" t="s">
        <v>541</v>
      </c>
      <c r="N1525" s="19">
        <v>50</v>
      </c>
      <c r="O1525" s="19">
        <v>100</v>
      </c>
      <c r="P1525" s="19">
        <v>100</v>
      </c>
      <c r="Q1525" s="19">
        <v>50</v>
      </c>
      <c r="R1525" s="19" t="s">
        <v>1075</v>
      </c>
      <c r="S1525" s="19">
        <v>1</v>
      </c>
      <c r="T1525" s="19">
        <v>1</v>
      </c>
      <c r="U1525" s="19">
        <v>50</v>
      </c>
      <c r="AA1525" s="19">
        <v>0</v>
      </c>
    </row>
    <row r="1526" spans="1:27" x14ac:dyDescent="0.25">
      <c r="A1526" s="19" t="s">
        <v>1769</v>
      </c>
      <c r="B1526" s="19" t="s">
        <v>1767</v>
      </c>
      <c r="C1526" s="19" t="s">
        <v>1768</v>
      </c>
      <c r="D1526" s="19">
        <v>1.63</v>
      </c>
      <c r="E1526" s="19" t="s">
        <v>43</v>
      </c>
      <c r="F1526" s="19" t="s">
        <v>44</v>
      </c>
      <c r="G1526" s="19" t="s">
        <v>32</v>
      </c>
      <c r="H1526" s="19" t="s">
        <v>33</v>
      </c>
      <c r="I1526" s="19" t="s">
        <v>34</v>
      </c>
      <c r="J1526" s="19">
        <v>18</v>
      </c>
      <c r="K1526" s="19">
        <v>1.6299999999999999E-2</v>
      </c>
      <c r="L1526" s="19" t="s">
        <v>541</v>
      </c>
      <c r="M1526" s="19" t="s">
        <v>541</v>
      </c>
      <c r="N1526" s="19">
        <v>50</v>
      </c>
      <c r="O1526" s="19">
        <v>100</v>
      </c>
      <c r="P1526" s="19">
        <v>100</v>
      </c>
      <c r="Q1526" s="19">
        <v>50</v>
      </c>
      <c r="R1526" s="19" t="s">
        <v>1075</v>
      </c>
      <c r="S1526" s="19">
        <v>1</v>
      </c>
      <c r="T1526" s="19">
        <v>1</v>
      </c>
      <c r="U1526" s="19">
        <v>50</v>
      </c>
      <c r="AA1526" s="19">
        <v>0</v>
      </c>
    </row>
    <row r="1527" spans="1:27" x14ac:dyDescent="0.25">
      <c r="A1527" s="19" t="s">
        <v>1770</v>
      </c>
      <c r="B1527" s="19" t="s">
        <v>1767</v>
      </c>
      <c r="C1527" s="19" t="s">
        <v>1768</v>
      </c>
      <c r="D1527" s="19">
        <v>1.48554376879385</v>
      </c>
      <c r="E1527" s="19" t="s">
        <v>46</v>
      </c>
      <c r="F1527" s="19" t="s">
        <v>47</v>
      </c>
      <c r="G1527" s="19" t="s">
        <v>32</v>
      </c>
      <c r="H1527" s="19" t="s">
        <v>33</v>
      </c>
      <c r="I1527" s="19" t="s">
        <v>34</v>
      </c>
      <c r="J1527" s="19">
        <v>15</v>
      </c>
      <c r="K1527" s="19">
        <v>1.6299999999999999E-2</v>
      </c>
      <c r="L1527" s="19" t="s">
        <v>541</v>
      </c>
      <c r="M1527" s="19" t="s">
        <v>541</v>
      </c>
      <c r="N1527" s="19">
        <v>50</v>
      </c>
      <c r="O1527" s="19">
        <v>91.137654527199999</v>
      </c>
      <c r="P1527" s="19">
        <v>82.275309054499999</v>
      </c>
      <c r="Q1527" s="19">
        <v>41.137654527199999</v>
      </c>
      <c r="R1527" s="19" t="s">
        <v>1075</v>
      </c>
      <c r="S1527" s="19">
        <v>1</v>
      </c>
      <c r="T1527" s="19">
        <v>1</v>
      </c>
      <c r="U1527" s="19">
        <v>41.137654527199999</v>
      </c>
      <c r="AA1527" s="19">
        <v>0</v>
      </c>
    </row>
    <row r="1528" spans="1:27" x14ac:dyDescent="0.25">
      <c r="A1528" s="19" t="s">
        <v>1771</v>
      </c>
      <c r="B1528" s="19" t="s">
        <v>1767</v>
      </c>
      <c r="C1528" s="19" t="s">
        <v>1768</v>
      </c>
      <c r="D1528" s="19">
        <v>1.63</v>
      </c>
      <c r="E1528" s="19" t="s">
        <v>49</v>
      </c>
      <c r="F1528" s="19" t="s">
        <v>50</v>
      </c>
      <c r="G1528" s="19" t="s">
        <v>32</v>
      </c>
      <c r="H1528" s="19" t="s">
        <v>33</v>
      </c>
      <c r="I1528" s="19" t="s">
        <v>34</v>
      </c>
      <c r="J1528" s="19">
        <v>12</v>
      </c>
      <c r="K1528" s="19">
        <v>1.6299999999999999E-2</v>
      </c>
      <c r="L1528" s="19" t="s">
        <v>541</v>
      </c>
      <c r="M1528" s="19" t="s">
        <v>541</v>
      </c>
      <c r="N1528" s="19">
        <v>50</v>
      </c>
      <c r="O1528" s="19">
        <v>100</v>
      </c>
      <c r="P1528" s="19">
        <v>100</v>
      </c>
      <c r="Q1528" s="19">
        <v>50</v>
      </c>
      <c r="R1528" s="19" t="s">
        <v>1075</v>
      </c>
      <c r="S1528" s="19">
        <v>1</v>
      </c>
      <c r="T1528" s="19">
        <v>1</v>
      </c>
      <c r="U1528" s="19">
        <v>50</v>
      </c>
      <c r="AA1528" s="19">
        <v>0</v>
      </c>
    </row>
    <row r="1529" spans="1:27" x14ac:dyDescent="0.25">
      <c r="A1529" s="19" t="s">
        <v>1772</v>
      </c>
      <c r="B1529" s="19" t="s">
        <v>1767</v>
      </c>
      <c r="C1529" s="19" t="s">
        <v>1768</v>
      </c>
      <c r="D1529" s="19">
        <v>1.63</v>
      </c>
      <c r="E1529" s="19" t="s">
        <v>52</v>
      </c>
      <c r="F1529" s="19" t="s">
        <v>53</v>
      </c>
      <c r="G1529" s="19" t="s">
        <v>32</v>
      </c>
      <c r="H1529" s="19" t="s">
        <v>33</v>
      </c>
      <c r="I1529" s="19" t="s">
        <v>34</v>
      </c>
      <c r="J1529" s="19">
        <v>16</v>
      </c>
      <c r="K1529" s="19">
        <v>1.6299999999999999E-2</v>
      </c>
      <c r="L1529" s="19" t="s">
        <v>541</v>
      </c>
      <c r="M1529" s="19" t="s">
        <v>541</v>
      </c>
      <c r="N1529" s="19">
        <v>50</v>
      </c>
      <c r="O1529" s="19">
        <v>100</v>
      </c>
      <c r="P1529" s="19">
        <v>100</v>
      </c>
      <c r="Q1529" s="19">
        <v>50</v>
      </c>
      <c r="R1529" s="19" t="s">
        <v>1075</v>
      </c>
      <c r="S1529" s="19">
        <v>1</v>
      </c>
      <c r="T1529" s="19">
        <v>1</v>
      </c>
      <c r="U1529" s="19">
        <v>50</v>
      </c>
      <c r="AA1529" s="19">
        <v>0</v>
      </c>
    </row>
    <row r="1530" spans="1:27" x14ac:dyDescent="0.25">
      <c r="A1530" s="19" t="s">
        <v>1773</v>
      </c>
      <c r="B1530" s="19" t="s">
        <v>1767</v>
      </c>
      <c r="C1530" s="19" t="s">
        <v>1768</v>
      </c>
      <c r="D1530" s="19">
        <v>1.6067181757433999</v>
      </c>
      <c r="E1530" s="19" t="s">
        <v>55</v>
      </c>
      <c r="F1530" s="19" t="s">
        <v>56</v>
      </c>
      <c r="G1530" s="19" t="s">
        <v>32</v>
      </c>
      <c r="H1530" s="19" t="s">
        <v>33</v>
      </c>
      <c r="I1530" s="19" t="s">
        <v>34</v>
      </c>
      <c r="J1530" s="19">
        <v>14</v>
      </c>
      <c r="K1530" s="19">
        <v>1.6299999999999999E-2</v>
      </c>
      <c r="L1530" s="19" t="s">
        <v>541</v>
      </c>
      <c r="M1530" s="19" t="s">
        <v>541</v>
      </c>
      <c r="N1530" s="19">
        <v>50</v>
      </c>
      <c r="O1530" s="19">
        <v>98.5716672235</v>
      </c>
      <c r="P1530" s="19">
        <v>97.143334447000001</v>
      </c>
      <c r="Q1530" s="19">
        <v>48.5716672235</v>
      </c>
      <c r="R1530" s="19" t="s">
        <v>1075</v>
      </c>
      <c r="S1530" s="19">
        <v>1</v>
      </c>
      <c r="T1530" s="19">
        <v>1</v>
      </c>
      <c r="U1530" s="19">
        <v>48.5716672235</v>
      </c>
      <c r="AA1530" s="19">
        <v>0</v>
      </c>
    </row>
    <row r="1531" spans="1:27" x14ac:dyDescent="0.25">
      <c r="A1531" s="19" t="s">
        <v>1774</v>
      </c>
      <c r="B1531" s="19" t="s">
        <v>1767</v>
      </c>
      <c r="C1531" s="19" t="s">
        <v>1768</v>
      </c>
      <c r="D1531" s="19">
        <v>1.63</v>
      </c>
      <c r="E1531" s="19" t="s">
        <v>58</v>
      </c>
      <c r="F1531" s="19" t="s">
        <v>59</v>
      </c>
      <c r="G1531" s="19" t="s">
        <v>32</v>
      </c>
      <c r="H1531" s="19" t="s">
        <v>33</v>
      </c>
      <c r="I1531" s="19" t="s">
        <v>34</v>
      </c>
      <c r="J1531" s="19">
        <v>13</v>
      </c>
      <c r="K1531" s="19">
        <v>1.6299999999999999E-2</v>
      </c>
      <c r="L1531" s="19" t="s">
        <v>541</v>
      </c>
      <c r="M1531" s="19" t="s">
        <v>541</v>
      </c>
      <c r="N1531" s="19">
        <v>50</v>
      </c>
      <c r="O1531" s="19">
        <v>100</v>
      </c>
      <c r="P1531" s="19">
        <v>100</v>
      </c>
      <c r="Q1531" s="19">
        <v>50</v>
      </c>
      <c r="R1531" s="19" t="s">
        <v>1075</v>
      </c>
      <c r="S1531" s="19">
        <v>1</v>
      </c>
      <c r="T1531" s="19">
        <v>1</v>
      </c>
      <c r="U1531" s="19">
        <v>50</v>
      </c>
      <c r="AA1531" s="19">
        <v>0</v>
      </c>
    </row>
    <row r="1532" spans="1:27" x14ac:dyDescent="0.25">
      <c r="A1532" s="19" t="s">
        <v>1775</v>
      </c>
      <c r="B1532" s="19" t="s">
        <v>1767</v>
      </c>
      <c r="C1532" s="19" t="s">
        <v>1768</v>
      </c>
      <c r="D1532" s="19">
        <v>1.8599999999999901</v>
      </c>
      <c r="E1532" s="19" t="s">
        <v>61</v>
      </c>
      <c r="F1532" s="19" t="s">
        <v>62</v>
      </c>
      <c r="G1532" s="19" t="s">
        <v>32</v>
      </c>
      <c r="H1532" s="19" t="s">
        <v>63</v>
      </c>
      <c r="I1532" s="19" t="s">
        <v>64</v>
      </c>
      <c r="J1532" s="19">
        <v>22</v>
      </c>
      <c r="K1532" s="19">
        <v>1.8599999999999998E-2</v>
      </c>
      <c r="L1532" s="19" t="s">
        <v>541</v>
      </c>
      <c r="M1532" s="19" t="s">
        <v>541</v>
      </c>
      <c r="N1532" s="19">
        <v>50</v>
      </c>
      <c r="O1532" s="19">
        <v>100</v>
      </c>
      <c r="P1532" s="19">
        <v>100</v>
      </c>
      <c r="Q1532" s="19">
        <v>50</v>
      </c>
      <c r="R1532" s="19" t="s">
        <v>1075</v>
      </c>
      <c r="S1532" s="19">
        <v>1</v>
      </c>
      <c r="T1532" s="19">
        <v>1</v>
      </c>
      <c r="U1532" s="19">
        <v>50</v>
      </c>
      <c r="AA1532" s="19">
        <v>0</v>
      </c>
    </row>
    <row r="1533" spans="1:27" x14ac:dyDescent="0.25">
      <c r="A1533" s="19" t="s">
        <v>1776</v>
      </c>
      <c r="B1533" s="19" t="s">
        <v>1767</v>
      </c>
      <c r="C1533" s="19" t="s">
        <v>1768</v>
      </c>
      <c r="D1533" s="19">
        <v>1.8599999999999901</v>
      </c>
      <c r="E1533" s="19" t="s">
        <v>66</v>
      </c>
      <c r="F1533" s="19" t="s">
        <v>67</v>
      </c>
      <c r="G1533" s="19" t="s">
        <v>32</v>
      </c>
      <c r="H1533" s="19" t="s">
        <v>63</v>
      </c>
      <c r="I1533" s="19" t="s">
        <v>64</v>
      </c>
      <c r="J1533" s="19">
        <v>20</v>
      </c>
      <c r="K1533" s="19">
        <v>1.8599999999999998E-2</v>
      </c>
      <c r="L1533" s="19" t="s">
        <v>541</v>
      </c>
      <c r="M1533" s="19" t="s">
        <v>541</v>
      </c>
      <c r="N1533" s="19">
        <v>50</v>
      </c>
      <c r="O1533" s="19">
        <v>100</v>
      </c>
      <c r="P1533" s="19">
        <v>100</v>
      </c>
      <c r="Q1533" s="19">
        <v>50</v>
      </c>
      <c r="R1533" s="19" t="s">
        <v>1075</v>
      </c>
      <c r="S1533" s="19">
        <v>1</v>
      </c>
      <c r="T1533" s="19">
        <v>1</v>
      </c>
      <c r="U1533" s="19">
        <v>50</v>
      </c>
      <c r="AA1533" s="19">
        <v>0</v>
      </c>
    </row>
    <row r="1534" spans="1:27" x14ac:dyDescent="0.25">
      <c r="A1534" s="19" t="s">
        <v>1777</v>
      </c>
      <c r="B1534" s="19" t="s">
        <v>1767</v>
      </c>
      <c r="C1534" s="19" t="s">
        <v>1768</v>
      </c>
      <c r="D1534" s="19">
        <v>1.8599999999999901</v>
      </c>
      <c r="E1534" s="19" t="s">
        <v>69</v>
      </c>
      <c r="F1534" s="19" t="s">
        <v>70</v>
      </c>
      <c r="G1534" s="19" t="s">
        <v>32</v>
      </c>
      <c r="H1534" s="19" t="s">
        <v>63</v>
      </c>
      <c r="I1534" s="19" t="s">
        <v>64</v>
      </c>
      <c r="J1534" s="19">
        <v>23</v>
      </c>
      <c r="K1534" s="19">
        <v>1.8599999999999998E-2</v>
      </c>
      <c r="L1534" s="19" t="s">
        <v>541</v>
      </c>
      <c r="M1534" s="19" t="s">
        <v>541</v>
      </c>
      <c r="N1534" s="19">
        <v>50</v>
      </c>
      <c r="O1534" s="19">
        <v>100</v>
      </c>
      <c r="P1534" s="19">
        <v>100</v>
      </c>
      <c r="Q1534" s="19">
        <v>50</v>
      </c>
      <c r="R1534" s="19" t="s">
        <v>1075</v>
      </c>
      <c r="S1534" s="19">
        <v>1</v>
      </c>
      <c r="T1534" s="19">
        <v>1</v>
      </c>
      <c r="U1534" s="19">
        <v>50</v>
      </c>
      <c r="AA1534" s="19">
        <v>0</v>
      </c>
    </row>
    <row r="1535" spans="1:27" x14ac:dyDescent="0.25">
      <c r="A1535" s="19" t="s">
        <v>1778</v>
      </c>
      <c r="B1535" s="19" t="s">
        <v>1767</v>
      </c>
      <c r="C1535" s="19" t="s">
        <v>1768</v>
      </c>
      <c r="D1535" s="19">
        <v>1.8599999999999901</v>
      </c>
      <c r="E1535" s="19" t="s">
        <v>72</v>
      </c>
      <c r="F1535" s="19" t="s">
        <v>73</v>
      </c>
      <c r="G1535" s="19" t="s">
        <v>32</v>
      </c>
      <c r="H1535" s="19" t="s">
        <v>63</v>
      </c>
      <c r="I1535" s="19" t="s">
        <v>64</v>
      </c>
      <c r="J1535" s="19">
        <v>21</v>
      </c>
      <c r="K1535" s="19">
        <v>1.8599999999999998E-2</v>
      </c>
      <c r="L1535" s="19" t="s">
        <v>541</v>
      </c>
      <c r="M1535" s="19" t="s">
        <v>541</v>
      </c>
      <c r="N1535" s="19">
        <v>50</v>
      </c>
      <c r="O1535" s="19">
        <v>100</v>
      </c>
      <c r="P1535" s="19">
        <v>100</v>
      </c>
      <c r="Q1535" s="19">
        <v>50</v>
      </c>
      <c r="R1535" s="19" t="s">
        <v>1075</v>
      </c>
      <c r="S1535" s="19">
        <v>1</v>
      </c>
      <c r="T1535" s="19">
        <v>1</v>
      </c>
      <c r="U1535" s="19">
        <v>50</v>
      </c>
      <c r="AA1535" s="19">
        <v>0</v>
      </c>
    </row>
    <row r="1536" spans="1:27" x14ac:dyDescent="0.25">
      <c r="A1536" s="19" t="s">
        <v>1779</v>
      </c>
      <c r="B1536" s="19" t="s">
        <v>1767</v>
      </c>
      <c r="C1536" s="19" t="s">
        <v>1768</v>
      </c>
      <c r="D1536" s="19">
        <v>1.8596892749749401</v>
      </c>
      <c r="E1536" s="19" t="s">
        <v>75</v>
      </c>
      <c r="F1536" s="19" t="s">
        <v>76</v>
      </c>
      <c r="G1536" s="19" t="s">
        <v>32</v>
      </c>
      <c r="H1536" s="19" t="s">
        <v>63</v>
      </c>
      <c r="I1536" s="19" t="s">
        <v>64</v>
      </c>
      <c r="J1536" s="19">
        <v>24</v>
      </c>
      <c r="K1536" s="19">
        <v>1.8599999999999998E-2</v>
      </c>
      <c r="L1536" s="19" t="s">
        <v>541</v>
      </c>
      <c r="M1536" s="19" t="s">
        <v>541</v>
      </c>
      <c r="N1536" s="19">
        <v>50</v>
      </c>
      <c r="O1536" s="19">
        <v>99.9832943535</v>
      </c>
      <c r="P1536" s="19">
        <v>99.966588707</v>
      </c>
      <c r="Q1536" s="19">
        <v>49.9832943535</v>
      </c>
      <c r="R1536" s="19" t="s">
        <v>1075</v>
      </c>
      <c r="S1536" s="19">
        <v>1</v>
      </c>
      <c r="T1536" s="19">
        <v>1</v>
      </c>
      <c r="U1536" s="19">
        <v>49.9832943535</v>
      </c>
      <c r="AA1536" s="19">
        <v>0</v>
      </c>
    </row>
    <row r="1537" spans="1:27" x14ac:dyDescent="0.25">
      <c r="A1537" s="19" t="s">
        <v>1780</v>
      </c>
      <c r="B1537" s="19" t="s">
        <v>1767</v>
      </c>
      <c r="C1537" s="19" t="s">
        <v>1768</v>
      </c>
      <c r="D1537" s="19">
        <v>1.0437743543271401</v>
      </c>
      <c r="E1537" s="19" t="s">
        <v>78</v>
      </c>
      <c r="F1537" s="19" t="s">
        <v>79</v>
      </c>
      <c r="G1537" s="19" t="s">
        <v>32</v>
      </c>
      <c r="H1537" s="19" t="s">
        <v>63</v>
      </c>
      <c r="I1537" s="19" t="s">
        <v>64</v>
      </c>
      <c r="J1537" s="19">
        <v>25</v>
      </c>
      <c r="K1537" s="19">
        <v>1.8599999999999998E-2</v>
      </c>
      <c r="L1537" s="19" t="s">
        <v>541</v>
      </c>
      <c r="M1537" s="19" t="s">
        <v>541</v>
      </c>
      <c r="N1537" s="19">
        <v>50</v>
      </c>
      <c r="O1537" s="19">
        <v>56.116900770299999</v>
      </c>
      <c r="P1537" s="19">
        <v>12.2338015406</v>
      </c>
      <c r="Q1537" s="19">
        <v>6.11690077028</v>
      </c>
      <c r="R1537" s="19" t="s">
        <v>1075</v>
      </c>
      <c r="S1537" s="19">
        <v>1</v>
      </c>
      <c r="T1537" s="19">
        <v>1</v>
      </c>
      <c r="U1537" s="19">
        <v>6.11690077028</v>
      </c>
      <c r="AA1537" s="19">
        <v>0</v>
      </c>
    </row>
    <row r="1538" spans="1:27" x14ac:dyDescent="0.25">
      <c r="A1538" s="19" t="s">
        <v>1781</v>
      </c>
      <c r="B1538" s="19" t="s">
        <v>1767</v>
      </c>
      <c r="C1538" s="19" t="s">
        <v>1768</v>
      </c>
      <c r="D1538" s="19">
        <v>1.84524056130972</v>
      </c>
      <c r="E1538" s="19" t="s">
        <v>82</v>
      </c>
      <c r="F1538" s="19" t="s">
        <v>83</v>
      </c>
      <c r="G1538" s="19" t="s">
        <v>32</v>
      </c>
      <c r="H1538" s="19" t="s">
        <v>63</v>
      </c>
      <c r="I1538" s="19" t="s">
        <v>64</v>
      </c>
      <c r="J1538" s="19">
        <v>26</v>
      </c>
      <c r="K1538" s="19">
        <v>1.8599999999999998E-2</v>
      </c>
      <c r="L1538" s="19" t="s">
        <v>541</v>
      </c>
      <c r="M1538" s="19" t="s">
        <v>541</v>
      </c>
      <c r="N1538" s="19">
        <v>50</v>
      </c>
      <c r="O1538" s="19">
        <v>99.206481790799998</v>
      </c>
      <c r="P1538" s="19">
        <v>98.412963581699998</v>
      </c>
      <c r="Q1538" s="19">
        <v>49.206481790799998</v>
      </c>
      <c r="R1538" s="19" t="s">
        <v>1075</v>
      </c>
      <c r="S1538" s="19">
        <v>1</v>
      </c>
      <c r="T1538" s="19">
        <v>1</v>
      </c>
      <c r="U1538" s="19">
        <v>49.206481790799998</v>
      </c>
      <c r="AA1538" s="19">
        <v>0</v>
      </c>
    </row>
    <row r="1539" spans="1:27" x14ac:dyDescent="0.25">
      <c r="A1539" s="19" t="s">
        <v>1782</v>
      </c>
      <c r="B1539" s="19" t="s">
        <v>1767</v>
      </c>
      <c r="C1539" s="19" t="s">
        <v>1768</v>
      </c>
      <c r="D1539" s="19">
        <v>3.21416638823922</v>
      </c>
      <c r="E1539" s="19" t="s">
        <v>85</v>
      </c>
      <c r="F1539" s="19" t="s">
        <v>86</v>
      </c>
      <c r="G1539" s="19" t="s">
        <v>32</v>
      </c>
      <c r="H1539" s="19" t="s">
        <v>87</v>
      </c>
      <c r="I1539" s="19" t="s">
        <v>88</v>
      </c>
      <c r="J1539" s="19">
        <v>35</v>
      </c>
      <c r="K1539" s="19">
        <v>3.2500000000000001E-2</v>
      </c>
      <c r="L1539" s="19" t="s">
        <v>541</v>
      </c>
      <c r="M1539" s="19" t="s">
        <v>541</v>
      </c>
      <c r="N1539" s="19">
        <v>50</v>
      </c>
      <c r="O1539" s="19">
        <v>98.897427330400006</v>
      </c>
      <c r="P1539" s="19">
        <v>97.7948546609</v>
      </c>
      <c r="Q1539" s="19">
        <v>48.897427330399999</v>
      </c>
      <c r="R1539" s="19" t="s">
        <v>1075</v>
      </c>
      <c r="S1539" s="19">
        <v>1</v>
      </c>
      <c r="T1539" s="19">
        <v>1</v>
      </c>
      <c r="U1539" s="19">
        <v>48.897427330399999</v>
      </c>
      <c r="AA1539" s="19">
        <v>0</v>
      </c>
    </row>
    <row r="1540" spans="1:27" x14ac:dyDescent="0.25">
      <c r="A1540" s="19" t="s">
        <v>1783</v>
      </c>
      <c r="B1540" s="19" t="s">
        <v>1767</v>
      </c>
      <c r="C1540" s="19" t="s">
        <v>1768</v>
      </c>
      <c r="D1540" s="19">
        <v>2.4375</v>
      </c>
      <c r="E1540" s="19" t="s">
        <v>90</v>
      </c>
      <c r="F1540" s="19" t="s">
        <v>91</v>
      </c>
      <c r="G1540" s="19" t="s">
        <v>32</v>
      </c>
      <c r="H1540" s="19" t="s">
        <v>87</v>
      </c>
      <c r="I1540" s="19" t="s">
        <v>88</v>
      </c>
      <c r="J1540" s="19">
        <v>33</v>
      </c>
      <c r="K1540" s="19">
        <v>3.2500000000000001E-2</v>
      </c>
      <c r="L1540" s="19" t="s">
        <v>541</v>
      </c>
      <c r="M1540" s="19" t="s">
        <v>541</v>
      </c>
      <c r="N1540" s="19">
        <v>50</v>
      </c>
      <c r="O1540" s="19">
        <v>75</v>
      </c>
      <c r="P1540" s="19">
        <v>50</v>
      </c>
      <c r="Q1540" s="19">
        <v>25</v>
      </c>
      <c r="R1540" s="19" t="s">
        <v>1075</v>
      </c>
      <c r="S1540" s="19">
        <v>1</v>
      </c>
      <c r="T1540" s="19">
        <v>1</v>
      </c>
      <c r="U1540" s="19">
        <v>25</v>
      </c>
      <c r="AA1540" s="19">
        <v>0</v>
      </c>
    </row>
    <row r="1541" spans="1:27" x14ac:dyDescent="0.25">
      <c r="A1541" s="19" t="s">
        <v>1784</v>
      </c>
      <c r="B1541" s="19" t="s">
        <v>1767</v>
      </c>
      <c r="C1541" s="19" t="s">
        <v>1768</v>
      </c>
      <c r="D1541" s="19">
        <v>3.2445706648847299</v>
      </c>
      <c r="E1541" s="19" t="s">
        <v>93</v>
      </c>
      <c r="F1541" s="19" t="s">
        <v>94</v>
      </c>
      <c r="G1541" s="19" t="s">
        <v>32</v>
      </c>
      <c r="H1541" s="19" t="s">
        <v>87</v>
      </c>
      <c r="I1541" s="19" t="s">
        <v>88</v>
      </c>
      <c r="J1541" s="19">
        <v>34</v>
      </c>
      <c r="K1541" s="19">
        <v>3.2500000000000001E-2</v>
      </c>
      <c r="L1541" s="19" t="s">
        <v>541</v>
      </c>
      <c r="M1541" s="19" t="s">
        <v>541</v>
      </c>
      <c r="N1541" s="19">
        <v>50</v>
      </c>
      <c r="O1541" s="19">
        <v>99.832943534899997</v>
      </c>
      <c r="P1541" s="19">
        <v>99.665887069799993</v>
      </c>
      <c r="Q1541" s="19">
        <v>49.832943534899997</v>
      </c>
      <c r="R1541" s="19" t="s">
        <v>1075</v>
      </c>
      <c r="S1541" s="19">
        <v>1</v>
      </c>
      <c r="T1541" s="19">
        <v>1</v>
      </c>
      <c r="U1541" s="19">
        <v>49.832943534899997</v>
      </c>
      <c r="AA1541" s="19">
        <v>0</v>
      </c>
    </row>
    <row r="1542" spans="1:27" x14ac:dyDescent="0.25">
      <c r="A1542" s="19" t="s">
        <v>1791</v>
      </c>
      <c r="B1542" s="19" t="s">
        <v>1767</v>
      </c>
      <c r="C1542" s="19" t="s">
        <v>1768</v>
      </c>
      <c r="D1542" s="19">
        <v>0</v>
      </c>
      <c r="E1542" s="19" t="s">
        <v>132</v>
      </c>
      <c r="F1542" s="19" t="s">
        <v>133</v>
      </c>
      <c r="G1542" s="19" t="s">
        <v>134</v>
      </c>
      <c r="H1542" s="19" t="s">
        <v>87</v>
      </c>
      <c r="I1542" s="19" t="s">
        <v>135</v>
      </c>
      <c r="J1542" s="19">
        <v>11</v>
      </c>
      <c r="K1542" s="19">
        <v>4.1700000000000001E-2</v>
      </c>
      <c r="L1542" s="19" t="s">
        <v>35</v>
      </c>
      <c r="M1542" s="19" t="s">
        <v>103</v>
      </c>
      <c r="N1542" s="19">
        <v>0</v>
      </c>
      <c r="O1542" s="19">
        <v>0</v>
      </c>
      <c r="P1542" s="19">
        <v>0</v>
      </c>
      <c r="Q1542" s="19">
        <v>0</v>
      </c>
      <c r="R1542" s="19" t="s">
        <v>1075</v>
      </c>
      <c r="S1542" s="19">
        <v>1</v>
      </c>
      <c r="T1542" s="19">
        <v>1</v>
      </c>
      <c r="U1542" s="19">
        <v>0</v>
      </c>
      <c r="V1542" s="19" t="s">
        <v>36</v>
      </c>
      <c r="W1542" s="19">
        <v>0</v>
      </c>
      <c r="Y1542" s="19" t="s">
        <v>103</v>
      </c>
      <c r="Z1542" s="19">
        <v>50</v>
      </c>
      <c r="AA1542" s="19">
        <v>0</v>
      </c>
    </row>
    <row r="1543" spans="1:27" x14ac:dyDescent="0.25">
      <c r="A1543" s="19" t="s">
        <v>1790</v>
      </c>
      <c r="B1543" s="19" t="s">
        <v>1767</v>
      </c>
      <c r="C1543" s="19" t="s">
        <v>1768</v>
      </c>
      <c r="D1543" s="19">
        <v>1.25</v>
      </c>
      <c r="E1543" s="19" t="s">
        <v>144</v>
      </c>
      <c r="F1543" s="19" t="s">
        <v>145</v>
      </c>
      <c r="G1543" s="19" t="s">
        <v>134</v>
      </c>
      <c r="H1543" s="19" t="s">
        <v>146</v>
      </c>
      <c r="I1543" s="19" t="s">
        <v>147</v>
      </c>
      <c r="J1543" s="19">
        <v>4</v>
      </c>
      <c r="K1543" s="19">
        <v>2.5000000000000001E-2</v>
      </c>
      <c r="L1543" s="19" t="s">
        <v>35</v>
      </c>
      <c r="M1543" s="19" t="s">
        <v>103</v>
      </c>
      <c r="N1543" s="19">
        <v>50</v>
      </c>
      <c r="O1543" s="19">
        <v>50</v>
      </c>
      <c r="P1543" s="19">
        <v>0</v>
      </c>
      <c r="Q1543" s="19">
        <v>0</v>
      </c>
      <c r="R1543" s="19" t="s">
        <v>1075</v>
      </c>
      <c r="S1543" s="19">
        <v>1</v>
      </c>
      <c r="T1543" s="19">
        <v>1</v>
      </c>
      <c r="U1543" s="19">
        <v>0</v>
      </c>
      <c r="V1543" s="19" t="s">
        <v>41</v>
      </c>
      <c r="W1543" s="19">
        <v>1</v>
      </c>
      <c r="Y1543" s="19" t="s">
        <v>103</v>
      </c>
      <c r="Z1543" s="19">
        <v>50</v>
      </c>
      <c r="AA1543" s="19">
        <v>50</v>
      </c>
    </row>
    <row r="1544" spans="1:27" x14ac:dyDescent="0.25">
      <c r="A1544" s="19" t="s">
        <v>1792</v>
      </c>
      <c r="B1544" s="19" t="s">
        <v>1767</v>
      </c>
      <c r="C1544" s="19" t="s">
        <v>1768</v>
      </c>
      <c r="D1544" s="19">
        <v>1.25</v>
      </c>
      <c r="E1544" s="19" t="s">
        <v>149</v>
      </c>
      <c r="F1544" s="19" t="s">
        <v>150</v>
      </c>
      <c r="G1544" s="19" t="s">
        <v>134</v>
      </c>
      <c r="H1544" s="19" t="s">
        <v>146</v>
      </c>
      <c r="I1544" s="19" t="s">
        <v>147</v>
      </c>
      <c r="J1544" s="19">
        <v>5</v>
      </c>
      <c r="K1544" s="19">
        <v>2.5000000000000001E-2</v>
      </c>
      <c r="L1544" s="19" t="s">
        <v>35</v>
      </c>
      <c r="M1544" s="19" t="s">
        <v>103</v>
      </c>
      <c r="N1544" s="19">
        <v>50</v>
      </c>
      <c r="O1544" s="19">
        <v>50</v>
      </c>
      <c r="P1544" s="19">
        <v>0</v>
      </c>
      <c r="Q1544" s="19">
        <v>0</v>
      </c>
      <c r="R1544" s="19" t="s">
        <v>1075</v>
      </c>
      <c r="S1544" s="19">
        <v>1</v>
      </c>
      <c r="T1544" s="19">
        <v>1</v>
      </c>
      <c r="U1544" s="19">
        <v>0</v>
      </c>
      <c r="V1544" s="19" t="s">
        <v>41</v>
      </c>
      <c r="W1544" s="19">
        <v>1</v>
      </c>
      <c r="Y1544" s="19" t="s">
        <v>103</v>
      </c>
      <c r="Z1544" s="19">
        <v>50</v>
      </c>
      <c r="AA1544" s="19">
        <v>50</v>
      </c>
    </row>
    <row r="1545" spans="1:27" x14ac:dyDescent="0.25">
      <c r="A1545" s="19" t="s">
        <v>1793</v>
      </c>
      <c r="B1545" s="19" t="s">
        <v>1767</v>
      </c>
      <c r="C1545" s="19" t="s">
        <v>1768</v>
      </c>
      <c r="D1545" s="19">
        <v>0.54327899999999996</v>
      </c>
      <c r="E1545" s="19" t="s">
        <v>38</v>
      </c>
      <c r="F1545" s="19" t="s">
        <v>39</v>
      </c>
      <c r="G1545" s="19" t="s">
        <v>32</v>
      </c>
      <c r="H1545" s="19" t="s">
        <v>33</v>
      </c>
      <c r="I1545" s="19" t="s">
        <v>34</v>
      </c>
      <c r="J1545" s="19">
        <v>19</v>
      </c>
      <c r="K1545" s="19">
        <v>1.6299999999999999E-2</v>
      </c>
      <c r="L1545" s="19" t="s">
        <v>35</v>
      </c>
      <c r="M1545" s="19" t="s">
        <v>40</v>
      </c>
      <c r="N1545" s="19">
        <v>33.33</v>
      </c>
      <c r="O1545" s="19">
        <v>33.33</v>
      </c>
      <c r="P1545" s="19">
        <v>0</v>
      </c>
      <c r="Q1545" s="19">
        <v>0</v>
      </c>
      <c r="R1545" s="19" t="s">
        <v>1075</v>
      </c>
      <c r="S1545" s="19">
        <v>1</v>
      </c>
      <c r="T1545" s="19">
        <v>1</v>
      </c>
      <c r="U1545" s="19">
        <v>0</v>
      </c>
      <c r="V1545" s="19" t="s">
        <v>41</v>
      </c>
      <c r="W1545" s="19">
        <v>1</v>
      </c>
      <c r="Y1545" s="19" t="s">
        <v>40</v>
      </c>
      <c r="Z1545" s="19">
        <v>33.33</v>
      </c>
      <c r="AA1545" s="19">
        <v>33.33</v>
      </c>
    </row>
    <row r="1546" spans="1:27" x14ac:dyDescent="0.25">
      <c r="A1546" s="19" t="s">
        <v>1794</v>
      </c>
      <c r="B1546" s="19" t="s">
        <v>1767</v>
      </c>
      <c r="C1546" s="19" t="s">
        <v>1768</v>
      </c>
      <c r="D1546" s="19">
        <v>1.25</v>
      </c>
      <c r="E1546" s="19" t="s">
        <v>155</v>
      </c>
      <c r="F1546" s="19" t="s">
        <v>156</v>
      </c>
      <c r="G1546" s="19" t="s">
        <v>134</v>
      </c>
      <c r="H1546" s="19" t="s">
        <v>146</v>
      </c>
      <c r="I1546" s="19" t="s">
        <v>147</v>
      </c>
      <c r="J1546" s="19">
        <v>7</v>
      </c>
      <c r="K1546" s="19">
        <v>2.5000000000000001E-2</v>
      </c>
      <c r="L1546" s="19" t="s">
        <v>35</v>
      </c>
      <c r="M1546" s="19" t="s">
        <v>103</v>
      </c>
      <c r="N1546" s="19">
        <v>50</v>
      </c>
      <c r="O1546" s="19">
        <v>50</v>
      </c>
      <c r="P1546" s="19">
        <v>0</v>
      </c>
      <c r="Q1546" s="19">
        <v>0</v>
      </c>
      <c r="R1546" s="19" t="s">
        <v>1075</v>
      </c>
      <c r="S1546" s="19">
        <v>1</v>
      </c>
      <c r="T1546" s="19">
        <v>1</v>
      </c>
      <c r="U1546" s="19">
        <v>0</v>
      </c>
      <c r="V1546" s="19" t="s">
        <v>41</v>
      </c>
      <c r="W1546" s="19">
        <v>1</v>
      </c>
      <c r="Y1546" s="19" t="s">
        <v>103</v>
      </c>
      <c r="Z1546" s="19">
        <v>50</v>
      </c>
      <c r="AA1546" s="19">
        <v>50</v>
      </c>
    </row>
    <row r="1547" spans="1:27" x14ac:dyDescent="0.25">
      <c r="A1547" s="19" t="s">
        <v>1795</v>
      </c>
      <c r="B1547" s="19" t="s">
        <v>1767</v>
      </c>
      <c r="C1547" s="19" t="s">
        <v>1768</v>
      </c>
      <c r="D1547" s="19">
        <v>1.25</v>
      </c>
      <c r="E1547" s="19" t="s">
        <v>158</v>
      </c>
      <c r="F1547" s="19" t="s">
        <v>159</v>
      </c>
      <c r="G1547" s="19" t="s">
        <v>134</v>
      </c>
      <c r="H1547" s="19" t="s">
        <v>146</v>
      </c>
      <c r="I1547" s="19" t="s">
        <v>147</v>
      </c>
      <c r="J1547" s="19">
        <v>8</v>
      </c>
      <c r="K1547" s="19">
        <v>2.5000000000000001E-2</v>
      </c>
      <c r="L1547" s="19" t="s">
        <v>35</v>
      </c>
      <c r="M1547" s="19" t="s">
        <v>103</v>
      </c>
      <c r="N1547" s="19">
        <v>50</v>
      </c>
      <c r="O1547" s="19">
        <v>50</v>
      </c>
      <c r="P1547" s="19">
        <v>0</v>
      </c>
      <c r="Q1547" s="19">
        <v>0</v>
      </c>
      <c r="R1547" s="19" t="s">
        <v>1075</v>
      </c>
      <c r="S1547" s="19">
        <v>1</v>
      </c>
      <c r="T1547" s="19">
        <v>1</v>
      </c>
      <c r="U1547" s="19">
        <v>0</v>
      </c>
      <c r="V1547" s="19" t="s">
        <v>41</v>
      </c>
      <c r="W1547" s="19">
        <v>1</v>
      </c>
      <c r="Y1547" s="19" t="s">
        <v>103</v>
      </c>
      <c r="Z1547" s="19">
        <v>50</v>
      </c>
      <c r="AA1547" s="19">
        <v>50</v>
      </c>
    </row>
    <row r="1548" spans="1:27" x14ac:dyDescent="0.25">
      <c r="A1548" s="19" t="s">
        <v>1796</v>
      </c>
      <c r="B1548" s="19" t="s">
        <v>1767</v>
      </c>
      <c r="C1548" s="19" t="s">
        <v>1768</v>
      </c>
      <c r="D1548" s="19">
        <v>1.25</v>
      </c>
      <c r="E1548" s="19" t="s">
        <v>152</v>
      </c>
      <c r="F1548" s="19" t="s">
        <v>153</v>
      </c>
      <c r="G1548" s="19" t="s">
        <v>134</v>
      </c>
      <c r="H1548" s="19" t="s">
        <v>146</v>
      </c>
      <c r="I1548" s="19" t="s">
        <v>147</v>
      </c>
      <c r="J1548" s="19">
        <v>6</v>
      </c>
      <c r="K1548" s="19">
        <v>2.5000000000000001E-2</v>
      </c>
      <c r="L1548" s="19" t="s">
        <v>35</v>
      </c>
      <c r="M1548" s="19" t="s">
        <v>103</v>
      </c>
      <c r="N1548" s="19">
        <v>50</v>
      </c>
      <c r="O1548" s="19">
        <v>50</v>
      </c>
      <c r="P1548" s="19">
        <v>0</v>
      </c>
      <c r="Q1548" s="19">
        <v>0</v>
      </c>
      <c r="R1548" s="19" t="s">
        <v>1075</v>
      </c>
      <c r="S1548" s="19">
        <v>1</v>
      </c>
      <c r="T1548" s="19">
        <v>1</v>
      </c>
      <c r="U1548" s="19">
        <v>0</v>
      </c>
      <c r="V1548" s="19" t="s">
        <v>41</v>
      </c>
      <c r="W1548" s="19">
        <v>1</v>
      </c>
      <c r="Y1548" s="19" t="s">
        <v>103</v>
      </c>
      <c r="Z1548" s="19">
        <v>50</v>
      </c>
      <c r="AA1548" s="19">
        <v>50</v>
      </c>
    </row>
    <row r="1549" spans="1:27" x14ac:dyDescent="0.25">
      <c r="A1549" s="19" t="s">
        <v>1797</v>
      </c>
      <c r="B1549" s="19" t="s">
        <v>1767</v>
      </c>
      <c r="C1549" s="19" t="s">
        <v>1768</v>
      </c>
      <c r="D1549" s="19">
        <v>0</v>
      </c>
      <c r="E1549" s="19" t="s">
        <v>96</v>
      </c>
      <c r="F1549" s="19" t="s">
        <v>97</v>
      </c>
      <c r="G1549" s="19" t="s">
        <v>32</v>
      </c>
      <c r="H1549" s="19" t="s">
        <v>87</v>
      </c>
      <c r="I1549" s="19" t="s">
        <v>88</v>
      </c>
      <c r="J1549" s="19">
        <v>36</v>
      </c>
      <c r="K1549" s="19">
        <v>3.2500000000000001E-2</v>
      </c>
      <c r="L1549" s="19" t="s">
        <v>35</v>
      </c>
      <c r="N1549" s="19">
        <v>0</v>
      </c>
      <c r="O1549" s="19">
        <v>0</v>
      </c>
      <c r="P1549" s="19">
        <v>0</v>
      </c>
      <c r="Q1549" s="19">
        <v>0</v>
      </c>
      <c r="R1549" s="19" t="s">
        <v>1075</v>
      </c>
      <c r="S1549" s="19">
        <v>1</v>
      </c>
      <c r="T1549" s="19">
        <v>1</v>
      </c>
      <c r="U1549" s="19">
        <v>0</v>
      </c>
      <c r="V1549" s="19" t="s">
        <v>36</v>
      </c>
      <c r="W1549" s="19">
        <v>0</v>
      </c>
      <c r="Z1549" s="19">
        <v>0</v>
      </c>
      <c r="AA1549" s="19">
        <v>0</v>
      </c>
    </row>
    <row r="1550" spans="1:27" x14ac:dyDescent="0.25">
      <c r="A1550" s="19" t="s">
        <v>1798</v>
      </c>
      <c r="B1550" s="19" t="s">
        <v>1767</v>
      </c>
      <c r="C1550" s="19" t="s">
        <v>1768</v>
      </c>
      <c r="D1550" s="19">
        <v>0</v>
      </c>
      <c r="E1550" s="19" t="s">
        <v>99</v>
      </c>
      <c r="F1550" s="19" t="s">
        <v>100</v>
      </c>
      <c r="G1550" s="19" t="s">
        <v>32</v>
      </c>
      <c r="H1550" s="19" t="s">
        <v>101</v>
      </c>
      <c r="I1550" s="19" t="s">
        <v>102</v>
      </c>
      <c r="J1550" s="19">
        <v>39</v>
      </c>
      <c r="K1550" s="19">
        <v>4.3299999999999998E-2</v>
      </c>
      <c r="L1550" s="19" t="s">
        <v>35</v>
      </c>
      <c r="M1550" s="19" t="s">
        <v>103</v>
      </c>
      <c r="N1550" s="19">
        <v>0</v>
      </c>
      <c r="O1550" s="19">
        <v>0</v>
      </c>
      <c r="P1550" s="19">
        <v>0</v>
      </c>
      <c r="Q1550" s="19">
        <v>0</v>
      </c>
      <c r="R1550" s="19" t="s">
        <v>1075</v>
      </c>
      <c r="S1550" s="19">
        <v>1</v>
      </c>
      <c r="T1550" s="19">
        <v>1</v>
      </c>
      <c r="U1550" s="19">
        <v>0</v>
      </c>
      <c r="V1550" s="19" t="s">
        <v>36</v>
      </c>
      <c r="W1550" s="19">
        <v>0</v>
      </c>
      <c r="Y1550" s="19" t="s">
        <v>103</v>
      </c>
      <c r="Z1550" s="19">
        <v>50</v>
      </c>
      <c r="AA1550" s="19">
        <v>0</v>
      </c>
    </row>
    <row r="1551" spans="1:27" x14ac:dyDescent="0.25">
      <c r="A1551" s="19" t="s">
        <v>1799</v>
      </c>
      <c r="B1551" s="19" t="s">
        <v>1767</v>
      </c>
      <c r="C1551" s="19" t="s">
        <v>1768</v>
      </c>
      <c r="D1551" s="19">
        <v>0</v>
      </c>
      <c r="E1551" s="19" t="s">
        <v>105</v>
      </c>
      <c r="F1551" s="19" t="s">
        <v>106</v>
      </c>
      <c r="G1551" s="19" t="s">
        <v>32</v>
      </c>
      <c r="H1551" s="19" t="s">
        <v>101</v>
      </c>
      <c r="I1551" s="19" t="s">
        <v>102</v>
      </c>
      <c r="J1551" s="19">
        <v>38</v>
      </c>
      <c r="K1551" s="19">
        <v>4.3299999999999998E-2</v>
      </c>
      <c r="L1551" s="19" t="s">
        <v>35</v>
      </c>
      <c r="M1551" s="19" t="s">
        <v>103</v>
      </c>
      <c r="N1551" s="19">
        <v>0</v>
      </c>
      <c r="O1551" s="19">
        <v>0</v>
      </c>
      <c r="P1551" s="19">
        <v>0</v>
      </c>
      <c r="Q1551" s="19">
        <v>0</v>
      </c>
      <c r="R1551" s="19" t="s">
        <v>1075</v>
      </c>
      <c r="S1551" s="19">
        <v>1</v>
      </c>
      <c r="T1551" s="19">
        <v>1</v>
      </c>
      <c r="U1551" s="19">
        <v>0</v>
      </c>
      <c r="V1551" s="19" t="s">
        <v>36</v>
      </c>
      <c r="W1551" s="19">
        <v>0</v>
      </c>
      <c r="Y1551" s="19" t="s">
        <v>103</v>
      </c>
      <c r="Z1551" s="19">
        <v>50</v>
      </c>
      <c r="AA1551" s="19">
        <v>0</v>
      </c>
    </row>
    <row r="1552" spans="1:27" x14ac:dyDescent="0.25">
      <c r="A1552" s="19" t="s">
        <v>1785</v>
      </c>
      <c r="B1552" s="19" t="s">
        <v>1767</v>
      </c>
      <c r="C1552" s="19" t="s">
        <v>1768</v>
      </c>
      <c r="D1552" s="19">
        <v>0</v>
      </c>
      <c r="E1552" s="19" t="s">
        <v>108</v>
      </c>
      <c r="F1552" s="19" t="s">
        <v>109</v>
      </c>
      <c r="G1552" s="19" t="s">
        <v>32</v>
      </c>
      <c r="H1552" s="19" t="s">
        <v>101</v>
      </c>
      <c r="I1552" s="19" t="s">
        <v>102</v>
      </c>
      <c r="J1552" s="19">
        <v>37</v>
      </c>
      <c r="K1552" s="19">
        <v>4.3299999999999998E-2</v>
      </c>
      <c r="L1552" s="19" t="s">
        <v>35</v>
      </c>
      <c r="M1552" s="19" t="s">
        <v>110</v>
      </c>
      <c r="N1552" s="19">
        <v>0</v>
      </c>
      <c r="O1552" s="19">
        <v>0</v>
      </c>
      <c r="P1552" s="19">
        <v>0</v>
      </c>
      <c r="Q1552" s="19">
        <v>0</v>
      </c>
      <c r="R1552" s="19" t="s">
        <v>1075</v>
      </c>
      <c r="S1552" s="19">
        <v>1</v>
      </c>
      <c r="T1552" s="19">
        <v>1</v>
      </c>
      <c r="U1552" s="19">
        <v>0</v>
      </c>
      <c r="V1552" s="19" t="s">
        <v>80</v>
      </c>
      <c r="W1552" s="19">
        <v>0</v>
      </c>
      <c r="Y1552" s="19" t="s">
        <v>110</v>
      </c>
      <c r="Z1552" s="19">
        <v>16.664999999999999</v>
      </c>
      <c r="AA1552" s="19">
        <v>0</v>
      </c>
    </row>
    <row r="1553" spans="1:27" x14ac:dyDescent="0.25">
      <c r="A1553" s="19" t="s">
        <v>1786</v>
      </c>
      <c r="B1553" s="19" t="s">
        <v>1767</v>
      </c>
      <c r="C1553" s="19" t="s">
        <v>1768</v>
      </c>
      <c r="D1553" s="19">
        <v>0</v>
      </c>
      <c r="E1553" s="19" t="s">
        <v>112</v>
      </c>
      <c r="F1553" s="19" t="s">
        <v>113</v>
      </c>
      <c r="G1553" s="19" t="s">
        <v>32</v>
      </c>
      <c r="H1553" s="19" t="s">
        <v>114</v>
      </c>
      <c r="I1553" s="19" t="s">
        <v>115</v>
      </c>
      <c r="J1553" s="19">
        <v>30</v>
      </c>
      <c r="K1553" s="19">
        <v>2.1700000000000001E-2</v>
      </c>
      <c r="L1553" s="19" t="s">
        <v>35</v>
      </c>
      <c r="M1553" s="19" t="s">
        <v>103</v>
      </c>
      <c r="N1553" s="19">
        <v>0</v>
      </c>
      <c r="O1553" s="19">
        <v>0</v>
      </c>
      <c r="P1553" s="19">
        <v>0</v>
      </c>
      <c r="Q1553" s="19">
        <v>0</v>
      </c>
      <c r="R1553" s="19" t="s">
        <v>1075</v>
      </c>
      <c r="S1553" s="19">
        <v>1</v>
      </c>
      <c r="T1553" s="19">
        <v>1</v>
      </c>
      <c r="U1553" s="19">
        <v>0</v>
      </c>
      <c r="V1553" s="19" t="s">
        <v>36</v>
      </c>
      <c r="W1553" s="19">
        <v>0</v>
      </c>
      <c r="Y1553" s="19" t="s">
        <v>103</v>
      </c>
      <c r="Z1553" s="19">
        <v>50</v>
      </c>
      <c r="AA1553" s="19">
        <v>0</v>
      </c>
    </row>
    <row r="1554" spans="1:27" x14ac:dyDescent="0.25">
      <c r="A1554" s="19" t="s">
        <v>1800</v>
      </c>
      <c r="B1554" s="19" t="s">
        <v>1767</v>
      </c>
      <c r="C1554" s="19" t="s">
        <v>1768</v>
      </c>
      <c r="D1554" s="19">
        <v>0</v>
      </c>
      <c r="E1554" s="19" t="s">
        <v>117</v>
      </c>
      <c r="F1554" s="19" t="s">
        <v>118</v>
      </c>
      <c r="G1554" s="19" t="s">
        <v>32</v>
      </c>
      <c r="H1554" s="19" t="s">
        <v>114</v>
      </c>
      <c r="I1554" s="19" t="s">
        <v>115</v>
      </c>
      <c r="J1554" s="19">
        <v>31</v>
      </c>
      <c r="K1554" s="19">
        <v>2.1700000000000001E-2</v>
      </c>
      <c r="L1554" s="19" t="s">
        <v>35</v>
      </c>
      <c r="M1554" s="19" t="s">
        <v>103</v>
      </c>
      <c r="N1554" s="19">
        <v>0</v>
      </c>
      <c r="O1554" s="19">
        <v>0</v>
      </c>
      <c r="P1554" s="19">
        <v>0</v>
      </c>
      <c r="Q1554" s="19">
        <v>0</v>
      </c>
      <c r="R1554" s="19" t="s">
        <v>1075</v>
      </c>
      <c r="S1554" s="19">
        <v>1</v>
      </c>
      <c r="T1554" s="19">
        <v>1</v>
      </c>
      <c r="U1554" s="19">
        <v>0</v>
      </c>
      <c r="V1554" s="19" t="s">
        <v>36</v>
      </c>
      <c r="W1554" s="19">
        <v>0</v>
      </c>
      <c r="Y1554" s="19" t="s">
        <v>103</v>
      </c>
      <c r="Z1554" s="19">
        <v>50</v>
      </c>
      <c r="AA1554" s="19">
        <v>0</v>
      </c>
    </row>
    <row r="1555" spans="1:27" x14ac:dyDescent="0.25">
      <c r="A1555" s="19" t="s">
        <v>1801</v>
      </c>
      <c r="B1555" s="19" t="s">
        <v>1767</v>
      </c>
      <c r="C1555" s="19" t="s">
        <v>1768</v>
      </c>
      <c r="D1555" s="19">
        <v>1.085</v>
      </c>
      <c r="E1555" s="19" t="s">
        <v>120</v>
      </c>
      <c r="F1555" s="19" t="s">
        <v>121</v>
      </c>
      <c r="G1555" s="19" t="s">
        <v>32</v>
      </c>
      <c r="H1555" s="19" t="s">
        <v>114</v>
      </c>
      <c r="I1555" s="19" t="s">
        <v>115</v>
      </c>
      <c r="J1555" s="19">
        <v>28</v>
      </c>
      <c r="K1555" s="19">
        <v>2.1700000000000001E-2</v>
      </c>
      <c r="L1555" s="19" t="s">
        <v>35</v>
      </c>
      <c r="M1555" s="19" t="s">
        <v>103</v>
      </c>
      <c r="N1555" s="19">
        <v>50</v>
      </c>
      <c r="O1555" s="19">
        <v>50</v>
      </c>
      <c r="P1555" s="19">
        <v>0</v>
      </c>
      <c r="Q1555" s="19">
        <v>0</v>
      </c>
      <c r="R1555" s="19" t="s">
        <v>1075</v>
      </c>
      <c r="S1555" s="19">
        <v>1</v>
      </c>
      <c r="T1555" s="19">
        <v>1</v>
      </c>
      <c r="U1555" s="19">
        <v>0</v>
      </c>
      <c r="V1555" s="19" t="s">
        <v>41</v>
      </c>
      <c r="W1555" s="19">
        <v>1</v>
      </c>
      <c r="Y1555" s="19" t="s">
        <v>103</v>
      </c>
      <c r="Z1555" s="19">
        <v>50</v>
      </c>
      <c r="AA1555" s="19">
        <v>50</v>
      </c>
    </row>
    <row r="1556" spans="1:27" x14ac:dyDescent="0.25">
      <c r="A1556" s="19" t="s">
        <v>1802</v>
      </c>
      <c r="B1556" s="19" t="s">
        <v>1767</v>
      </c>
      <c r="C1556" s="19" t="s">
        <v>1768</v>
      </c>
      <c r="D1556" s="19">
        <v>0</v>
      </c>
      <c r="E1556" s="19" t="s">
        <v>123</v>
      </c>
      <c r="F1556" s="19" t="s">
        <v>124</v>
      </c>
      <c r="G1556" s="19" t="s">
        <v>32</v>
      </c>
      <c r="H1556" s="19" t="s">
        <v>114</v>
      </c>
      <c r="I1556" s="19" t="s">
        <v>115</v>
      </c>
      <c r="J1556" s="19">
        <v>27</v>
      </c>
      <c r="K1556" s="19">
        <v>2.1700000000000001E-2</v>
      </c>
      <c r="L1556" s="19" t="s">
        <v>35</v>
      </c>
      <c r="M1556" s="19" t="s">
        <v>103</v>
      </c>
      <c r="N1556" s="19">
        <v>0</v>
      </c>
      <c r="O1556" s="19">
        <v>0</v>
      </c>
      <c r="P1556" s="19">
        <v>0</v>
      </c>
      <c r="Q1556" s="19">
        <v>0</v>
      </c>
      <c r="R1556" s="19" t="s">
        <v>1075</v>
      </c>
      <c r="S1556" s="19">
        <v>1</v>
      </c>
      <c r="T1556" s="19">
        <v>1</v>
      </c>
      <c r="U1556" s="19">
        <v>0</v>
      </c>
      <c r="V1556" s="19" t="s">
        <v>36</v>
      </c>
      <c r="W1556" s="19">
        <v>0</v>
      </c>
      <c r="Y1556" s="19" t="s">
        <v>103</v>
      </c>
      <c r="Z1556" s="19">
        <v>50</v>
      </c>
      <c r="AA1556" s="19">
        <v>0</v>
      </c>
    </row>
    <row r="1557" spans="1:27" x14ac:dyDescent="0.25">
      <c r="A1557" s="19" t="s">
        <v>1787</v>
      </c>
      <c r="B1557" s="19" t="s">
        <v>1767</v>
      </c>
      <c r="C1557" s="19" t="s">
        <v>1768</v>
      </c>
      <c r="D1557" s="19">
        <v>0</v>
      </c>
      <c r="E1557" s="19" t="s">
        <v>126</v>
      </c>
      <c r="F1557" s="19" t="s">
        <v>127</v>
      </c>
      <c r="G1557" s="19" t="s">
        <v>32</v>
      </c>
      <c r="H1557" s="19" t="s">
        <v>114</v>
      </c>
      <c r="I1557" s="19" t="s">
        <v>115</v>
      </c>
      <c r="J1557" s="19">
        <v>29</v>
      </c>
      <c r="K1557" s="19">
        <v>2.1700000000000001E-2</v>
      </c>
      <c r="L1557" s="19" t="s">
        <v>35</v>
      </c>
      <c r="M1557" s="19" t="s">
        <v>103</v>
      </c>
      <c r="N1557" s="19">
        <v>0</v>
      </c>
      <c r="O1557" s="19">
        <v>0</v>
      </c>
      <c r="P1557" s="19">
        <v>0</v>
      </c>
      <c r="Q1557" s="19">
        <v>0</v>
      </c>
      <c r="R1557" s="19" t="s">
        <v>1075</v>
      </c>
      <c r="S1557" s="19">
        <v>1</v>
      </c>
      <c r="T1557" s="19">
        <v>1</v>
      </c>
      <c r="U1557" s="19">
        <v>0</v>
      </c>
      <c r="V1557" s="19" t="s">
        <v>36</v>
      </c>
      <c r="W1557" s="19">
        <v>0</v>
      </c>
      <c r="Y1557" s="19" t="s">
        <v>103</v>
      </c>
      <c r="Z1557" s="19">
        <v>50</v>
      </c>
      <c r="AA1557" s="19">
        <v>0</v>
      </c>
    </row>
    <row r="1558" spans="1:27" x14ac:dyDescent="0.25">
      <c r="A1558" s="19" t="s">
        <v>1803</v>
      </c>
      <c r="B1558" s="19" t="s">
        <v>1767</v>
      </c>
      <c r="C1558" s="19" t="s">
        <v>1768</v>
      </c>
      <c r="D1558" s="19">
        <v>1.085</v>
      </c>
      <c r="E1558" s="19" t="s">
        <v>129</v>
      </c>
      <c r="F1558" s="19" t="s">
        <v>130</v>
      </c>
      <c r="G1558" s="19" t="s">
        <v>32</v>
      </c>
      <c r="H1558" s="19" t="s">
        <v>114</v>
      </c>
      <c r="I1558" s="19" t="s">
        <v>115</v>
      </c>
      <c r="J1558" s="19">
        <v>32</v>
      </c>
      <c r="K1558" s="19">
        <v>2.1700000000000001E-2</v>
      </c>
      <c r="L1558" s="19" t="s">
        <v>35</v>
      </c>
      <c r="M1558" s="19" t="s">
        <v>103</v>
      </c>
      <c r="N1558" s="19">
        <v>50</v>
      </c>
      <c r="O1558" s="19">
        <v>50</v>
      </c>
      <c r="P1558" s="19">
        <v>0</v>
      </c>
      <c r="Q1558" s="19">
        <v>0</v>
      </c>
      <c r="R1558" s="19" t="s">
        <v>1075</v>
      </c>
      <c r="S1558" s="19">
        <v>1</v>
      </c>
      <c r="T1558" s="19">
        <v>1</v>
      </c>
      <c r="U1558" s="19">
        <v>0</v>
      </c>
      <c r="V1558" s="19" t="s">
        <v>41</v>
      </c>
      <c r="W1558" s="19">
        <v>1</v>
      </c>
      <c r="Y1558" s="19" t="s">
        <v>103</v>
      </c>
      <c r="Z1558" s="19">
        <v>50</v>
      </c>
      <c r="AA1558" s="19">
        <v>50</v>
      </c>
    </row>
    <row r="1559" spans="1:27" x14ac:dyDescent="0.25">
      <c r="A1559" s="19" t="s">
        <v>1804</v>
      </c>
      <c r="B1559" s="19" t="s">
        <v>1767</v>
      </c>
      <c r="C1559" s="19" t="s">
        <v>1768</v>
      </c>
      <c r="D1559" s="19">
        <v>2.2197779999999998</v>
      </c>
      <c r="E1559" s="19" t="s">
        <v>161</v>
      </c>
      <c r="F1559" s="19" t="s">
        <v>162</v>
      </c>
      <c r="G1559" s="19" t="s">
        <v>163</v>
      </c>
      <c r="I1559" s="19" t="s">
        <v>164</v>
      </c>
      <c r="J1559" s="19">
        <v>1</v>
      </c>
      <c r="K1559" s="19">
        <v>3.3300000000000003E-2</v>
      </c>
      <c r="L1559" s="19" t="s">
        <v>35</v>
      </c>
      <c r="M1559" s="19" t="s">
        <v>165</v>
      </c>
      <c r="N1559" s="19">
        <v>66.66</v>
      </c>
      <c r="O1559" s="19">
        <v>66.66</v>
      </c>
      <c r="P1559" s="19">
        <v>0</v>
      </c>
      <c r="Q1559" s="19">
        <v>0</v>
      </c>
      <c r="R1559" s="19" t="s">
        <v>1075</v>
      </c>
      <c r="S1559" s="19">
        <v>1</v>
      </c>
      <c r="T1559" s="19">
        <v>1</v>
      </c>
      <c r="U1559" s="19">
        <v>0</v>
      </c>
      <c r="W1559" s="19">
        <v>0</v>
      </c>
      <c r="X1559" s="19">
        <v>66.66</v>
      </c>
      <c r="Z1559" s="19">
        <v>0</v>
      </c>
      <c r="AA1559" s="19">
        <v>66.66</v>
      </c>
    </row>
    <row r="1560" spans="1:27" x14ac:dyDescent="0.25">
      <c r="A1560" s="19" t="s">
        <v>1805</v>
      </c>
      <c r="B1560" s="19" t="s">
        <v>1767</v>
      </c>
      <c r="C1560" s="19" t="s">
        <v>1768</v>
      </c>
      <c r="D1560" s="19">
        <v>2.2197779999999998</v>
      </c>
      <c r="E1560" s="19" t="s">
        <v>167</v>
      </c>
      <c r="F1560" s="19" t="s">
        <v>168</v>
      </c>
      <c r="G1560" s="19" t="s">
        <v>163</v>
      </c>
      <c r="I1560" s="19" t="s">
        <v>164</v>
      </c>
      <c r="J1560" s="19">
        <v>3</v>
      </c>
      <c r="K1560" s="19">
        <v>3.3300000000000003E-2</v>
      </c>
      <c r="L1560" s="19" t="s">
        <v>35</v>
      </c>
      <c r="M1560" s="19" t="s">
        <v>165</v>
      </c>
      <c r="N1560" s="19">
        <v>66.66</v>
      </c>
      <c r="O1560" s="19">
        <v>66.66</v>
      </c>
      <c r="P1560" s="19">
        <v>0</v>
      </c>
      <c r="Q1560" s="19">
        <v>0</v>
      </c>
      <c r="R1560" s="19" t="s">
        <v>1075</v>
      </c>
      <c r="S1560" s="19">
        <v>1</v>
      </c>
      <c r="T1560" s="19">
        <v>1</v>
      </c>
      <c r="U1560" s="19">
        <v>0</v>
      </c>
      <c r="W1560" s="19">
        <v>0</v>
      </c>
      <c r="X1560" s="19">
        <v>66.66</v>
      </c>
      <c r="Z1560" s="19">
        <v>0</v>
      </c>
      <c r="AA1560" s="19">
        <v>66.66</v>
      </c>
    </row>
    <row r="1561" spans="1:27" x14ac:dyDescent="0.25">
      <c r="A1561" s="19" t="s">
        <v>1806</v>
      </c>
      <c r="B1561" s="19" t="s">
        <v>1767</v>
      </c>
      <c r="C1561" s="19" t="s">
        <v>1768</v>
      </c>
      <c r="D1561" s="19">
        <v>2.5308000000000002</v>
      </c>
      <c r="E1561" s="19" t="s">
        <v>170</v>
      </c>
      <c r="F1561" s="19" t="s">
        <v>171</v>
      </c>
      <c r="G1561" s="19" t="s">
        <v>163</v>
      </c>
      <c r="I1561" s="19" t="s">
        <v>164</v>
      </c>
      <c r="J1561" s="19">
        <v>2</v>
      </c>
      <c r="K1561" s="19">
        <v>3.3300000000000003E-2</v>
      </c>
      <c r="L1561" s="19" t="s">
        <v>35</v>
      </c>
      <c r="M1561" s="19" t="s">
        <v>165</v>
      </c>
      <c r="N1561" s="19">
        <v>76</v>
      </c>
      <c r="O1561" s="19">
        <v>76</v>
      </c>
      <c r="P1561" s="19">
        <v>0</v>
      </c>
      <c r="Q1561" s="19">
        <v>0</v>
      </c>
      <c r="R1561" s="19" t="s">
        <v>1075</v>
      </c>
      <c r="S1561" s="19">
        <v>1</v>
      </c>
      <c r="T1561" s="19">
        <v>1</v>
      </c>
      <c r="U1561" s="19">
        <v>0</v>
      </c>
      <c r="W1561" s="19">
        <v>0</v>
      </c>
      <c r="X1561" s="19">
        <v>76</v>
      </c>
      <c r="Z1561" s="19">
        <v>0</v>
      </c>
      <c r="AA1561" s="19">
        <v>76</v>
      </c>
    </row>
    <row r="1562" spans="1:27" x14ac:dyDescent="0.25">
      <c r="A1562" s="19" t="s">
        <v>1807</v>
      </c>
      <c r="B1562" s="19" t="s">
        <v>1808</v>
      </c>
      <c r="C1562" s="19" t="s">
        <v>1809</v>
      </c>
      <c r="D1562" s="19">
        <v>0</v>
      </c>
      <c r="E1562" s="19" t="s">
        <v>30</v>
      </c>
      <c r="F1562" s="19" t="s">
        <v>31</v>
      </c>
      <c r="G1562" s="19" t="s">
        <v>32</v>
      </c>
      <c r="H1562" s="19" t="s">
        <v>33</v>
      </c>
      <c r="I1562" s="19" t="s">
        <v>34</v>
      </c>
      <c r="J1562" s="19">
        <v>17</v>
      </c>
      <c r="K1562" s="19">
        <v>1.6299999999999999E-2</v>
      </c>
      <c r="L1562" s="19" t="s">
        <v>35</v>
      </c>
      <c r="N1562" s="19">
        <v>0</v>
      </c>
      <c r="O1562" s="19">
        <v>0</v>
      </c>
      <c r="P1562" s="19">
        <v>0</v>
      </c>
      <c r="Q1562" s="19">
        <v>0</v>
      </c>
      <c r="S1562" s="19">
        <v>1</v>
      </c>
      <c r="T1562" s="19">
        <v>1</v>
      </c>
      <c r="U1562" s="19">
        <v>0</v>
      </c>
      <c r="V1562" s="19" t="s">
        <v>36</v>
      </c>
      <c r="W1562" s="19">
        <v>0</v>
      </c>
      <c r="Z1562" s="19">
        <v>0</v>
      </c>
      <c r="AA1562" s="19">
        <v>0</v>
      </c>
    </row>
    <row r="1563" spans="1:27" x14ac:dyDescent="0.25">
      <c r="A1563" s="19" t="s">
        <v>1810</v>
      </c>
      <c r="B1563" s="19" t="s">
        <v>1808</v>
      </c>
      <c r="C1563" s="19" t="s">
        <v>1809</v>
      </c>
      <c r="D1563" s="19">
        <v>0.54327899999999996</v>
      </c>
      <c r="E1563" s="19" t="s">
        <v>38</v>
      </c>
      <c r="F1563" s="19" t="s">
        <v>39</v>
      </c>
      <c r="G1563" s="19" t="s">
        <v>32</v>
      </c>
      <c r="H1563" s="19" t="s">
        <v>33</v>
      </c>
      <c r="I1563" s="19" t="s">
        <v>34</v>
      </c>
      <c r="J1563" s="19">
        <v>19</v>
      </c>
      <c r="K1563" s="19">
        <v>1.6299999999999999E-2</v>
      </c>
      <c r="L1563" s="19" t="s">
        <v>35</v>
      </c>
      <c r="M1563" s="19" t="s">
        <v>40</v>
      </c>
      <c r="N1563" s="19">
        <v>33.33</v>
      </c>
      <c r="O1563" s="19">
        <v>33.33</v>
      </c>
      <c r="P1563" s="19">
        <v>0</v>
      </c>
      <c r="Q1563" s="19">
        <v>0</v>
      </c>
      <c r="S1563" s="19">
        <v>1</v>
      </c>
      <c r="T1563" s="19">
        <v>1</v>
      </c>
      <c r="U1563" s="19">
        <v>0</v>
      </c>
      <c r="V1563" s="19" t="s">
        <v>41</v>
      </c>
      <c r="W1563" s="19">
        <v>1</v>
      </c>
      <c r="Y1563" s="19" t="s">
        <v>40</v>
      </c>
      <c r="Z1563" s="19">
        <v>33.33</v>
      </c>
      <c r="AA1563" s="19">
        <v>33.33</v>
      </c>
    </row>
    <row r="1564" spans="1:27" x14ac:dyDescent="0.25">
      <c r="A1564" s="19" t="s">
        <v>1811</v>
      </c>
      <c r="B1564" s="19" t="s">
        <v>1808</v>
      </c>
      <c r="C1564" s="19" t="s">
        <v>1809</v>
      </c>
      <c r="D1564" s="19">
        <v>0</v>
      </c>
      <c r="E1564" s="19" t="s">
        <v>43</v>
      </c>
      <c r="F1564" s="19" t="s">
        <v>44</v>
      </c>
      <c r="G1564" s="19" t="s">
        <v>32</v>
      </c>
      <c r="H1564" s="19" t="s">
        <v>33</v>
      </c>
      <c r="I1564" s="19" t="s">
        <v>34</v>
      </c>
      <c r="J1564" s="19">
        <v>18</v>
      </c>
      <c r="K1564" s="19">
        <v>1.6299999999999999E-2</v>
      </c>
      <c r="L1564" s="19" t="s">
        <v>35</v>
      </c>
      <c r="N1564" s="19">
        <v>0</v>
      </c>
      <c r="O1564" s="19">
        <v>0</v>
      </c>
      <c r="P1564" s="19">
        <v>0</v>
      </c>
      <c r="Q1564" s="19">
        <v>0</v>
      </c>
      <c r="S1564" s="19">
        <v>1</v>
      </c>
      <c r="T1564" s="19">
        <v>1</v>
      </c>
      <c r="U1564" s="19">
        <v>0</v>
      </c>
      <c r="V1564" s="19" t="s">
        <v>36</v>
      </c>
      <c r="W1564" s="19">
        <v>0</v>
      </c>
      <c r="Z1564" s="19">
        <v>0</v>
      </c>
      <c r="AA1564" s="19">
        <v>0</v>
      </c>
    </row>
    <row r="1565" spans="1:27" x14ac:dyDescent="0.25">
      <c r="A1565" s="19" t="s">
        <v>1812</v>
      </c>
      <c r="B1565" s="19" t="s">
        <v>1808</v>
      </c>
      <c r="C1565" s="19" t="s">
        <v>1809</v>
      </c>
      <c r="D1565" s="19">
        <v>0.54327899999999996</v>
      </c>
      <c r="E1565" s="19" t="s">
        <v>46</v>
      </c>
      <c r="F1565" s="19" t="s">
        <v>47</v>
      </c>
      <c r="G1565" s="19" t="s">
        <v>32</v>
      </c>
      <c r="H1565" s="19" t="s">
        <v>33</v>
      </c>
      <c r="I1565" s="19" t="s">
        <v>34</v>
      </c>
      <c r="J1565" s="19">
        <v>15</v>
      </c>
      <c r="K1565" s="19">
        <v>1.6299999999999999E-2</v>
      </c>
      <c r="L1565" s="19" t="s">
        <v>35</v>
      </c>
      <c r="M1565" s="19" t="s">
        <v>40</v>
      </c>
      <c r="N1565" s="19">
        <v>33.33</v>
      </c>
      <c r="O1565" s="19">
        <v>33.33</v>
      </c>
      <c r="P1565" s="19">
        <v>0</v>
      </c>
      <c r="Q1565" s="19">
        <v>0</v>
      </c>
      <c r="S1565" s="19">
        <v>1</v>
      </c>
      <c r="T1565" s="19">
        <v>1</v>
      </c>
      <c r="U1565" s="19">
        <v>0</v>
      </c>
      <c r="V1565" s="19" t="s">
        <v>41</v>
      </c>
      <c r="W1565" s="19">
        <v>1</v>
      </c>
      <c r="Y1565" s="19" t="s">
        <v>40</v>
      </c>
      <c r="Z1565" s="19">
        <v>33.33</v>
      </c>
      <c r="AA1565" s="19">
        <v>33.33</v>
      </c>
    </row>
    <row r="1566" spans="1:27" x14ac:dyDescent="0.25">
      <c r="A1566" s="19" t="s">
        <v>1813</v>
      </c>
      <c r="B1566" s="19" t="s">
        <v>1808</v>
      </c>
      <c r="C1566" s="19" t="s">
        <v>1809</v>
      </c>
      <c r="D1566" s="19">
        <v>0.54327899999999996</v>
      </c>
      <c r="E1566" s="19" t="s">
        <v>49</v>
      </c>
      <c r="F1566" s="19" t="s">
        <v>50</v>
      </c>
      <c r="G1566" s="19" t="s">
        <v>32</v>
      </c>
      <c r="H1566" s="19" t="s">
        <v>33</v>
      </c>
      <c r="I1566" s="19" t="s">
        <v>34</v>
      </c>
      <c r="J1566" s="19">
        <v>12</v>
      </c>
      <c r="K1566" s="19">
        <v>1.6299999999999999E-2</v>
      </c>
      <c r="L1566" s="19" t="s">
        <v>35</v>
      </c>
      <c r="M1566" s="19" t="s">
        <v>40</v>
      </c>
      <c r="N1566" s="19">
        <v>33.33</v>
      </c>
      <c r="O1566" s="19">
        <v>33.33</v>
      </c>
      <c r="P1566" s="19">
        <v>0</v>
      </c>
      <c r="Q1566" s="19">
        <v>0</v>
      </c>
      <c r="S1566" s="19">
        <v>1</v>
      </c>
      <c r="T1566" s="19">
        <v>1</v>
      </c>
      <c r="U1566" s="19">
        <v>0</v>
      </c>
      <c r="V1566" s="19" t="s">
        <v>41</v>
      </c>
      <c r="W1566" s="19">
        <v>1</v>
      </c>
      <c r="Y1566" s="19" t="s">
        <v>40</v>
      </c>
      <c r="Z1566" s="19">
        <v>33.33</v>
      </c>
      <c r="AA1566" s="19">
        <v>33.33</v>
      </c>
    </row>
    <row r="1567" spans="1:27" x14ac:dyDescent="0.25">
      <c r="A1567" s="19" t="s">
        <v>1814</v>
      </c>
      <c r="B1567" s="19" t="s">
        <v>1808</v>
      </c>
      <c r="C1567" s="19" t="s">
        <v>1809</v>
      </c>
      <c r="D1567" s="19">
        <v>0.54327899999999996</v>
      </c>
      <c r="E1567" s="19" t="s">
        <v>52</v>
      </c>
      <c r="F1567" s="19" t="s">
        <v>53</v>
      </c>
      <c r="G1567" s="19" t="s">
        <v>32</v>
      </c>
      <c r="H1567" s="19" t="s">
        <v>33</v>
      </c>
      <c r="I1567" s="19" t="s">
        <v>34</v>
      </c>
      <c r="J1567" s="19">
        <v>16</v>
      </c>
      <c r="K1567" s="19">
        <v>1.6299999999999999E-2</v>
      </c>
      <c r="L1567" s="19" t="s">
        <v>35</v>
      </c>
      <c r="M1567" s="19" t="s">
        <v>40</v>
      </c>
      <c r="N1567" s="19">
        <v>33.33</v>
      </c>
      <c r="O1567" s="19">
        <v>33.33</v>
      </c>
      <c r="P1567" s="19">
        <v>0</v>
      </c>
      <c r="Q1567" s="19">
        <v>0</v>
      </c>
      <c r="S1567" s="19">
        <v>1</v>
      </c>
      <c r="T1567" s="19">
        <v>1</v>
      </c>
      <c r="U1567" s="19">
        <v>0</v>
      </c>
      <c r="V1567" s="19" t="s">
        <v>41</v>
      </c>
      <c r="W1567" s="19">
        <v>1</v>
      </c>
      <c r="Y1567" s="19" t="s">
        <v>40</v>
      </c>
      <c r="Z1567" s="19">
        <v>33.33</v>
      </c>
      <c r="AA1567" s="19">
        <v>33.33</v>
      </c>
    </row>
    <row r="1568" spans="1:27" x14ac:dyDescent="0.25">
      <c r="A1568" s="19" t="s">
        <v>1815</v>
      </c>
      <c r="B1568" s="19" t="s">
        <v>1808</v>
      </c>
      <c r="C1568" s="19" t="s">
        <v>1809</v>
      </c>
      <c r="D1568" s="19">
        <v>0.54327899999999996</v>
      </c>
      <c r="E1568" s="19" t="s">
        <v>55</v>
      </c>
      <c r="F1568" s="19" t="s">
        <v>56</v>
      </c>
      <c r="G1568" s="19" t="s">
        <v>32</v>
      </c>
      <c r="H1568" s="19" t="s">
        <v>33</v>
      </c>
      <c r="I1568" s="19" t="s">
        <v>34</v>
      </c>
      <c r="J1568" s="19">
        <v>14</v>
      </c>
      <c r="K1568" s="19">
        <v>1.6299999999999999E-2</v>
      </c>
      <c r="L1568" s="19" t="s">
        <v>35</v>
      </c>
      <c r="M1568" s="19" t="s">
        <v>40</v>
      </c>
      <c r="N1568" s="19">
        <v>33.33</v>
      </c>
      <c r="O1568" s="19">
        <v>33.33</v>
      </c>
      <c r="P1568" s="19">
        <v>0</v>
      </c>
      <c r="Q1568" s="19">
        <v>0</v>
      </c>
      <c r="S1568" s="19">
        <v>1</v>
      </c>
      <c r="T1568" s="19">
        <v>1</v>
      </c>
      <c r="U1568" s="19">
        <v>0</v>
      </c>
      <c r="V1568" s="19" t="s">
        <v>41</v>
      </c>
      <c r="W1568" s="19">
        <v>1</v>
      </c>
      <c r="Y1568" s="19" t="s">
        <v>40</v>
      </c>
      <c r="Z1568" s="19">
        <v>33.33</v>
      </c>
      <c r="AA1568" s="19">
        <v>33.33</v>
      </c>
    </row>
    <row r="1569" spans="1:27" x14ac:dyDescent="0.25">
      <c r="A1569" s="19" t="s">
        <v>1816</v>
      </c>
      <c r="B1569" s="19" t="s">
        <v>1808</v>
      </c>
      <c r="C1569" s="19" t="s">
        <v>1809</v>
      </c>
      <c r="D1569" s="19">
        <v>0.54327899999999996</v>
      </c>
      <c r="E1569" s="19" t="s">
        <v>58</v>
      </c>
      <c r="F1569" s="19" t="s">
        <v>59</v>
      </c>
      <c r="G1569" s="19" t="s">
        <v>32</v>
      </c>
      <c r="H1569" s="19" t="s">
        <v>33</v>
      </c>
      <c r="I1569" s="19" t="s">
        <v>34</v>
      </c>
      <c r="J1569" s="19">
        <v>13</v>
      </c>
      <c r="K1569" s="19">
        <v>1.6299999999999999E-2</v>
      </c>
      <c r="L1569" s="19" t="s">
        <v>35</v>
      </c>
      <c r="M1569" s="19" t="s">
        <v>40</v>
      </c>
      <c r="N1569" s="19">
        <v>33.33</v>
      </c>
      <c r="O1569" s="19">
        <v>33.33</v>
      </c>
      <c r="P1569" s="19">
        <v>0</v>
      </c>
      <c r="Q1569" s="19">
        <v>0</v>
      </c>
      <c r="S1569" s="19">
        <v>1</v>
      </c>
      <c r="T1569" s="19">
        <v>1</v>
      </c>
      <c r="U1569" s="19">
        <v>0</v>
      </c>
      <c r="V1569" s="19" t="s">
        <v>41</v>
      </c>
      <c r="W1569" s="19">
        <v>1</v>
      </c>
      <c r="Y1569" s="19" t="s">
        <v>40</v>
      </c>
      <c r="Z1569" s="19">
        <v>33.33</v>
      </c>
      <c r="AA1569" s="19">
        <v>33.33</v>
      </c>
    </row>
    <row r="1570" spans="1:27" x14ac:dyDescent="0.25">
      <c r="A1570" s="19" t="s">
        <v>1817</v>
      </c>
      <c r="B1570" s="19" t="s">
        <v>1808</v>
      </c>
      <c r="C1570" s="19" t="s">
        <v>1809</v>
      </c>
      <c r="D1570" s="19">
        <v>0</v>
      </c>
      <c r="E1570" s="19" t="s">
        <v>61</v>
      </c>
      <c r="F1570" s="19" t="s">
        <v>62</v>
      </c>
      <c r="G1570" s="19" t="s">
        <v>32</v>
      </c>
      <c r="H1570" s="19" t="s">
        <v>63</v>
      </c>
      <c r="I1570" s="19" t="s">
        <v>64</v>
      </c>
      <c r="J1570" s="19">
        <v>22</v>
      </c>
      <c r="K1570" s="19">
        <v>1.8599999999999998E-2</v>
      </c>
      <c r="L1570" s="19" t="s">
        <v>35</v>
      </c>
      <c r="N1570" s="19">
        <v>0</v>
      </c>
      <c r="O1570" s="19">
        <v>0</v>
      </c>
      <c r="P1570" s="19">
        <v>0</v>
      </c>
      <c r="Q1570" s="19">
        <v>0</v>
      </c>
      <c r="S1570" s="19">
        <v>1</v>
      </c>
      <c r="T1570" s="19">
        <v>1</v>
      </c>
      <c r="U1570" s="19">
        <v>0</v>
      </c>
      <c r="V1570" s="19" t="s">
        <v>36</v>
      </c>
      <c r="W1570" s="19">
        <v>0</v>
      </c>
      <c r="Z1570" s="19">
        <v>0</v>
      </c>
      <c r="AA1570" s="19">
        <v>0</v>
      </c>
    </row>
    <row r="1571" spans="1:27" x14ac:dyDescent="0.25">
      <c r="A1571" s="19" t="s">
        <v>1818</v>
      </c>
      <c r="B1571" s="19" t="s">
        <v>1808</v>
      </c>
      <c r="C1571" s="19" t="s">
        <v>1809</v>
      </c>
      <c r="D1571" s="19">
        <v>0.61993799999999899</v>
      </c>
      <c r="E1571" s="19" t="s">
        <v>66</v>
      </c>
      <c r="F1571" s="19" t="s">
        <v>67</v>
      </c>
      <c r="G1571" s="19" t="s">
        <v>32</v>
      </c>
      <c r="H1571" s="19" t="s">
        <v>63</v>
      </c>
      <c r="I1571" s="19" t="s">
        <v>64</v>
      </c>
      <c r="J1571" s="19">
        <v>20</v>
      </c>
      <c r="K1571" s="19">
        <v>1.8599999999999998E-2</v>
      </c>
      <c r="L1571" s="19" t="s">
        <v>35</v>
      </c>
      <c r="M1571" s="19" t="s">
        <v>40</v>
      </c>
      <c r="N1571" s="19">
        <v>33.33</v>
      </c>
      <c r="O1571" s="19">
        <v>33.33</v>
      </c>
      <c r="P1571" s="19">
        <v>0</v>
      </c>
      <c r="Q1571" s="19">
        <v>0</v>
      </c>
      <c r="S1571" s="19">
        <v>1</v>
      </c>
      <c r="T1571" s="19">
        <v>1</v>
      </c>
      <c r="U1571" s="19">
        <v>0</v>
      </c>
      <c r="V1571" s="19" t="s">
        <v>41</v>
      </c>
      <c r="W1571" s="19">
        <v>1</v>
      </c>
      <c r="Y1571" s="19" t="s">
        <v>40</v>
      </c>
      <c r="Z1571" s="19">
        <v>33.33</v>
      </c>
      <c r="AA1571" s="19">
        <v>33.33</v>
      </c>
    </row>
    <row r="1572" spans="1:27" x14ac:dyDescent="0.25">
      <c r="A1572" s="19" t="s">
        <v>1819</v>
      </c>
      <c r="B1572" s="19" t="s">
        <v>1808</v>
      </c>
      <c r="C1572" s="19" t="s">
        <v>1809</v>
      </c>
      <c r="D1572" s="19">
        <v>0</v>
      </c>
      <c r="E1572" s="19" t="s">
        <v>69</v>
      </c>
      <c r="F1572" s="19" t="s">
        <v>70</v>
      </c>
      <c r="G1572" s="19" t="s">
        <v>32</v>
      </c>
      <c r="H1572" s="19" t="s">
        <v>63</v>
      </c>
      <c r="I1572" s="19" t="s">
        <v>64</v>
      </c>
      <c r="J1572" s="19">
        <v>23</v>
      </c>
      <c r="K1572" s="19">
        <v>1.8599999999999998E-2</v>
      </c>
      <c r="L1572" s="19" t="s">
        <v>35</v>
      </c>
      <c r="N1572" s="19">
        <v>0</v>
      </c>
      <c r="O1572" s="19">
        <v>0</v>
      </c>
      <c r="P1572" s="19">
        <v>0</v>
      </c>
      <c r="Q1572" s="19">
        <v>0</v>
      </c>
      <c r="S1572" s="19">
        <v>1</v>
      </c>
      <c r="T1572" s="19">
        <v>1</v>
      </c>
      <c r="U1572" s="19">
        <v>0</v>
      </c>
      <c r="V1572" s="19" t="s">
        <v>36</v>
      </c>
      <c r="W1572" s="19">
        <v>0</v>
      </c>
      <c r="Z1572" s="19">
        <v>0</v>
      </c>
      <c r="AA1572" s="19">
        <v>0</v>
      </c>
    </row>
    <row r="1573" spans="1:27" x14ac:dyDescent="0.25">
      <c r="A1573" s="19" t="s">
        <v>1820</v>
      </c>
      <c r="B1573" s="19" t="s">
        <v>1808</v>
      </c>
      <c r="C1573" s="19" t="s">
        <v>1809</v>
      </c>
      <c r="D1573" s="19">
        <v>0</v>
      </c>
      <c r="E1573" s="19" t="s">
        <v>72</v>
      </c>
      <c r="F1573" s="19" t="s">
        <v>73</v>
      </c>
      <c r="G1573" s="19" t="s">
        <v>32</v>
      </c>
      <c r="H1573" s="19" t="s">
        <v>63</v>
      </c>
      <c r="I1573" s="19" t="s">
        <v>64</v>
      </c>
      <c r="J1573" s="19">
        <v>21</v>
      </c>
      <c r="K1573" s="19">
        <v>1.8599999999999998E-2</v>
      </c>
      <c r="L1573" s="19" t="s">
        <v>35</v>
      </c>
      <c r="M1573" s="19" t="s">
        <v>110</v>
      </c>
      <c r="N1573" s="19">
        <v>0</v>
      </c>
      <c r="O1573" s="19">
        <v>0</v>
      </c>
      <c r="P1573" s="19">
        <v>0</v>
      </c>
      <c r="Q1573" s="19">
        <v>0</v>
      </c>
      <c r="S1573" s="19">
        <v>1</v>
      </c>
      <c r="T1573" s="19">
        <v>1</v>
      </c>
      <c r="U1573" s="19">
        <v>0</v>
      </c>
      <c r="V1573" s="19" t="s">
        <v>36</v>
      </c>
      <c r="W1573" s="19">
        <v>0</v>
      </c>
      <c r="Y1573" s="19" t="s">
        <v>110</v>
      </c>
      <c r="Z1573" s="19">
        <v>16.664999999999999</v>
      </c>
      <c r="AA1573" s="19">
        <v>0</v>
      </c>
    </row>
    <row r="1574" spans="1:27" x14ac:dyDescent="0.25">
      <c r="A1574" s="19" t="s">
        <v>1821</v>
      </c>
      <c r="B1574" s="19" t="s">
        <v>1808</v>
      </c>
      <c r="C1574" s="19" t="s">
        <v>1809</v>
      </c>
      <c r="D1574" s="19">
        <v>0.61993799999999899</v>
      </c>
      <c r="E1574" s="19" t="s">
        <v>75</v>
      </c>
      <c r="F1574" s="19" t="s">
        <v>76</v>
      </c>
      <c r="G1574" s="19" t="s">
        <v>32</v>
      </c>
      <c r="H1574" s="19" t="s">
        <v>63</v>
      </c>
      <c r="I1574" s="19" t="s">
        <v>64</v>
      </c>
      <c r="J1574" s="19">
        <v>24</v>
      </c>
      <c r="K1574" s="19">
        <v>1.8599999999999998E-2</v>
      </c>
      <c r="L1574" s="19" t="s">
        <v>35</v>
      </c>
      <c r="M1574" s="19" t="s">
        <v>40</v>
      </c>
      <c r="N1574" s="19">
        <v>33.33</v>
      </c>
      <c r="O1574" s="19">
        <v>33.33</v>
      </c>
      <c r="P1574" s="19">
        <v>0</v>
      </c>
      <c r="Q1574" s="19">
        <v>0</v>
      </c>
      <c r="S1574" s="19">
        <v>1</v>
      </c>
      <c r="T1574" s="19">
        <v>1</v>
      </c>
      <c r="U1574" s="19">
        <v>0</v>
      </c>
      <c r="V1574" s="19" t="s">
        <v>41</v>
      </c>
      <c r="W1574" s="19">
        <v>1</v>
      </c>
      <c r="Y1574" s="19" t="s">
        <v>40</v>
      </c>
      <c r="Z1574" s="19">
        <v>33.33</v>
      </c>
      <c r="AA1574" s="19">
        <v>33.33</v>
      </c>
    </row>
    <row r="1575" spans="1:27" x14ac:dyDescent="0.25">
      <c r="A1575" s="19" t="s">
        <v>1822</v>
      </c>
      <c r="B1575" s="19" t="s">
        <v>1808</v>
      </c>
      <c r="C1575" s="19" t="s">
        <v>1809</v>
      </c>
      <c r="D1575" s="19">
        <v>0</v>
      </c>
      <c r="E1575" s="19" t="s">
        <v>78</v>
      </c>
      <c r="F1575" s="19" t="s">
        <v>79</v>
      </c>
      <c r="G1575" s="19" t="s">
        <v>32</v>
      </c>
      <c r="H1575" s="19" t="s">
        <v>63</v>
      </c>
      <c r="I1575" s="19" t="s">
        <v>64</v>
      </c>
      <c r="J1575" s="19">
        <v>25</v>
      </c>
      <c r="K1575" s="19">
        <v>1.8599999999999998E-2</v>
      </c>
      <c r="L1575" s="19" t="s">
        <v>35</v>
      </c>
      <c r="M1575" s="19" t="s">
        <v>40</v>
      </c>
      <c r="N1575" s="19">
        <v>0</v>
      </c>
      <c r="O1575" s="19">
        <v>0</v>
      </c>
      <c r="P1575" s="19">
        <v>0</v>
      </c>
      <c r="Q1575" s="19">
        <v>0</v>
      </c>
      <c r="S1575" s="19">
        <v>1</v>
      </c>
      <c r="T1575" s="19">
        <v>1</v>
      </c>
      <c r="U1575" s="19">
        <v>0</v>
      </c>
      <c r="V1575" s="19" t="s">
        <v>80</v>
      </c>
      <c r="W1575" s="19">
        <v>0</v>
      </c>
      <c r="Y1575" s="19" t="s">
        <v>40</v>
      </c>
      <c r="Z1575" s="19">
        <v>33.33</v>
      </c>
      <c r="AA1575" s="19">
        <v>0</v>
      </c>
    </row>
    <row r="1576" spans="1:27" x14ac:dyDescent="0.25">
      <c r="A1576" s="19" t="s">
        <v>1823</v>
      </c>
      <c r="B1576" s="19" t="s">
        <v>1808</v>
      </c>
      <c r="C1576" s="19" t="s">
        <v>1809</v>
      </c>
      <c r="D1576" s="19">
        <v>0</v>
      </c>
      <c r="E1576" s="19" t="s">
        <v>82</v>
      </c>
      <c r="F1576" s="19" t="s">
        <v>83</v>
      </c>
      <c r="G1576" s="19" t="s">
        <v>32</v>
      </c>
      <c r="H1576" s="19" t="s">
        <v>63</v>
      </c>
      <c r="I1576" s="19" t="s">
        <v>64</v>
      </c>
      <c r="J1576" s="19">
        <v>26</v>
      </c>
      <c r="K1576" s="19">
        <v>1.8599999999999998E-2</v>
      </c>
      <c r="L1576" s="19" t="s">
        <v>35</v>
      </c>
      <c r="N1576" s="19">
        <v>0</v>
      </c>
      <c r="O1576" s="19">
        <v>0</v>
      </c>
      <c r="P1576" s="19">
        <v>0</v>
      </c>
      <c r="Q1576" s="19">
        <v>0</v>
      </c>
      <c r="S1576" s="19">
        <v>1</v>
      </c>
      <c r="T1576" s="19">
        <v>1</v>
      </c>
      <c r="U1576" s="19">
        <v>0</v>
      </c>
      <c r="V1576" s="19" t="s">
        <v>36</v>
      </c>
      <c r="W1576" s="19">
        <v>0</v>
      </c>
      <c r="Z1576" s="19">
        <v>0</v>
      </c>
      <c r="AA1576" s="19">
        <v>0</v>
      </c>
    </row>
    <row r="1577" spans="1:27" x14ac:dyDescent="0.25">
      <c r="A1577" s="19" t="s">
        <v>1824</v>
      </c>
      <c r="B1577" s="19" t="s">
        <v>1808</v>
      </c>
      <c r="C1577" s="19" t="s">
        <v>1809</v>
      </c>
      <c r="D1577" s="19">
        <v>0</v>
      </c>
      <c r="E1577" s="19" t="s">
        <v>85</v>
      </c>
      <c r="F1577" s="19" t="s">
        <v>86</v>
      </c>
      <c r="G1577" s="19" t="s">
        <v>32</v>
      </c>
      <c r="H1577" s="19" t="s">
        <v>87</v>
      </c>
      <c r="I1577" s="19" t="s">
        <v>88</v>
      </c>
      <c r="J1577" s="19">
        <v>35</v>
      </c>
      <c r="K1577" s="19">
        <v>3.2500000000000001E-2</v>
      </c>
      <c r="L1577" s="19" t="s">
        <v>35</v>
      </c>
      <c r="N1577" s="19">
        <v>0</v>
      </c>
      <c r="O1577" s="19">
        <v>0</v>
      </c>
      <c r="P1577" s="19">
        <v>0</v>
      </c>
      <c r="Q1577" s="19">
        <v>0</v>
      </c>
      <c r="S1577" s="19">
        <v>1</v>
      </c>
      <c r="T1577" s="19">
        <v>1</v>
      </c>
      <c r="U1577" s="19">
        <v>0</v>
      </c>
      <c r="V1577" s="19" t="s">
        <v>36</v>
      </c>
      <c r="W1577" s="19">
        <v>0</v>
      </c>
      <c r="Z1577" s="19">
        <v>0</v>
      </c>
      <c r="AA1577" s="19">
        <v>0</v>
      </c>
    </row>
    <row r="1578" spans="1:27" x14ac:dyDescent="0.25">
      <c r="A1578" s="19" t="s">
        <v>1825</v>
      </c>
      <c r="B1578" s="19" t="s">
        <v>1808</v>
      </c>
      <c r="C1578" s="19" t="s">
        <v>1809</v>
      </c>
      <c r="D1578" s="19">
        <v>0</v>
      </c>
      <c r="E1578" s="19" t="s">
        <v>90</v>
      </c>
      <c r="F1578" s="19" t="s">
        <v>91</v>
      </c>
      <c r="G1578" s="19" t="s">
        <v>32</v>
      </c>
      <c r="H1578" s="19" t="s">
        <v>87</v>
      </c>
      <c r="I1578" s="19" t="s">
        <v>88</v>
      </c>
      <c r="J1578" s="19">
        <v>33</v>
      </c>
      <c r="K1578" s="19">
        <v>3.2500000000000001E-2</v>
      </c>
      <c r="L1578" s="19" t="s">
        <v>35</v>
      </c>
      <c r="N1578" s="19">
        <v>0</v>
      </c>
      <c r="O1578" s="19">
        <v>0</v>
      </c>
      <c r="P1578" s="19">
        <v>0</v>
      </c>
      <c r="Q1578" s="19">
        <v>0</v>
      </c>
      <c r="S1578" s="19">
        <v>1</v>
      </c>
      <c r="T1578" s="19">
        <v>1</v>
      </c>
      <c r="U1578" s="19">
        <v>0</v>
      </c>
      <c r="V1578" s="19" t="s">
        <v>36</v>
      </c>
      <c r="W1578" s="19">
        <v>0</v>
      </c>
      <c r="Z1578" s="19">
        <v>0</v>
      </c>
      <c r="AA1578" s="19">
        <v>0</v>
      </c>
    </row>
    <row r="1579" spans="1:27" x14ac:dyDescent="0.25">
      <c r="A1579" s="19" t="s">
        <v>1826</v>
      </c>
      <c r="B1579" s="19" t="s">
        <v>1808</v>
      </c>
      <c r="C1579" s="19" t="s">
        <v>1809</v>
      </c>
      <c r="D1579" s="19">
        <v>1.0832249999999899</v>
      </c>
      <c r="E1579" s="19" t="s">
        <v>93</v>
      </c>
      <c r="F1579" s="19" t="s">
        <v>94</v>
      </c>
      <c r="G1579" s="19" t="s">
        <v>32</v>
      </c>
      <c r="H1579" s="19" t="s">
        <v>87</v>
      </c>
      <c r="I1579" s="19" t="s">
        <v>88</v>
      </c>
      <c r="J1579" s="19">
        <v>34</v>
      </c>
      <c r="K1579" s="19">
        <v>3.2500000000000001E-2</v>
      </c>
      <c r="L1579" s="19" t="s">
        <v>35</v>
      </c>
      <c r="M1579" s="19" t="s">
        <v>40</v>
      </c>
      <c r="N1579" s="19">
        <v>33.33</v>
      </c>
      <c r="O1579" s="19">
        <v>33.33</v>
      </c>
      <c r="P1579" s="19">
        <v>0</v>
      </c>
      <c r="Q1579" s="19">
        <v>0</v>
      </c>
      <c r="S1579" s="19">
        <v>1</v>
      </c>
      <c r="T1579" s="19">
        <v>1</v>
      </c>
      <c r="U1579" s="19">
        <v>0</v>
      </c>
      <c r="V1579" s="19" t="s">
        <v>41</v>
      </c>
      <c r="W1579" s="19">
        <v>1</v>
      </c>
      <c r="Y1579" s="19" t="s">
        <v>40</v>
      </c>
      <c r="Z1579" s="19">
        <v>33.33</v>
      </c>
      <c r="AA1579" s="19">
        <v>33.33</v>
      </c>
    </row>
    <row r="1580" spans="1:27" x14ac:dyDescent="0.25">
      <c r="A1580" s="19" t="s">
        <v>1827</v>
      </c>
      <c r="B1580" s="19" t="s">
        <v>1808</v>
      </c>
      <c r="C1580" s="19" t="s">
        <v>1809</v>
      </c>
      <c r="D1580" s="19">
        <v>0</v>
      </c>
      <c r="E1580" s="19" t="s">
        <v>96</v>
      </c>
      <c r="F1580" s="19" t="s">
        <v>97</v>
      </c>
      <c r="G1580" s="19" t="s">
        <v>32</v>
      </c>
      <c r="H1580" s="19" t="s">
        <v>87</v>
      </c>
      <c r="I1580" s="19" t="s">
        <v>88</v>
      </c>
      <c r="J1580" s="19">
        <v>36</v>
      </c>
      <c r="K1580" s="19">
        <v>3.2500000000000001E-2</v>
      </c>
      <c r="L1580" s="19" t="s">
        <v>35</v>
      </c>
      <c r="N1580" s="19">
        <v>0</v>
      </c>
      <c r="O1580" s="19">
        <v>0</v>
      </c>
      <c r="P1580" s="19">
        <v>0</v>
      </c>
      <c r="Q1580" s="19">
        <v>0</v>
      </c>
      <c r="S1580" s="19">
        <v>1</v>
      </c>
      <c r="T1580" s="19">
        <v>1</v>
      </c>
      <c r="U1580" s="19">
        <v>0</v>
      </c>
      <c r="V1580" s="19" t="s">
        <v>36</v>
      </c>
      <c r="W1580" s="19">
        <v>0</v>
      </c>
      <c r="Z1580" s="19">
        <v>0</v>
      </c>
      <c r="AA1580" s="19">
        <v>0</v>
      </c>
    </row>
    <row r="1581" spans="1:27" x14ac:dyDescent="0.25">
      <c r="A1581" s="19" t="s">
        <v>1828</v>
      </c>
      <c r="B1581" s="19" t="s">
        <v>1808</v>
      </c>
      <c r="C1581" s="19" t="s">
        <v>1809</v>
      </c>
      <c r="D1581" s="19">
        <v>0</v>
      </c>
      <c r="E1581" s="19" t="s">
        <v>99</v>
      </c>
      <c r="F1581" s="19" t="s">
        <v>100</v>
      </c>
      <c r="G1581" s="19" t="s">
        <v>32</v>
      </c>
      <c r="H1581" s="19" t="s">
        <v>101</v>
      </c>
      <c r="I1581" s="19" t="s">
        <v>102</v>
      </c>
      <c r="J1581" s="19">
        <v>39</v>
      </c>
      <c r="K1581" s="19">
        <v>4.3299999999999998E-2</v>
      </c>
      <c r="L1581" s="19" t="s">
        <v>35</v>
      </c>
      <c r="M1581" s="19" t="s">
        <v>103</v>
      </c>
      <c r="N1581" s="19">
        <v>0</v>
      </c>
      <c r="O1581" s="19">
        <v>0</v>
      </c>
      <c r="P1581" s="19">
        <v>0</v>
      </c>
      <c r="Q1581" s="19">
        <v>0</v>
      </c>
      <c r="S1581" s="19">
        <v>1</v>
      </c>
      <c r="T1581" s="19">
        <v>1</v>
      </c>
      <c r="U1581" s="19">
        <v>0</v>
      </c>
      <c r="V1581" s="19" t="s">
        <v>36</v>
      </c>
      <c r="W1581" s="19">
        <v>0</v>
      </c>
      <c r="Y1581" s="19" t="s">
        <v>103</v>
      </c>
      <c r="Z1581" s="19">
        <v>50</v>
      </c>
      <c r="AA1581" s="19">
        <v>0</v>
      </c>
    </row>
    <row r="1582" spans="1:27" x14ac:dyDescent="0.25">
      <c r="A1582" s="19" t="s">
        <v>1829</v>
      </c>
      <c r="B1582" s="19" t="s">
        <v>1808</v>
      </c>
      <c r="C1582" s="19" t="s">
        <v>1809</v>
      </c>
      <c r="D1582" s="19">
        <v>0</v>
      </c>
      <c r="E1582" s="19" t="s">
        <v>105</v>
      </c>
      <c r="F1582" s="19" t="s">
        <v>106</v>
      </c>
      <c r="G1582" s="19" t="s">
        <v>32</v>
      </c>
      <c r="H1582" s="19" t="s">
        <v>101</v>
      </c>
      <c r="I1582" s="19" t="s">
        <v>102</v>
      </c>
      <c r="J1582" s="19">
        <v>38</v>
      </c>
      <c r="K1582" s="19">
        <v>4.3299999999999998E-2</v>
      </c>
      <c r="L1582" s="19" t="s">
        <v>35</v>
      </c>
      <c r="M1582" s="19" t="s">
        <v>103</v>
      </c>
      <c r="N1582" s="19">
        <v>0</v>
      </c>
      <c r="O1582" s="19">
        <v>0</v>
      </c>
      <c r="P1582" s="19">
        <v>0</v>
      </c>
      <c r="Q1582" s="19">
        <v>0</v>
      </c>
      <c r="S1582" s="19">
        <v>1</v>
      </c>
      <c r="T1582" s="19">
        <v>1</v>
      </c>
      <c r="U1582" s="19">
        <v>0</v>
      </c>
      <c r="V1582" s="19" t="s">
        <v>36</v>
      </c>
      <c r="W1582" s="19">
        <v>0</v>
      </c>
      <c r="Y1582" s="19" t="s">
        <v>103</v>
      </c>
      <c r="Z1582" s="19">
        <v>50</v>
      </c>
      <c r="AA1582" s="19">
        <v>0</v>
      </c>
    </row>
    <row r="1583" spans="1:27" x14ac:dyDescent="0.25">
      <c r="A1583" s="19" t="s">
        <v>1830</v>
      </c>
      <c r="B1583" s="19" t="s">
        <v>1808</v>
      </c>
      <c r="C1583" s="19" t="s">
        <v>1809</v>
      </c>
      <c r="D1583" s="19">
        <v>0</v>
      </c>
      <c r="E1583" s="19" t="s">
        <v>108</v>
      </c>
      <c r="F1583" s="19" t="s">
        <v>109</v>
      </c>
      <c r="G1583" s="19" t="s">
        <v>32</v>
      </c>
      <c r="H1583" s="19" t="s">
        <v>101</v>
      </c>
      <c r="I1583" s="19" t="s">
        <v>102</v>
      </c>
      <c r="J1583" s="19">
        <v>37</v>
      </c>
      <c r="K1583" s="19">
        <v>4.3299999999999998E-2</v>
      </c>
      <c r="L1583" s="19" t="s">
        <v>35</v>
      </c>
      <c r="N1583" s="19">
        <v>0</v>
      </c>
      <c r="O1583" s="19">
        <v>0</v>
      </c>
      <c r="P1583" s="19">
        <v>0</v>
      </c>
      <c r="Q1583" s="19">
        <v>0</v>
      </c>
      <c r="S1583" s="19">
        <v>1</v>
      </c>
      <c r="T1583" s="19">
        <v>1</v>
      </c>
      <c r="U1583" s="19">
        <v>0</v>
      </c>
      <c r="V1583" s="19" t="s">
        <v>36</v>
      </c>
      <c r="W1583" s="19">
        <v>0</v>
      </c>
      <c r="Z1583" s="19">
        <v>0</v>
      </c>
      <c r="AA1583" s="19">
        <v>0</v>
      </c>
    </row>
    <row r="1584" spans="1:27" x14ac:dyDescent="0.25">
      <c r="A1584" s="19" t="s">
        <v>1831</v>
      </c>
      <c r="B1584" s="19" t="s">
        <v>1808</v>
      </c>
      <c r="C1584" s="19" t="s">
        <v>1809</v>
      </c>
      <c r="D1584" s="19">
        <v>0</v>
      </c>
      <c r="E1584" s="19" t="s">
        <v>112</v>
      </c>
      <c r="F1584" s="19" t="s">
        <v>113</v>
      </c>
      <c r="G1584" s="19" t="s">
        <v>32</v>
      </c>
      <c r="H1584" s="19" t="s">
        <v>114</v>
      </c>
      <c r="I1584" s="19" t="s">
        <v>115</v>
      </c>
      <c r="J1584" s="19">
        <v>30</v>
      </c>
      <c r="K1584" s="19">
        <v>2.1700000000000001E-2</v>
      </c>
      <c r="L1584" s="19" t="s">
        <v>35</v>
      </c>
      <c r="M1584" s="19" t="s">
        <v>103</v>
      </c>
      <c r="N1584" s="19">
        <v>0</v>
      </c>
      <c r="O1584" s="19">
        <v>0</v>
      </c>
      <c r="P1584" s="19">
        <v>0</v>
      </c>
      <c r="Q1584" s="19">
        <v>0</v>
      </c>
      <c r="S1584" s="19">
        <v>1</v>
      </c>
      <c r="T1584" s="19">
        <v>1</v>
      </c>
      <c r="U1584" s="19">
        <v>0</v>
      </c>
      <c r="V1584" s="19" t="s">
        <v>36</v>
      </c>
      <c r="W1584" s="19">
        <v>0</v>
      </c>
      <c r="Y1584" s="19" t="s">
        <v>103</v>
      </c>
      <c r="Z1584" s="19">
        <v>50</v>
      </c>
      <c r="AA1584" s="19">
        <v>0</v>
      </c>
    </row>
    <row r="1585" spans="1:27" x14ac:dyDescent="0.25">
      <c r="A1585" s="19" t="s">
        <v>1832</v>
      </c>
      <c r="B1585" s="19" t="s">
        <v>1808</v>
      </c>
      <c r="C1585" s="19" t="s">
        <v>1809</v>
      </c>
      <c r="D1585" s="19">
        <v>1.085</v>
      </c>
      <c r="E1585" s="19" t="s">
        <v>117</v>
      </c>
      <c r="F1585" s="19" t="s">
        <v>118</v>
      </c>
      <c r="G1585" s="19" t="s">
        <v>32</v>
      </c>
      <c r="H1585" s="19" t="s">
        <v>114</v>
      </c>
      <c r="I1585" s="19" t="s">
        <v>115</v>
      </c>
      <c r="J1585" s="19">
        <v>31</v>
      </c>
      <c r="K1585" s="19">
        <v>2.1700000000000001E-2</v>
      </c>
      <c r="L1585" s="19" t="s">
        <v>35</v>
      </c>
      <c r="M1585" s="19" t="s">
        <v>103</v>
      </c>
      <c r="N1585" s="19">
        <v>50</v>
      </c>
      <c r="O1585" s="19">
        <v>50</v>
      </c>
      <c r="P1585" s="19">
        <v>0</v>
      </c>
      <c r="Q1585" s="19">
        <v>0</v>
      </c>
      <c r="S1585" s="19">
        <v>1</v>
      </c>
      <c r="T1585" s="19">
        <v>1</v>
      </c>
      <c r="U1585" s="19">
        <v>0</v>
      </c>
      <c r="V1585" s="19" t="s">
        <v>41</v>
      </c>
      <c r="W1585" s="19">
        <v>1</v>
      </c>
      <c r="Y1585" s="19" t="s">
        <v>103</v>
      </c>
      <c r="Z1585" s="19">
        <v>50</v>
      </c>
      <c r="AA1585" s="19">
        <v>50</v>
      </c>
    </row>
    <row r="1586" spans="1:27" x14ac:dyDescent="0.25">
      <c r="A1586" s="19" t="s">
        <v>1833</v>
      </c>
      <c r="B1586" s="19" t="s">
        <v>1808</v>
      </c>
      <c r="C1586" s="19" t="s">
        <v>1809</v>
      </c>
      <c r="D1586" s="19">
        <v>1.085</v>
      </c>
      <c r="E1586" s="19" t="s">
        <v>120</v>
      </c>
      <c r="F1586" s="19" t="s">
        <v>121</v>
      </c>
      <c r="G1586" s="19" t="s">
        <v>32</v>
      </c>
      <c r="H1586" s="19" t="s">
        <v>114</v>
      </c>
      <c r="I1586" s="19" t="s">
        <v>115</v>
      </c>
      <c r="J1586" s="19">
        <v>28</v>
      </c>
      <c r="K1586" s="19">
        <v>2.1700000000000001E-2</v>
      </c>
      <c r="L1586" s="19" t="s">
        <v>35</v>
      </c>
      <c r="M1586" s="19" t="s">
        <v>103</v>
      </c>
      <c r="N1586" s="19">
        <v>50</v>
      </c>
      <c r="O1586" s="19">
        <v>50</v>
      </c>
      <c r="P1586" s="19">
        <v>0</v>
      </c>
      <c r="Q1586" s="19">
        <v>0</v>
      </c>
      <c r="S1586" s="19">
        <v>1</v>
      </c>
      <c r="T1586" s="19">
        <v>1</v>
      </c>
      <c r="U1586" s="19">
        <v>0</v>
      </c>
      <c r="V1586" s="19" t="s">
        <v>41</v>
      </c>
      <c r="W1586" s="19">
        <v>1</v>
      </c>
      <c r="Y1586" s="19" t="s">
        <v>103</v>
      </c>
      <c r="Z1586" s="19">
        <v>50</v>
      </c>
      <c r="AA1586" s="19">
        <v>50</v>
      </c>
    </row>
    <row r="1587" spans="1:27" x14ac:dyDescent="0.25">
      <c r="A1587" s="19" t="s">
        <v>1834</v>
      </c>
      <c r="B1587" s="19" t="s">
        <v>1808</v>
      </c>
      <c r="C1587" s="19" t="s">
        <v>1809</v>
      </c>
      <c r="D1587" s="19">
        <v>0</v>
      </c>
      <c r="E1587" s="19" t="s">
        <v>123</v>
      </c>
      <c r="F1587" s="19" t="s">
        <v>124</v>
      </c>
      <c r="G1587" s="19" t="s">
        <v>32</v>
      </c>
      <c r="H1587" s="19" t="s">
        <v>114</v>
      </c>
      <c r="I1587" s="19" t="s">
        <v>115</v>
      </c>
      <c r="J1587" s="19">
        <v>27</v>
      </c>
      <c r="K1587" s="19">
        <v>2.1700000000000001E-2</v>
      </c>
      <c r="L1587" s="19" t="s">
        <v>35</v>
      </c>
      <c r="M1587" s="19" t="s">
        <v>103</v>
      </c>
      <c r="N1587" s="19">
        <v>0</v>
      </c>
      <c r="O1587" s="19">
        <v>0</v>
      </c>
      <c r="P1587" s="19">
        <v>0</v>
      </c>
      <c r="Q1587" s="19">
        <v>0</v>
      </c>
      <c r="S1587" s="19">
        <v>1</v>
      </c>
      <c r="T1587" s="19">
        <v>1</v>
      </c>
      <c r="U1587" s="19">
        <v>0</v>
      </c>
      <c r="V1587" s="19" t="s">
        <v>80</v>
      </c>
      <c r="W1587" s="19">
        <v>0</v>
      </c>
      <c r="Y1587" s="19" t="s">
        <v>103</v>
      </c>
      <c r="Z1587" s="19">
        <v>50</v>
      </c>
      <c r="AA1587" s="19">
        <v>0</v>
      </c>
    </row>
    <row r="1588" spans="1:27" x14ac:dyDescent="0.25">
      <c r="A1588" s="19" t="s">
        <v>1835</v>
      </c>
      <c r="B1588" s="19" t="s">
        <v>1808</v>
      </c>
      <c r="C1588" s="19" t="s">
        <v>1809</v>
      </c>
      <c r="D1588" s="19">
        <v>1.085</v>
      </c>
      <c r="E1588" s="19" t="s">
        <v>126</v>
      </c>
      <c r="F1588" s="19" t="s">
        <v>127</v>
      </c>
      <c r="G1588" s="19" t="s">
        <v>32</v>
      </c>
      <c r="H1588" s="19" t="s">
        <v>114</v>
      </c>
      <c r="I1588" s="19" t="s">
        <v>115</v>
      </c>
      <c r="J1588" s="19">
        <v>29</v>
      </c>
      <c r="K1588" s="19">
        <v>2.1700000000000001E-2</v>
      </c>
      <c r="L1588" s="19" t="s">
        <v>35</v>
      </c>
      <c r="M1588" s="19" t="s">
        <v>103</v>
      </c>
      <c r="N1588" s="19">
        <v>50</v>
      </c>
      <c r="O1588" s="19">
        <v>50</v>
      </c>
      <c r="P1588" s="19">
        <v>0</v>
      </c>
      <c r="Q1588" s="19">
        <v>0</v>
      </c>
      <c r="S1588" s="19">
        <v>1</v>
      </c>
      <c r="T1588" s="19">
        <v>1</v>
      </c>
      <c r="U1588" s="19">
        <v>0</v>
      </c>
      <c r="V1588" s="19" t="s">
        <v>41</v>
      </c>
      <c r="W1588" s="19">
        <v>1</v>
      </c>
      <c r="Y1588" s="19" t="s">
        <v>103</v>
      </c>
      <c r="Z1588" s="19">
        <v>50</v>
      </c>
      <c r="AA1588" s="19">
        <v>50</v>
      </c>
    </row>
    <row r="1589" spans="1:27" x14ac:dyDescent="0.25">
      <c r="A1589" s="19" t="s">
        <v>1836</v>
      </c>
      <c r="B1589" s="19" t="s">
        <v>1808</v>
      </c>
      <c r="C1589" s="19" t="s">
        <v>1809</v>
      </c>
      <c r="D1589" s="19">
        <v>1.085</v>
      </c>
      <c r="E1589" s="19" t="s">
        <v>129</v>
      </c>
      <c r="F1589" s="19" t="s">
        <v>130</v>
      </c>
      <c r="G1589" s="19" t="s">
        <v>32</v>
      </c>
      <c r="H1589" s="19" t="s">
        <v>114</v>
      </c>
      <c r="I1589" s="19" t="s">
        <v>115</v>
      </c>
      <c r="J1589" s="19">
        <v>32</v>
      </c>
      <c r="K1589" s="19">
        <v>2.1700000000000001E-2</v>
      </c>
      <c r="L1589" s="19" t="s">
        <v>35</v>
      </c>
      <c r="M1589" s="19" t="s">
        <v>103</v>
      </c>
      <c r="N1589" s="19">
        <v>50</v>
      </c>
      <c r="O1589" s="19">
        <v>50</v>
      </c>
      <c r="P1589" s="19">
        <v>0</v>
      </c>
      <c r="Q1589" s="19">
        <v>0</v>
      </c>
      <c r="S1589" s="19">
        <v>1</v>
      </c>
      <c r="T1589" s="19">
        <v>1</v>
      </c>
      <c r="U1589" s="19">
        <v>0</v>
      </c>
      <c r="V1589" s="19" t="s">
        <v>41</v>
      </c>
      <c r="W1589" s="19">
        <v>1</v>
      </c>
      <c r="Y1589" s="19" t="s">
        <v>103</v>
      </c>
      <c r="Z1589" s="19">
        <v>50</v>
      </c>
      <c r="AA1589" s="19">
        <v>50</v>
      </c>
    </row>
    <row r="1590" spans="1:27" x14ac:dyDescent="0.25">
      <c r="A1590" s="19" t="s">
        <v>1837</v>
      </c>
      <c r="B1590" s="19" t="s">
        <v>1808</v>
      </c>
      <c r="C1590" s="19" t="s">
        <v>1809</v>
      </c>
      <c r="D1590" s="19">
        <v>2.085</v>
      </c>
      <c r="E1590" s="19" t="s">
        <v>132</v>
      </c>
      <c r="F1590" s="19" t="s">
        <v>133</v>
      </c>
      <c r="G1590" s="19" t="s">
        <v>134</v>
      </c>
      <c r="H1590" s="19" t="s">
        <v>87</v>
      </c>
      <c r="I1590" s="19" t="s">
        <v>135</v>
      </c>
      <c r="J1590" s="19">
        <v>11</v>
      </c>
      <c r="K1590" s="19">
        <v>4.1700000000000001E-2</v>
      </c>
      <c r="L1590" s="19" t="s">
        <v>35</v>
      </c>
      <c r="M1590" s="19" t="s">
        <v>103</v>
      </c>
      <c r="N1590" s="19">
        <v>50</v>
      </c>
      <c r="O1590" s="19">
        <v>50</v>
      </c>
      <c r="P1590" s="19">
        <v>0</v>
      </c>
      <c r="Q1590" s="19">
        <v>0</v>
      </c>
      <c r="S1590" s="19">
        <v>1</v>
      </c>
      <c r="T1590" s="19">
        <v>1</v>
      </c>
      <c r="U1590" s="19">
        <v>0</v>
      </c>
      <c r="V1590" s="19" t="s">
        <v>41</v>
      </c>
      <c r="W1590" s="19">
        <v>1</v>
      </c>
      <c r="Y1590" s="19" t="s">
        <v>103</v>
      </c>
      <c r="Z1590" s="19">
        <v>50</v>
      </c>
      <c r="AA1590" s="19">
        <v>50</v>
      </c>
    </row>
    <row r="1591" spans="1:27" x14ac:dyDescent="0.25">
      <c r="A1591" s="19" t="s">
        <v>1838</v>
      </c>
      <c r="B1591" s="19" t="s">
        <v>1808</v>
      </c>
      <c r="C1591" s="19" t="s">
        <v>1809</v>
      </c>
      <c r="D1591" s="19">
        <v>0</v>
      </c>
      <c r="E1591" s="19" t="s">
        <v>137</v>
      </c>
      <c r="F1591" s="19" t="s">
        <v>138</v>
      </c>
      <c r="G1591" s="19" t="s">
        <v>134</v>
      </c>
      <c r="H1591" s="19" t="s">
        <v>87</v>
      </c>
      <c r="I1591" s="19" t="s">
        <v>135</v>
      </c>
      <c r="J1591" s="19">
        <v>9</v>
      </c>
      <c r="K1591" s="19">
        <v>4.1700000000000001E-2</v>
      </c>
      <c r="L1591" s="19" t="s">
        <v>35</v>
      </c>
      <c r="N1591" s="19">
        <v>0</v>
      </c>
      <c r="O1591" s="19">
        <v>0</v>
      </c>
      <c r="P1591" s="19">
        <v>0</v>
      </c>
      <c r="Q1591" s="19">
        <v>0</v>
      </c>
      <c r="S1591" s="19">
        <v>1</v>
      </c>
      <c r="T1591" s="19">
        <v>1</v>
      </c>
      <c r="U1591" s="19">
        <v>0</v>
      </c>
      <c r="W1591" s="19">
        <v>0</v>
      </c>
      <c r="X1591" s="19">
        <v>0</v>
      </c>
      <c r="Z1591" s="19">
        <v>0</v>
      </c>
      <c r="AA1591" s="19">
        <v>0</v>
      </c>
    </row>
    <row r="1592" spans="1:27" x14ac:dyDescent="0.25">
      <c r="A1592" s="19" t="s">
        <v>1839</v>
      </c>
      <c r="B1592" s="19" t="s">
        <v>1808</v>
      </c>
      <c r="C1592" s="19" t="s">
        <v>1809</v>
      </c>
      <c r="D1592" s="19">
        <v>0.69499999999999995</v>
      </c>
      <c r="E1592" s="19" t="s">
        <v>140</v>
      </c>
      <c r="F1592" s="19" t="s">
        <v>141</v>
      </c>
      <c r="G1592" s="19" t="s">
        <v>134</v>
      </c>
      <c r="H1592" s="19" t="s">
        <v>87</v>
      </c>
      <c r="I1592" s="19" t="s">
        <v>135</v>
      </c>
      <c r="J1592" s="19">
        <v>10</v>
      </c>
      <c r="K1592" s="19">
        <v>4.1700000000000001E-2</v>
      </c>
      <c r="L1592" s="19" t="s">
        <v>35</v>
      </c>
      <c r="M1592" s="19" t="s">
        <v>142</v>
      </c>
      <c r="N1592" s="19">
        <v>16.666666666699999</v>
      </c>
      <c r="O1592" s="19">
        <v>16.666666666699999</v>
      </c>
      <c r="P1592" s="19">
        <v>0</v>
      </c>
      <c r="Q1592" s="19">
        <v>0</v>
      </c>
      <c r="S1592" s="19">
        <v>1</v>
      </c>
      <c r="T1592" s="19">
        <v>1</v>
      </c>
      <c r="U1592" s="19">
        <v>0</v>
      </c>
      <c r="W1592" s="19">
        <v>0</v>
      </c>
      <c r="X1592" s="19">
        <v>1</v>
      </c>
      <c r="Y1592" s="19" t="s">
        <v>142</v>
      </c>
      <c r="Z1592" s="19">
        <v>50</v>
      </c>
      <c r="AA1592" s="19">
        <v>16.666666666699999</v>
      </c>
    </row>
    <row r="1593" spans="1:27" x14ac:dyDescent="0.25">
      <c r="A1593" s="19" t="s">
        <v>1840</v>
      </c>
      <c r="B1593" s="19" t="s">
        <v>1808</v>
      </c>
      <c r="C1593" s="19" t="s">
        <v>1809</v>
      </c>
      <c r="D1593" s="19">
        <v>1.25</v>
      </c>
      <c r="E1593" s="19" t="s">
        <v>144</v>
      </c>
      <c r="F1593" s="19" t="s">
        <v>145</v>
      </c>
      <c r="G1593" s="19" t="s">
        <v>134</v>
      </c>
      <c r="H1593" s="19" t="s">
        <v>146</v>
      </c>
      <c r="I1593" s="19" t="s">
        <v>147</v>
      </c>
      <c r="J1593" s="19">
        <v>4</v>
      </c>
      <c r="K1593" s="19">
        <v>2.5000000000000001E-2</v>
      </c>
      <c r="L1593" s="19" t="s">
        <v>35</v>
      </c>
      <c r="M1593" s="19" t="s">
        <v>103</v>
      </c>
      <c r="N1593" s="19">
        <v>50</v>
      </c>
      <c r="O1593" s="19">
        <v>50</v>
      </c>
      <c r="P1593" s="19">
        <v>0</v>
      </c>
      <c r="Q1593" s="19">
        <v>0</v>
      </c>
      <c r="S1593" s="19">
        <v>1</v>
      </c>
      <c r="T1593" s="19">
        <v>1</v>
      </c>
      <c r="U1593" s="19">
        <v>0</v>
      </c>
      <c r="V1593" s="19" t="s">
        <v>41</v>
      </c>
      <c r="W1593" s="19">
        <v>1</v>
      </c>
      <c r="Y1593" s="19" t="s">
        <v>103</v>
      </c>
      <c r="Z1593" s="19">
        <v>50</v>
      </c>
      <c r="AA1593" s="19">
        <v>50</v>
      </c>
    </row>
    <row r="1594" spans="1:27" x14ac:dyDescent="0.25">
      <c r="A1594" s="19" t="s">
        <v>1841</v>
      </c>
      <c r="B1594" s="19" t="s">
        <v>1808</v>
      </c>
      <c r="C1594" s="19" t="s">
        <v>1809</v>
      </c>
      <c r="D1594" s="19">
        <v>1.25</v>
      </c>
      <c r="E1594" s="19" t="s">
        <v>149</v>
      </c>
      <c r="F1594" s="19" t="s">
        <v>150</v>
      </c>
      <c r="G1594" s="19" t="s">
        <v>134</v>
      </c>
      <c r="H1594" s="19" t="s">
        <v>146</v>
      </c>
      <c r="I1594" s="19" t="s">
        <v>147</v>
      </c>
      <c r="J1594" s="19">
        <v>5</v>
      </c>
      <c r="K1594" s="19">
        <v>2.5000000000000001E-2</v>
      </c>
      <c r="L1594" s="19" t="s">
        <v>35</v>
      </c>
      <c r="M1594" s="19" t="s">
        <v>103</v>
      </c>
      <c r="N1594" s="19">
        <v>50</v>
      </c>
      <c r="O1594" s="19">
        <v>50</v>
      </c>
      <c r="P1594" s="19">
        <v>0</v>
      </c>
      <c r="Q1594" s="19">
        <v>0</v>
      </c>
      <c r="S1594" s="19">
        <v>1</v>
      </c>
      <c r="T1594" s="19">
        <v>1</v>
      </c>
      <c r="U1594" s="19">
        <v>0</v>
      </c>
      <c r="V1594" s="19" t="s">
        <v>41</v>
      </c>
      <c r="W1594" s="19">
        <v>1</v>
      </c>
      <c r="Y1594" s="19" t="s">
        <v>103</v>
      </c>
      <c r="Z1594" s="19">
        <v>50</v>
      </c>
      <c r="AA1594" s="19">
        <v>50</v>
      </c>
    </row>
    <row r="1595" spans="1:27" x14ac:dyDescent="0.25">
      <c r="A1595" s="19" t="s">
        <v>1842</v>
      </c>
      <c r="B1595" s="19" t="s">
        <v>1808</v>
      </c>
      <c r="C1595" s="19" t="s">
        <v>1809</v>
      </c>
      <c r="D1595" s="19">
        <v>0</v>
      </c>
      <c r="E1595" s="19" t="s">
        <v>152</v>
      </c>
      <c r="F1595" s="19" t="s">
        <v>153</v>
      </c>
      <c r="G1595" s="19" t="s">
        <v>134</v>
      </c>
      <c r="H1595" s="19" t="s">
        <v>146</v>
      </c>
      <c r="I1595" s="19" t="s">
        <v>147</v>
      </c>
      <c r="J1595" s="19">
        <v>6</v>
      </c>
      <c r="K1595" s="19">
        <v>2.5000000000000001E-2</v>
      </c>
      <c r="L1595" s="19" t="s">
        <v>35</v>
      </c>
      <c r="M1595" s="19" t="s">
        <v>103</v>
      </c>
      <c r="N1595" s="19">
        <v>0</v>
      </c>
      <c r="O1595" s="19">
        <v>0</v>
      </c>
      <c r="P1595" s="19">
        <v>0</v>
      </c>
      <c r="Q1595" s="19">
        <v>0</v>
      </c>
      <c r="S1595" s="19">
        <v>1</v>
      </c>
      <c r="T1595" s="19">
        <v>1</v>
      </c>
      <c r="U1595" s="19">
        <v>0</v>
      </c>
      <c r="V1595" s="19" t="s">
        <v>80</v>
      </c>
      <c r="W1595" s="19">
        <v>0</v>
      </c>
      <c r="Y1595" s="19" t="s">
        <v>103</v>
      </c>
      <c r="Z1595" s="19">
        <v>50</v>
      </c>
      <c r="AA1595" s="19">
        <v>0</v>
      </c>
    </row>
    <row r="1596" spans="1:27" x14ac:dyDescent="0.25">
      <c r="A1596" s="19" t="s">
        <v>1843</v>
      </c>
      <c r="B1596" s="19" t="s">
        <v>1808</v>
      </c>
      <c r="C1596" s="19" t="s">
        <v>1809</v>
      </c>
      <c r="D1596" s="19">
        <v>1.25</v>
      </c>
      <c r="E1596" s="19" t="s">
        <v>155</v>
      </c>
      <c r="F1596" s="19" t="s">
        <v>156</v>
      </c>
      <c r="G1596" s="19" t="s">
        <v>134</v>
      </c>
      <c r="H1596" s="19" t="s">
        <v>146</v>
      </c>
      <c r="I1596" s="19" t="s">
        <v>147</v>
      </c>
      <c r="J1596" s="19">
        <v>7</v>
      </c>
      <c r="K1596" s="19">
        <v>2.5000000000000001E-2</v>
      </c>
      <c r="L1596" s="19" t="s">
        <v>35</v>
      </c>
      <c r="M1596" s="19" t="s">
        <v>103</v>
      </c>
      <c r="N1596" s="19">
        <v>50</v>
      </c>
      <c r="O1596" s="19">
        <v>50</v>
      </c>
      <c r="P1596" s="19">
        <v>0</v>
      </c>
      <c r="Q1596" s="19">
        <v>0</v>
      </c>
      <c r="S1596" s="19">
        <v>1</v>
      </c>
      <c r="T1596" s="19">
        <v>1</v>
      </c>
      <c r="U1596" s="19">
        <v>0</v>
      </c>
      <c r="V1596" s="19" t="s">
        <v>41</v>
      </c>
      <c r="W1596" s="19">
        <v>1</v>
      </c>
      <c r="Y1596" s="19" t="s">
        <v>103</v>
      </c>
      <c r="Z1596" s="19">
        <v>50</v>
      </c>
      <c r="AA1596" s="19">
        <v>50</v>
      </c>
    </row>
    <row r="1597" spans="1:27" x14ac:dyDescent="0.25">
      <c r="A1597" s="19" t="s">
        <v>1844</v>
      </c>
      <c r="B1597" s="19" t="s">
        <v>1808</v>
      </c>
      <c r="C1597" s="19" t="s">
        <v>1809</v>
      </c>
      <c r="D1597" s="19">
        <v>1.25</v>
      </c>
      <c r="E1597" s="19" t="s">
        <v>158</v>
      </c>
      <c r="F1597" s="19" t="s">
        <v>159</v>
      </c>
      <c r="G1597" s="19" t="s">
        <v>134</v>
      </c>
      <c r="H1597" s="19" t="s">
        <v>146</v>
      </c>
      <c r="I1597" s="19" t="s">
        <v>147</v>
      </c>
      <c r="J1597" s="19">
        <v>8</v>
      </c>
      <c r="K1597" s="19">
        <v>2.5000000000000001E-2</v>
      </c>
      <c r="L1597" s="19" t="s">
        <v>35</v>
      </c>
      <c r="M1597" s="19" t="s">
        <v>103</v>
      </c>
      <c r="N1597" s="19">
        <v>50</v>
      </c>
      <c r="O1597" s="19">
        <v>50</v>
      </c>
      <c r="P1597" s="19">
        <v>0</v>
      </c>
      <c r="Q1597" s="19">
        <v>0</v>
      </c>
      <c r="S1597" s="19">
        <v>1</v>
      </c>
      <c r="T1597" s="19">
        <v>1</v>
      </c>
      <c r="U1597" s="19">
        <v>0</v>
      </c>
      <c r="V1597" s="19" t="s">
        <v>41</v>
      </c>
      <c r="W1597" s="19">
        <v>1</v>
      </c>
      <c r="Y1597" s="19" t="s">
        <v>103</v>
      </c>
      <c r="Z1597" s="19">
        <v>50</v>
      </c>
      <c r="AA1597" s="19">
        <v>50</v>
      </c>
    </row>
    <row r="1598" spans="1:27" x14ac:dyDescent="0.25">
      <c r="A1598" s="19" t="s">
        <v>1845</v>
      </c>
      <c r="B1598" s="19" t="s">
        <v>1808</v>
      </c>
      <c r="C1598" s="19" t="s">
        <v>1809</v>
      </c>
      <c r="D1598" s="19">
        <v>0</v>
      </c>
      <c r="E1598" s="19" t="s">
        <v>161</v>
      </c>
      <c r="F1598" s="19" t="s">
        <v>162</v>
      </c>
      <c r="G1598" s="19" t="s">
        <v>163</v>
      </c>
      <c r="I1598" s="19" t="s">
        <v>164</v>
      </c>
      <c r="J1598" s="19">
        <v>1</v>
      </c>
      <c r="K1598" s="19">
        <v>3.3300000000000003E-2</v>
      </c>
      <c r="L1598" s="19" t="s">
        <v>35</v>
      </c>
      <c r="M1598" s="19" t="s">
        <v>165</v>
      </c>
      <c r="N1598" s="19">
        <v>0</v>
      </c>
      <c r="O1598" s="19">
        <v>0</v>
      </c>
      <c r="P1598" s="19">
        <v>0</v>
      </c>
      <c r="Q1598" s="19">
        <v>0</v>
      </c>
      <c r="S1598" s="19">
        <v>1</v>
      </c>
      <c r="T1598" s="19">
        <v>1</v>
      </c>
      <c r="U1598" s="19">
        <v>0</v>
      </c>
      <c r="W1598" s="19">
        <v>0</v>
      </c>
      <c r="X1598" s="19">
        <v>0</v>
      </c>
      <c r="Z1598" s="19">
        <v>0</v>
      </c>
      <c r="AA1598" s="19">
        <v>0</v>
      </c>
    </row>
    <row r="1599" spans="1:27" x14ac:dyDescent="0.25">
      <c r="A1599" s="19" t="s">
        <v>1846</v>
      </c>
      <c r="B1599" s="19" t="s">
        <v>1808</v>
      </c>
      <c r="C1599" s="19" t="s">
        <v>1809</v>
      </c>
      <c r="D1599" s="19">
        <v>1.1098889999999999</v>
      </c>
      <c r="E1599" s="19" t="s">
        <v>167</v>
      </c>
      <c r="F1599" s="19" t="s">
        <v>168</v>
      </c>
      <c r="G1599" s="19" t="s">
        <v>163</v>
      </c>
      <c r="I1599" s="19" t="s">
        <v>164</v>
      </c>
      <c r="J1599" s="19">
        <v>3</v>
      </c>
      <c r="K1599" s="19">
        <v>3.3300000000000003E-2</v>
      </c>
      <c r="L1599" s="19" t="s">
        <v>35</v>
      </c>
      <c r="M1599" s="19" t="s">
        <v>165</v>
      </c>
      <c r="N1599" s="19">
        <v>33.33</v>
      </c>
      <c r="O1599" s="19">
        <v>33.33</v>
      </c>
      <c r="P1599" s="19">
        <v>0</v>
      </c>
      <c r="Q1599" s="19">
        <v>0</v>
      </c>
      <c r="S1599" s="19">
        <v>1</v>
      </c>
      <c r="T1599" s="19">
        <v>1</v>
      </c>
      <c r="U1599" s="19">
        <v>0</v>
      </c>
      <c r="W1599" s="19">
        <v>0</v>
      </c>
      <c r="X1599" s="19">
        <v>33.33</v>
      </c>
      <c r="Z1599" s="19">
        <v>0</v>
      </c>
      <c r="AA1599" s="19">
        <v>33.33</v>
      </c>
    </row>
    <row r="1600" spans="1:27" x14ac:dyDescent="0.25">
      <c r="A1600" s="19" t="s">
        <v>1847</v>
      </c>
      <c r="B1600" s="19" t="s">
        <v>1808</v>
      </c>
      <c r="C1600" s="19" t="s">
        <v>1809</v>
      </c>
      <c r="D1600" s="19">
        <v>0</v>
      </c>
      <c r="E1600" s="19" t="s">
        <v>170</v>
      </c>
      <c r="F1600" s="19" t="s">
        <v>171</v>
      </c>
      <c r="G1600" s="19" t="s">
        <v>163</v>
      </c>
      <c r="I1600" s="19" t="s">
        <v>164</v>
      </c>
      <c r="J1600" s="19">
        <v>2</v>
      </c>
      <c r="K1600" s="19">
        <v>3.3300000000000003E-2</v>
      </c>
      <c r="L1600" s="19" t="s">
        <v>35</v>
      </c>
      <c r="M1600" s="19" t="s">
        <v>165</v>
      </c>
      <c r="N1600" s="19">
        <v>0</v>
      </c>
      <c r="O1600" s="19">
        <v>0</v>
      </c>
      <c r="P1600" s="19">
        <v>0</v>
      </c>
      <c r="Q1600" s="19">
        <v>0</v>
      </c>
      <c r="S1600" s="19">
        <v>1</v>
      </c>
      <c r="T1600" s="19">
        <v>1</v>
      </c>
      <c r="U1600" s="19">
        <v>0</v>
      </c>
      <c r="W1600" s="19">
        <v>0</v>
      </c>
      <c r="X1600" s="19">
        <v>0</v>
      </c>
      <c r="Z1600" s="19">
        <v>0</v>
      </c>
      <c r="AA1600" s="19">
        <v>0</v>
      </c>
    </row>
    <row r="1601" spans="1:27" x14ac:dyDescent="0.25">
      <c r="A1601" s="19" t="s">
        <v>1848</v>
      </c>
      <c r="B1601" s="19" t="s">
        <v>1849</v>
      </c>
      <c r="C1601" s="19" t="s">
        <v>1850</v>
      </c>
      <c r="D1601" s="19">
        <v>0</v>
      </c>
      <c r="E1601" s="19" t="s">
        <v>30</v>
      </c>
      <c r="F1601" s="19" t="s">
        <v>31</v>
      </c>
      <c r="G1601" s="19" t="s">
        <v>32</v>
      </c>
      <c r="H1601" s="19" t="s">
        <v>33</v>
      </c>
      <c r="I1601" s="19" t="s">
        <v>34</v>
      </c>
      <c r="J1601" s="19">
        <v>17</v>
      </c>
      <c r="K1601" s="19">
        <v>1.6299999999999999E-2</v>
      </c>
      <c r="L1601" s="19" t="s">
        <v>35</v>
      </c>
      <c r="N1601" s="19">
        <v>0</v>
      </c>
      <c r="O1601" s="19">
        <v>0</v>
      </c>
      <c r="P1601" s="19">
        <v>0</v>
      </c>
      <c r="Q1601" s="19">
        <v>0</v>
      </c>
      <c r="S1601" s="19">
        <v>1</v>
      </c>
      <c r="T1601" s="19">
        <v>1</v>
      </c>
      <c r="U1601" s="19">
        <v>0</v>
      </c>
      <c r="V1601" s="19" t="s">
        <v>36</v>
      </c>
      <c r="W1601" s="19">
        <v>0</v>
      </c>
      <c r="Z1601" s="19">
        <v>0</v>
      </c>
      <c r="AA1601" s="19">
        <v>0</v>
      </c>
    </row>
    <row r="1602" spans="1:27" x14ac:dyDescent="0.25">
      <c r="A1602" s="19" t="s">
        <v>1851</v>
      </c>
      <c r="B1602" s="19" t="s">
        <v>1849</v>
      </c>
      <c r="C1602" s="19" t="s">
        <v>1850</v>
      </c>
      <c r="D1602" s="19">
        <v>0</v>
      </c>
      <c r="E1602" s="19" t="s">
        <v>38</v>
      </c>
      <c r="F1602" s="19" t="s">
        <v>39</v>
      </c>
      <c r="G1602" s="19" t="s">
        <v>32</v>
      </c>
      <c r="H1602" s="19" t="s">
        <v>33</v>
      </c>
      <c r="I1602" s="19" t="s">
        <v>34</v>
      </c>
      <c r="J1602" s="19">
        <v>19</v>
      </c>
      <c r="K1602" s="19">
        <v>1.6299999999999999E-2</v>
      </c>
      <c r="L1602" s="19" t="s">
        <v>35</v>
      </c>
      <c r="N1602" s="19">
        <v>0</v>
      </c>
      <c r="O1602" s="19">
        <v>0</v>
      </c>
      <c r="P1602" s="19">
        <v>0</v>
      </c>
      <c r="Q1602" s="19">
        <v>0</v>
      </c>
      <c r="S1602" s="19">
        <v>1</v>
      </c>
      <c r="T1602" s="19">
        <v>1</v>
      </c>
      <c r="U1602" s="19">
        <v>0</v>
      </c>
      <c r="V1602" s="19" t="s">
        <v>36</v>
      </c>
      <c r="W1602" s="19">
        <v>0</v>
      </c>
      <c r="Z1602" s="19">
        <v>0</v>
      </c>
      <c r="AA1602" s="19">
        <v>0</v>
      </c>
    </row>
    <row r="1603" spans="1:27" x14ac:dyDescent="0.25">
      <c r="A1603" s="19" t="s">
        <v>1852</v>
      </c>
      <c r="B1603" s="19" t="s">
        <v>1849</v>
      </c>
      <c r="C1603" s="19" t="s">
        <v>1850</v>
      </c>
      <c r="D1603" s="19">
        <v>0</v>
      </c>
      <c r="E1603" s="19" t="s">
        <v>43</v>
      </c>
      <c r="F1603" s="19" t="s">
        <v>44</v>
      </c>
      <c r="G1603" s="19" t="s">
        <v>32</v>
      </c>
      <c r="H1603" s="19" t="s">
        <v>33</v>
      </c>
      <c r="I1603" s="19" t="s">
        <v>34</v>
      </c>
      <c r="J1603" s="19">
        <v>18</v>
      </c>
      <c r="K1603" s="19">
        <v>1.6299999999999999E-2</v>
      </c>
      <c r="L1603" s="19" t="s">
        <v>35</v>
      </c>
      <c r="N1603" s="19">
        <v>0</v>
      </c>
      <c r="O1603" s="19">
        <v>0</v>
      </c>
      <c r="P1603" s="19">
        <v>0</v>
      </c>
      <c r="Q1603" s="19">
        <v>0</v>
      </c>
      <c r="S1603" s="19">
        <v>1</v>
      </c>
      <c r="T1603" s="19">
        <v>1</v>
      </c>
      <c r="U1603" s="19">
        <v>0</v>
      </c>
      <c r="V1603" s="19" t="s">
        <v>36</v>
      </c>
      <c r="W1603" s="19">
        <v>0</v>
      </c>
      <c r="Z1603" s="19">
        <v>0</v>
      </c>
      <c r="AA1603" s="19">
        <v>0</v>
      </c>
    </row>
    <row r="1604" spans="1:27" x14ac:dyDescent="0.25">
      <c r="A1604" s="19" t="s">
        <v>1853</v>
      </c>
      <c r="B1604" s="19" t="s">
        <v>1849</v>
      </c>
      <c r="C1604" s="19" t="s">
        <v>1850</v>
      </c>
      <c r="D1604" s="19">
        <v>0</v>
      </c>
      <c r="E1604" s="19" t="s">
        <v>46</v>
      </c>
      <c r="F1604" s="19" t="s">
        <v>47</v>
      </c>
      <c r="G1604" s="19" t="s">
        <v>32</v>
      </c>
      <c r="H1604" s="19" t="s">
        <v>33</v>
      </c>
      <c r="I1604" s="19" t="s">
        <v>34</v>
      </c>
      <c r="J1604" s="19">
        <v>15</v>
      </c>
      <c r="K1604" s="19">
        <v>1.6299999999999999E-2</v>
      </c>
      <c r="L1604" s="19" t="s">
        <v>35</v>
      </c>
      <c r="N1604" s="19">
        <v>0</v>
      </c>
      <c r="O1604" s="19">
        <v>0</v>
      </c>
      <c r="P1604" s="19">
        <v>0</v>
      </c>
      <c r="Q1604" s="19">
        <v>0</v>
      </c>
      <c r="S1604" s="19">
        <v>1</v>
      </c>
      <c r="T1604" s="19">
        <v>1</v>
      </c>
      <c r="U1604" s="19">
        <v>0</v>
      </c>
      <c r="V1604" s="19" t="s">
        <v>36</v>
      </c>
      <c r="W1604" s="19">
        <v>0</v>
      </c>
      <c r="Z1604" s="19">
        <v>0</v>
      </c>
      <c r="AA1604" s="19">
        <v>0</v>
      </c>
    </row>
    <row r="1605" spans="1:27" x14ac:dyDescent="0.25">
      <c r="A1605" s="19" t="s">
        <v>1854</v>
      </c>
      <c r="B1605" s="19" t="s">
        <v>1849</v>
      </c>
      <c r="C1605" s="19" t="s">
        <v>1850</v>
      </c>
      <c r="D1605" s="19">
        <v>0</v>
      </c>
      <c r="E1605" s="19" t="s">
        <v>49</v>
      </c>
      <c r="F1605" s="19" t="s">
        <v>50</v>
      </c>
      <c r="G1605" s="19" t="s">
        <v>32</v>
      </c>
      <c r="H1605" s="19" t="s">
        <v>33</v>
      </c>
      <c r="I1605" s="19" t="s">
        <v>34</v>
      </c>
      <c r="J1605" s="19">
        <v>12</v>
      </c>
      <c r="K1605" s="19">
        <v>1.6299999999999999E-2</v>
      </c>
      <c r="L1605" s="19" t="s">
        <v>35</v>
      </c>
      <c r="N1605" s="19">
        <v>0</v>
      </c>
      <c r="O1605" s="19">
        <v>0</v>
      </c>
      <c r="P1605" s="19">
        <v>0</v>
      </c>
      <c r="Q1605" s="19">
        <v>0</v>
      </c>
      <c r="S1605" s="19">
        <v>1</v>
      </c>
      <c r="T1605" s="19">
        <v>1</v>
      </c>
      <c r="U1605" s="19">
        <v>0</v>
      </c>
      <c r="V1605" s="19" t="s">
        <v>36</v>
      </c>
      <c r="W1605" s="19">
        <v>0</v>
      </c>
      <c r="Z1605" s="19">
        <v>0</v>
      </c>
      <c r="AA1605" s="19">
        <v>0</v>
      </c>
    </row>
    <row r="1606" spans="1:27" x14ac:dyDescent="0.25">
      <c r="A1606" s="19" t="s">
        <v>1855</v>
      </c>
      <c r="B1606" s="19" t="s">
        <v>1849</v>
      </c>
      <c r="C1606" s="19" t="s">
        <v>1850</v>
      </c>
      <c r="D1606" s="19">
        <v>0</v>
      </c>
      <c r="E1606" s="19" t="s">
        <v>52</v>
      </c>
      <c r="F1606" s="19" t="s">
        <v>53</v>
      </c>
      <c r="G1606" s="19" t="s">
        <v>32</v>
      </c>
      <c r="H1606" s="19" t="s">
        <v>33</v>
      </c>
      <c r="I1606" s="19" t="s">
        <v>34</v>
      </c>
      <c r="J1606" s="19">
        <v>16</v>
      </c>
      <c r="K1606" s="19">
        <v>1.6299999999999999E-2</v>
      </c>
      <c r="L1606" s="19" t="s">
        <v>35</v>
      </c>
      <c r="N1606" s="19">
        <v>0</v>
      </c>
      <c r="O1606" s="19">
        <v>0</v>
      </c>
      <c r="P1606" s="19">
        <v>0</v>
      </c>
      <c r="Q1606" s="19">
        <v>0</v>
      </c>
      <c r="S1606" s="19">
        <v>1</v>
      </c>
      <c r="T1606" s="19">
        <v>1</v>
      </c>
      <c r="U1606" s="19">
        <v>0</v>
      </c>
      <c r="V1606" s="19" t="s">
        <v>36</v>
      </c>
      <c r="W1606" s="19">
        <v>0</v>
      </c>
      <c r="Z1606" s="19">
        <v>0</v>
      </c>
      <c r="AA1606" s="19">
        <v>0</v>
      </c>
    </row>
    <row r="1607" spans="1:27" x14ac:dyDescent="0.25">
      <c r="A1607" s="19" t="s">
        <v>1856</v>
      </c>
      <c r="B1607" s="19" t="s">
        <v>1849</v>
      </c>
      <c r="C1607" s="19" t="s">
        <v>1850</v>
      </c>
      <c r="D1607" s="19">
        <v>0</v>
      </c>
      <c r="E1607" s="19" t="s">
        <v>55</v>
      </c>
      <c r="F1607" s="19" t="s">
        <v>56</v>
      </c>
      <c r="G1607" s="19" t="s">
        <v>32</v>
      </c>
      <c r="H1607" s="19" t="s">
        <v>33</v>
      </c>
      <c r="I1607" s="19" t="s">
        <v>34</v>
      </c>
      <c r="J1607" s="19">
        <v>14</v>
      </c>
      <c r="K1607" s="19">
        <v>1.6299999999999999E-2</v>
      </c>
      <c r="L1607" s="19" t="s">
        <v>35</v>
      </c>
      <c r="N1607" s="19">
        <v>0</v>
      </c>
      <c r="O1607" s="19">
        <v>0</v>
      </c>
      <c r="P1607" s="19">
        <v>0</v>
      </c>
      <c r="Q1607" s="19">
        <v>0</v>
      </c>
      <c r="S1607" s="19">
        <v>1</v>
      </c>
      <c r="T1607" s="19">
        <v>1</v>
      </c>
      <c r="U1607" s="19">
        <v>0</v>
      </c>
      <c r="V1607" s="19" t="s">
        <v>36</v>
      </c>
      <c r="W1607" s="19">
        <v>0</v>
      </c>
      <c r="Z1607" s="19">
        <v>0</v>
      </c>
      <c r="AA1607" s="19">
        <v>0</v>
      </c>
    </row>
    <row r="1608" spans="1:27" x14ac:dyDescent="0.25">
      <c r="A1608" s="19" t="s">
        <v>1857</v>
      </c>
      <c r="B1608" s="19" t="s">
        <v>1849</v>
      </c>
      <c r="C1608" s="19" t="s">
        <v>1850</v>
      </c>
      <c r="D1608" s="19">
        <v>0</v>
      </c>
      <c r="E1608" s="19" t="s">
        <v>58</v>
      </c>
      <c r="F1608" s="19" t="s">
        <v>59</v>
      </c>
      <c r="G1608" s="19" t="s">
        <v>32</v>
      </c>
      <c r="H1608" s="19" t="s">
        <v>33</v>
      </c>
      <c r="I1608" s="19" t="s">
        <v>34</v>
      </c>
      <c r="J1608" s="19">
        <v>13</v>
      </c>
      <c r="K1608" s="19">
        <v>1.6299999999999999E-2</v>
      </c>
      <c r="L1608" s="19" t="s">
        <v>35</v>
      </c>
      <c r="N1608" s="19">
        <v>0</v>
      </c>
      <c r="O1608" s="19">
        <v>0</v>
      </c>
      <c r="P1608" s="19">
        <v>0</v>
      </c>
      <c r="Q1608" s="19">
        <v>0</v>
      </c>
      <c r="S1608" s="19">
        <v>1</v>
      </c>
      <c r="T1608" s="19">
        <v>1</v>
      </c>
      <c r="U1608" s="19">
        <v>0</v>
      </c>
      <c r="V1608" s="19" t="s">
        <v>36</v>
      </c>
      <c r="W1608" s="19">
        <v>0</v>
      </c>
      <c r="Z1608" s="19">
        <v>0</v>
      </c>
      <c r="AA1608" s="19">
        <v>0</v>
      </c>
    </row>
    <row r="1609" spans="1:27" x14ac:dyDescent="0.25">
      <c r="A1609" s="19" t="s">
        <v>1858</v>
      </c>
      <c r="B1609" s="19" t="s">
        <v>1849</v>
      </c>
      <c r="C1609" s="19" t="s">
        <v>1850</v>
      </c>
      <c r="D1609" s="19">
        <v>0</v>
      </c>
      <c r="E1609" s="19" t="s">
        <v>61</v>
      </c>
      <c r="F1609" s="19" t="s">
        <v>62</v>
      </c>
      <c r="G1609" s="19" t="s">
        <v>32</v>
      </c>
      <c r="H1609" s="19" t="s">
        <v>63</v>
      </c>
      <c r="I1609" s="19" t="s">
        <v>64</v>
      </c>
      <c r="J1609" s="19">
        <v>22</v>
      </c>
      <c r="K1609" s="19">
        <v>1.8599999999999998E-2</v>
      </c>
      <c r="L1609" s="19" t="s">
        <v>35</v>
      </c>
      <c r="N1609" s="19">
        <v>0</v>
      </c>
      <c r="O1609" s="19">
        <v>0</v>
      </c>
      <c r="P1609" s="19">
        <v>0</v>
      </c>
      <c r="Q1609" s="19">
        <v>0</v>
      </c>
      <c r="S1609" s="19">
        <v>1</v>
      </c>
      <c r="T1609" s="19">
        <v>1</v>
      </c>
      <c r="U1609" s="19">
        <v>0</v>
      </c>
      <c r="V1609" s="19" t="s">
        <v>36</v>
      </c>
      <c r="W1609" s="19">
        <v>0</v>
      </c>
      <c r="Z1609" s="19">
        <v>0</v>
      </c>
      <c r="AA1609" s="19">
        <v>0</v>
      </c>
    </row>
    <row r="1610" spans="1:27" x14ac:dyDescent="0.25">
      <c r="A1610" s="19" t="s">
        <v>1859</v>
      </c>
      <c r="B1610" s="19" t="s">
        <v>1849</v>
      </c>
      <c r="C1610" s="19" t="s">
        <v>1850</v>
      </c>
      <c r="D1610" s="19">
        <v>0</v>
      </c>
      <c r="E1610" s="19" t="s">
        <v>66</v>
      </c>
      <c r="F1610" s="19" t="s">
        <v>67</v>
      </c>
      <c r="G1610" s="19" t="s">
        <v>32</v>
      </c>
      <c r="H1610" s="19" t="s">
        <v>63</v>
      </c>
      <c r="I1610" s="19" t="s">
        <v>64</v>
      </c>
      <c r="J1610" s="19">
        <v>20</v>
      </c>
      <c r="K1610" s="19">
        <v>1.8599999999999998E-2</v>
      </c>
      <c r="L1610" s="19" t="s">
        <v>35</v>
      </c>
      <c r="N1610" s="19">
        <v>0</v>
      </c>
      <c r="O1610" s="19">
        <v>0</v>
      </c>
      <c r="P1610" s="19">
        <v>0</v>
      </c>
      <c r="Q1610" s="19">
        <v>0</v>
      </c>
      <c r="S1610" s="19">
        <v>1</v>
      </c>
      <c r="T1610" s="19">
        <v>1</v>
      </c>
      <c r="U1610" s="19">
        <v>0</v>
      </c>
      <c r="V1610" s="19" t="s">
        <v>36</v>
      </c>
      <c r="W1610" s="19">
        <v>0</v>
      </c>
      <c r="Z1610" s="19">
        <v>0</v>
      </c>
      <c r="AA1610" s="19">
        <v>0</v>
      </c>
    </row>
    <row r="1611" spans="1:27" x14ac:dyDescent="0.25">
      <c r="A1611" s="19" t="s">
        <v>1860</v>
      </c>
      <c r="B1611" s="19" t="s">
        <v>1849</v>
      </c>
      <c r="C1611" s="19" t="s">
        <v>1850</v>
      </c>
      <c r="D1611" s="19">
        <v>0</v>
      </c>
      <c r="E1611" s="19" t="s">
        <v>69</v>
      </c>
      <c r="F1611" s="19" t="s">
        <v>70</v>
      </c>
      <c r="G1611" s="19" t="s">
        <v>32</v>
      </c>
      <c r="H1611" s="19" t="s">
        <v>63</v>
      </c>
      <c r="I1611" s="19" t="s">
        <v>64</v>
      </c>
      <c r="J1611" s="19">
        <v>23</v>
      </c>
      <c r="K1611" s="19">
        <v>1.8599999999999998E-2</v>
      </c>
      <c r="L1611" s="19" t="s">
        <v>35</v>
      </c>
      <c r="N1611" s="19">
        <v>0</v>
      </c>
      <c r="O1611" s="19">
        <v>0</v>
      </c>
      <c r="P1611" s="19">
        <v>0</v>
      </c>
      <c r="Q1611" s="19">
        <v>0</v>
      </c>
      <c r="S1611" s="19">
        <v>1</v>
      </c>
      <c r="T1611" s="19">
        <v>1</v>
      </c>
      <c r="U1611" s="19">
        <v>0</v>
      </c>
      <c r="V1611" s="19" t="s">
        <v>36</v>
      </c>
      <c r="W1611" s="19">
        <v>0</v>
      </c>
      <c r="Z1611" s="19">
        <v>0</v>
      </c>
      <c r="AA1611" s="19">
        <v>0</v>
      </c>
    </row>
    <row r="1612" spans="1:27" x14ac:dyDescent="0.25">
      <c r="A1612" s="19" t="s">
        <v>1861</v>
      </c>
      <c r="B1612" s="19" t="s">
        <v>1849</v>
      </c>
      <c r="C1612" s="19" t="s">
        <v>1850</v>
      </c>
      <c r="D1612" s="19">
        <v>0</v>
      </c>
      <c r="E1612" s="19" t="s">
        <v>72</v>
      </c>
      <c r="F1612" s="19" t="s">
        <v>73</v>
      </c>
      <c r="G1612" s="19" t="s">
        <v>32</v>
      </c>
      <c r="H1612" s="19" t="s">
        <v>63</v>
      </c>
      <c r="I1612" s="19" t="s">
        <v>64</v>
      </c>
      <c r="J1612" s="19">
        <v>21</v>
      </c>
      <c r="K1612" s="19">
        <v>1.8599999999999998E-2</v>
      </c>
      <c r="L1612" s="19" t="s">
        <v>35</v>
      </c>
      <c r="N1612" s="19">
        <v>0</v>
      </c>
      <c r="O1612" s="19">
        <v>0</v>
      </c>
      <c r="P1612" s="19">
        <v>0</v>
      </c>
      <c r="Q1612" s="19">
        <v>0</v>
      </c>
      <c r="S1612" s="19">
        <v>1</v>
      </c>
      <c r="T1612" s="19">
        <v>1</v>
      </c>
      <c r="U1612" s="19">
        <v>0</v>
      </c>
      <c r="V1612" s="19" t="s">
        <v>36</v>
      </c>
      <c r="W1612" s="19">
        <v>0</v>
      </c>
      <c r="Z1612" s="19">
        <v>0</v>
      </c>
      <c r="AA1612" s="19">
        <v>0</v>
      </c>
    </row>
    <row r="1613" spans="1:27" x14ac:dyDescent="0.25">
      <c r="A1613" s="19" t="s">
        <v>1862</v>
      </c>
      <c r="B1613" s="19" t="s">
        <v>1849</v>
      </c>
      <c r="C1613" s="19" t="s">
        <v>1850</v>
      </c>
      <c r="D1613" s="19">
        <v>0</v>
      </c>
      <c r="E1613" s="19" t="s">
        <v>75</v>
      </c>
      <c r="F1613" s="19" t="s">
        <v>76</v>
      </c>
      <c r="G1613" s="19" t="s">
        <v>32</v>
      </c>
      <c r="H1613" s="19" t="s">
        <v>63</v>
      </c>
      <c r="I1613" s="19" t="s">
        <v>64</v>
      </c>
      <c r="J1613" s="19">
        <v>24</v>
      </c>
      <c r="K1613" s="19">
        <v>1.8599999999999998E-2</v>
      </c>
      <c r="L1613" s="19" t="s">
        <v>35</v>
      </c>
      <c r="N1613" s="19">
        <v>0</v>
      </c>
      <c r="O1613" s="19">
        <v>0</v>
      </c>
      <c r="P1613" s="19">
        <v>0</v>
      </c>
      <c r="Q1613" s="19">
        <v>0</v>
      </c>
      <c r="S1613" s="19">
        <v>1</v>
      </c>
      <c r="T1613" s="19">
        <v>1</v>
      </c>
      <c r="U1613" s="19">
        <v>0</v>
      </c>
      <c r="V1613" s="19" t="s">
        <v>36</v>
      </c>
      <c r="W1613" s="19">
        <v>0</v>
      </c>
      <c r="Z1613" s="19">
        <v>0</v>
      </c>
      <c r="AA1613" s="19">
        <v>0</v>
      </c>
    </row>
    <row r="1614" spans="1:27" x14ac:dyDescent="0.25">
      <c r="A1614" s="19" t="s">
        <v>1863</v>
      </c>
      <c r="B1614" s="19" t="s">
        <v>1849</v>
      </c>
      <c r="C1614" s="19" t="s">
        <v>1850</v>
      </c>
      <c r="D1614" s="19">
        <v>0</v>
      </c>
      <c r="E1614" s="19" t="s">
        <v>78</v>
      </c>
      <c r="F1614" s="19" t="s">
        <v>79</v>
      </c>
      <c r="G1614" s="19" t="s">
        <v>32</v>
      </c>
      <c r="H1614" s="19" t="s">
        <v>63</v>
      </c>
      <c r="I1614" s="19" t="s">
        <v>64</v>
      </c>
      <c r="J1614" s="19">
        <v>25</v>
      </c>
      <c r="K1614" s="19">
        <v>1.8599999999999998E-2</v>
      </c>
      <c r="L1614" s="19" t="s">
        <v>35</v>
      </c>
      <c r="N1614" s="19">
        <v>0</v>
      </c>
      <c r="O1614" s="19">
        <v>0</v>
      </c>
      <c r="P1614" s="19">
        <v>0</v>
      </c>
      <c r="Q1614" s="19">
        <v>0</v>
      </c>
      <c r="S1614" s="19">
        <v>1</v>
      </c>
      <c r="T1614" s="19">
        <v>1</v>
      </c>
      <c r="U1614" s="19">
        <v>0</v>
      </c>
      <c r="V1614" s="19" t="s">
        <v>36</v>
      </c>
      <c r="W1614" s="19">
        <v>0</v>
      </c>
      <c r="Z1614" s="19">
        <v>0</v>
      </c>
      <c r="AA1614" s="19">
        <v>0</v>
      </c>
    </row>
    <row r="1615" spans="1:27" x14ac:dyDescent="0.25">
      <c r="A1615" s="19" t="s">
        <v>1864</v>
      </c>
      <c r="B1615" s="19" t="s">
        <v>1849</v>
      </c>
      <c r="C1615" s="19" t="s">
        <v>1850</v>
      </c>
      <c r="D1615" s="19">
        <v>0</v>
      </c>
      <c r="E1615" s="19" t="s">
        <v>82</v>
      </c>
      <c r="F1615" s="19" t="s">
        <v>83</v>
      </c>
      <c r="G1615" s="19" t="s">
        <v>32</v>
      </c>
      <c r="H1615" s="19" t="s">
        <v>63</v>
      </c>
      <c r="I1615" s="19" t="s">
        <v>64</v>
      </c>
      <c r="J1615" s="19">
        <v>26</v>
      </c>
      <c r="K1615" s="19">
        <v>1.8599999999999998E-2</v>
      </c>
      <c r="L1615" s="19" t="s">
        <v>35</v>
      </c>
      <c r="N1615" s="19">
        <v>0</v>
      </c>
      <c r="O1615" s="19">
        <v>0</v>
      </c>
      <c r="P1615" s="19">
        <v>0</v>
      </c>
      <c r="Q1615" s="19">
        <v>0</v>
      </c>
      <c r="S1615" s="19">
        <v>1</v>
      </c>
      <c r="T1615" s="19">
        <v>1</v>
      </c>
      <c r="U1615" s="19">
        <v>0</v>
      </c>
      <c r="V1615" s="19" t="s">
        <v>36</v>
      </c>
      <c r="W1615" s="19">
        <v>0</v>
      </c>
      <c r="Z1615" s="19">
        <v>0</v>
      </c>
      <c r="AA1615" s="19">
        <v>0</v>
      </c>
    </row>
    <row r="1616" spans="1:27" x14ac:dyDescent="0.25">
      <c r="A1616" s="19" t="s">
        <v>1865</v>
      </c>
      <c r="B1616" s="19" t="s">
        <v>1849</v>
      </c>
      <c r="C1616" s="19" t="s">
        <v>1850</v>
      </c>
      <c r="D1616" s="19">
        <v>0</v>
      </c>
      <c r="E1616" s="19" t="s">
        <v>85</v>
      </c>
      <c r="F1616" s="19" t="s">
        <v>86</v>
      </c>
      <c r="G1616" s="19" t="s">
        <v>32</v>
      </c>
      <c r="H1616" s="19" t="s">
        <v>87</v>
      </c>
      <c r="I1616" s="19" t="s">
        <v>88</v>
      </c>
      <c r="J1616" s="19">
        <v>35</v>
      </c>
      <c r="K1616" s="19">
        <v>3.2500000000000001E-2</v>
      </c>
      <c r="L1616" s="19" t="s">
        <v>35</v>
      </c>
      <c r="N1616" s="19">
        <v>0</v>
      </c>
      <c r="O1616" s="19">
        <v>0</v>
      </c>
      <c r="P1616" s="19">
        <v>0</v>
      </c>
      <c r="Q1616" s="19">
        <v>0</v>
      </c>
      <c r="S1616" s="19">
        <v>1</v>
      </c>
      <c r="T1616" s="19">
        <v>1</v>
      </c>
      <c r="U1616" s="19">
        <v>0</v>
      </c>
      <c r="V1616" s="19" t="s">
        <v>36</v>
      </c>
      <c r="W1616" s="19">
        <v>0</v>
      </c>
      <c r="Z1616" s="19">
        <v>0</v>
      </c>
      <c r="AA1616" s="19">
        <v>0</v>
      </c>
    </row>
    <row r="1617" spans="1:27" x14ac:dyDescent="0.25">
      <c r="A1617" s="19" t="s">
        <v>1866</v>
      </c>
      <c r="B1617" s="19" t="s">
        <v>1849</v>
      </c>
      <c r="C1617" s="19" t="s">
        <v>1850</v>
      </c>
      <c r="D1617" s="19">
        <v>0</v>
      </c>
      <c r="E1617" s="19" t="s">
        <v>90</v>
      </c>
      <c r="F1617" s="19" t="s">
        <v>91</v>
      </c>
      <c r="G1617" s="19" t="s">
        <v>32</v>
      </c>
      <c r="H1617" s="19" t="s">
        <v>87</v>
      </c>
      <c r="I1617" s="19" t="s">
        <v>88</v>
      </c>
      <c r="J1617" s="19">
        <v>33</v>
      </c>
      <c r="K1617" s="19">
        <v>3.2500000000000001E-2</v>
      </c>
      <c r="L1617" s="19" t="s">
        <v>35</v>
      </c>
      <c r="N1617" s="19">
        <v>0</v>
      </c>
      <c r="O1617" s="19">
        <v>0</v>
      </c>
      <c r="P1617" s="19">
        <v>0</v>
      </c>
      <c r="Q1617" s="19">
        <v>0</v>
      </c>
      <c r="S1617" s="19">
        <v>1</v>
      </c>
      <c r="T1617" s="19">
        <v>1</v>
      </c>
      <c r="U1617" s="19">
        <v>0</v>
      </c>
      <c r="V1617" s="19" t="s">
        <v>36</v>
      </c>
      <c r="W1617" s="19">
        <v>0</v>
      </c>
      <c r="Z1617" s="19">
        <v>0</v>
      </c>
      <c r="AA1617" s="19">
        <v>0</v>
      </c>
    </row>
    <row r="1618" spans="1:27" x14ac:dyDescent="0.25">
      <c r="A1618" s="19" t="s">
        <v>1867</v>
      </c>
      <c r="B1618" s="19" t="s">
        <v>1849</v>
      </c>
      <c r="C1618" s="19" t="s">
        <v>1850</v>
      </c>
      <c r="D1618" s="19">
        <v>0</v>
      </c>
      <c r="E1618" s="19" t="s">
        <v>93</v>
      </c>
      <c r="F1618" s="19" t="s">
        <v>94</v>
      </c>
      <c r="G1618" s="19" t="s">
        <v>32</v>
      </c>
      <c r="H1618" s="19" t="s">
        <v>87</v>
      </c>
      <c r="I1618" s="19" t="s">
        <v>88</v>
      </c>
      <c r="J1618" s="19">
        <v>34</v>
      </c>
      <c r="K1618" s="19">
        <v>3.2500000000000001E-2</v>
      </c>
      <c r="L1618" s="19" t="s">
        <v>35</v>
      </c>
      <c r="N1618" s="19">
        <v>0</v>
      </c>
      <c r="O1618" s="19">
        <v>0</v>
      </c>
      <c r="P1618" s="19">
        <v>0</v>
      </c>
      <c r="Q1618" s="19">
        <v>0</v>
      </c>
      <c r="S1618" s="19">
        <v>1</v>
      </c>
      <c r="T1618" s="19">
        <v>1</v>
      </c>
      <c r="U1618" s="19">
        <v>0</v>
      </c>
      <c r="V1618" s="19" t="s">
        <v>36</v>
      </c>
      <c r="W1618" s="19">
        <v>0</v>
      </c>
      <c r="Z1618" s="19">
        <v>0</v>
      </c>
      <c r="AA1618" s="19">
        <v>0</v>
      </c>
    </row>
    <row r="1619" spans="1:27" x14ac:dyDescent="0.25">
      <c r="A1619" s="19" t="s">
        <v>1868</v>
      </c>
      <c r="B1619" s="19" t="s">
        <v>1849</v>
      </c>
      <c r="C1619" s="19" t="s">
        <v>1850</v>
      </c>
      <c r="D1619" s="19">
        <v>0</v>
      </c>
      <c r="E1619" s="19" t="s">
        <v>96</v>
      </c>
      <c r="F1619" s="19" t="s">
        <v>97</v>
      </c>
      <c r="G1619" s="19" t="s">
        <v>32</v>
      </c>
      <c r="H1619" s="19" t="s">
        <v>87</v>
      </c>
      <c r="I1619" s="19" t="s">
        <v>88</v>
      </c>
      <c r="J1619" s="19">
        <v>36</v>
      </c>
      <c r="K1619" s="19">
        <v>3.2500000000000001E-2</v>
      </c>
      <c r="L1619" s="19" t="s">
        <v>35</v>
      </c>
      <c r="N1619" s="19">
        <v>0</v>
      </c>
      <c r="O1619" s="19">
        <v>0</v>
      </c>
      <c r="P1619" s="19">
        <v>0</v>
      </c>
      <c r="Q1619" s="19">
        <v>0</v>
      </c>
      <c r="S1619" s="19">
        <v>1</v>
      </c>
      <c r="T1619" s="19">
        <v>1</v>
      </c>
      <c r="U1619" s="19">
        <v>0</v>
      </c>
      <c r="V1619" s="19" t="s">
        <v>36</v>
      </c>
      <c r="W1619" s="19">
        <v>0</v>
      </c>
      <c r="Z1619" s="19">
        <v>0</v>
      </c>
      <c r="AA1619" s="19">
        <v>0</v>
      </c>
    </row>
    <row r="1620" spans="1:27" x14ac:dyDescent="0.25">
      <c r="A1620" s="19" t="s">
        <v>1869</v>
      </c>
      <c r="B1620" s="19" t="s">
        <v>1849</v>
      </c>
      <c r="C1620" s="19" t="s">
        <v>1850</v>
      </c>
      <c r="D1620" s="19">
        <v>0</v>
      </c>
      <c r="E1620" s="19" t="s">
        <v>99</v>
      </c>
      <c r="F1620" s="19" t="s">
        <v>100</v>
      </c>
      <c r="G1620" s="19" t="s">
        <v>32</v>
      </c>
      <c r="H1620" s="19" t="s">
        <v>101</v>
      </c>
      <c r="I1620" s="19" t="s">
        <v>102</v>
      </c>
      <c r="J1620" s="19">
        <v>39</v>
      </c>
      <c r="K1620" s="19">
        <v>4.3299999999999998E-2</v>
      </c>
      <c r="L1620" s="19" t="s">
        <v>35</v>
      </c>
      <c r="M1620" s="19" t="s">
        <v>103</v>
      </c>
      <c r="N1620" s="19">
        <v>0</v>
      </c>
      <c r="O1620" s="19">
        <v>0</v>
      </c>
      <c r="P1620" s="19">
        <v>0</v>
      </c>
      <c r="Q1620" s="19">
        <v>0</v>
      </c>
      <c r="S1620" s="19">
        <v>1</v>
      </c>
      <c r="T1620" s="19">
        <v>1</v>
      </c>
      <c r="U1620" s="19">
        <v>0</v>
      </c>
      <c r="V1620" s="19" t="s">
        <v>36</v>
      </c>
      <c r="W1620" s="19">
        <v>0</v>
      </c>
      <c r="Y1620" s="19" t="s">
        <v>103</v>
      </c>
      <c r="Z1620" s="19">
        <v>50</v>
      </c>
      <c r="AA1620" s="19">
        <v>0</v>
      </c>
    </row>
    <row r="1621" spans="1:27" x14ac:dyDescent="0.25">
      <c r="A1621" s="19" t="s">
        <v>1870</v>
      </c>
      <c r="B1621" s="19" t="s">
        <v>1849</v>
      </c>
      <c r="C1621" s="19" t="s">
        <v>1850</v>
      </c>
      <c r="D1621" s="19">
        <v>0</v>
      </c>
      <c r="E1621" s="19" t="s">
        <v>105</v>
      </c>
      <c r="F1621" s="19" t="s">
        <v>106</v>
      </c>
      <c r="G1621" s="19" t="s">
        <v>32</v>
      </c>
      <c r="H1621" s="19" t="s">
        <v>101</v>
      </c>
      <c r="I1621" s="19" t="s">
        <v>102</v>
      </c>
      <c r="J1621" s="19">
        <v>38</v>
      </c>
      <c r="K1621" s="19">
        <v>4.3299999999999998E-2</v>
      </c>
      <c r="L1621" s="19" t="s">
        <v>35</v>
      </c>
      <c r="M1621" s="19" t="s">
        <v>103</v>
      </c>
      <c r="N1621" s="19">
        <v>0</v>
      </c>
      <c r="O1621" s="19">
        <v>0</v>
      </c>
      <c r="P1621" s="19">
        <v>0</v>
      </c>
      <c r="Q1621" s="19">
        <v>0</v>
      </c>
      <c r="S1621" s="19">
        <v>1</v>
      </c>
      <c r="T1621" s="19">
        <v>1</v>
      </c>
      <c r="U1621" s="19">
        <v>0</v>
      </c>
      <c r="V1621" s="19" t="s">
        <v>36</v>
      </c>
      <c r="W1621" s="19">
        <v>0</v>
      </c>
      <c r="Y1621" s="19" t="s">
        <v>103</v>
      </c>
      <c r="Z1621" s="19">
        <v>50</v>
      </c>
      <c r="AA1621" s="19">
        <v>0</v>
      </c>
    </row>
    <row r="1622" spans="1:27" x14ac:dyDescent="0.25">
      <c r="A1622" s="19" t="s">
        <v>1871</v>
      </c>
      <c r="B1622" s="19" t="s">
        <v>1849</v>
      </c>
      <c r="C1622" s="19" t="s">
        <v>1850</v>
      </c>
      <c r="D1622" s="19">
        <v>0</v>
      </c>
      <c r="E1622" s="19" t="s">
        <v>108</v>
      </c>
      <c r="F1622" s="19" t="s">
        <v>109</v>
      </c>
      <c r="G1622" s="19" t="s">
        <v>32</v>
      </c>
      <c r="H1622" s="19" t="s">
        <v>101</v>
      </c>
      <c r="I1622" s="19" t="s">
        <v>102</v>
      </c>
      <c r="J1622" s="19">
        <v>37</v>
      </c>
      <c r="K1622" s="19">
        <v>4.3299999999999998E-2</v>
      </c>
      <c r="L1622" s="19" t="s">
        <v>35</v>
      </c>
      <c r="N1622" s="19">
        <v>0</v>
      </c>
      <c r="O1622" s="19">
        <v>0</v>
      </c>
      <c r="P1622" s="19">
        <v>0</v>
      </c>
      <c r="Q1622" s="19">
        <v>0</v>
      </c>
      <c r="S1622" s="19">
        <v>1</v>
      </c>
      <c r="T1622" s="19">
        <v>1</v>
      </c>
      <c r="U1622" s="19">
        <v>0</v>
      </c>
      <c r="V1622" s="19" t="s">
        <v>36</v>
      </c>
      <c r="W1622" s="19">
        <v>0</v>
      </c>
      <c r="Z1622" s="19">
        <v>0</v>
      </c>
      <c r="AA1622" s="19">
        <v>0</v>
      </c>
    </row>
    <row r="1623" spans="1:27" x14ac:dyDescent="0.25">
      <c r="A1623" s="19" t="s">
        <v>1872</v>
      </c>
      <c r="B1623" s="19" t="s">
        <v>1849</v>
      </c>
      <c r="C1623" s="19" t="s">
        <v>1850</v>
      </c>
      <c r="D1623" s="19">
        <v>0</v>
      </c>
      <c r="E1623" s="19" t="s">
        <v>112</v>
      </c>
      <c r="F1623" s="19" t="s">
        <v>113</v>
      </c>
      <c r="G1623" s="19" t="s">
        <v>32</v>
      </c>
      <c r="H1623" s="19" t="s">
        <v>114</v>
      </c>
      <c r="I1623" s="19" t="s">
        <v>115</v>
      </c>
      <c r="J1623" s="19">
        <v>30</v>
      </c>
      <c r="K1623" s="19">
        <v>2.1700000000000001E-2</v>
      </c>
      <c r="L1623" s="19" t="s">
        <v>35</v>
      </c>
      <c r="M1623" s="19" t="s">
        <v>103</v>
      </c>
      <c r="N1623" s="19">
        <v>0</v>
      </c>
      <c r="O1623" s="19">
        <v>0</v>
      </c>
      <c r="P1623" s="19">
        <v>0</v>
      </c>
      <c r="Q1623" s="19">
        <v>0</v>
      </c>
      <c r="S1623" s="19">
        <v>1</v>
      </c>
      <c r="T1623" s="19">
        <v>1</v>
      </c>
      <c r="U1623" s="19">
        <v>0</v>
      </c>
      <c r="V1623" s="19" t="s">
        <v>36</v>
      </c>
      <c r="W1623" s="19">
        <v>0</v>
      </c>
      <c r="Y1623" s="19" t="s">
        <v>103</v>
      </c>
      <c r="Z1623" s="19">
        <v>50</v>
      </c>
      <c r="AA1623" s="19">
        <v>0</v>
      </c>
    </row>
    <row r="1624" spans="1:27" x14ac:dyDescent="0.25">
      <c r="A1624" s="19" t="s">
        <v>1873</v>
      </c>
      <c r="B1624" s="19" t="s">
        <v>1849</v>
      </c>
      <c r="C1624" s="19" t="s">
        <v>1850</v>
      </c>
      <c r="D1624" s="19">
        <v>0</v>
      </c>
      <c r="E1624" s="19" t="s">
        <v>117</v>
      </c>
      <c r="F1624" s="19" t="s">
        <v>118</v>
      </c>
      <c r="G1624" s="19" t="s">
        <v>32</v>
      </c>
      <c r="H1624" s="19" t="s">
        <v>114</v>
      </c>
      <c r="I1624" s="19" t="s">
        <v>115</v>
      </c>
      <c r="J1624" s="19">
        <v>31</v>
      </c>
      <c r="K1624" s="19">
        <v>2.1700000000000001E-2</v>
      </c>
      <c r="L1624" s="19" t="s">
        <v>35</v>
      </c>
      <c r="M1624" s="19" t="s">
        <v>103</v>
      </c>
      <c r="N1624" s="19">
        <v>0</v>
      </c>
      <c r="O1624" s="19">
        <v>0</v>
      </c>
      <c r="P1624" s="19">
        <v>0</v>
      </c>
      <c r="Q1624" s="19">
        <v>0</v>
      </c>
      <c r="S1624" s="19">
        <v>1</v>
      </c>
      <c r="T1624" s="19">
        <v>1</v>
      </c>
      <c r="U1624" s="19">
        <v>0</v>
      </c>
      <c r="V1624" s="19" t="s">
        <v>36</v>
      </c>
      <c r="W1624" s="19">
        <v>0</v>
      </c>
      <c r="Y1624" s="19" t="s">
        <v>103</v>
      </c>
      <c r="Z1624" s="19">
        <v>50</v>
      </c>
      <c r="AA1624" s="19">
        <v>0</v>
      </c>
    </row>
    <row r="1625" spans="1:27" x14ac:dyDescent="0.25">
      <c r="A1625" s="19" t="s">
        <v>1874</v>
      </c>
      <c r="B1625" s="19" t="s">
        <v>1849</v>
      </c>
      <c r="C1625" s="19" t="s">
        <v>1850</v>
      </c>
      <c r="D1625" s="19">
        <v>0</v>
      </c>
      <c r="E1625" s="19" t="s">
        <v>120</v>
      </c>
      <c r="F1625" s="19" t="s">
        <v>121</v>
      </c>
      <c r="G1625" s="19" t="s">
        <v>32</v>
      </c>
      <c r="H1625" s="19" t="s">
        <v>114</v>
      </c>
      <c r="I1625" s="19" t="s">
        <v>115</v>
      </c>
      <c r="J1625" s="19">
        <v>28</v>
      </c>
      <c r="K1625" s="19">
        <v>2.1700000000000001E-2</v>
      </c>
      <c r="L1625" s="19" t="s">
        <v>35</v>
      </c>
      <c r="M1625" s="19" t="s">
        <v>103</v>
      </c>
      <c r="N1625" s="19">
        <v>0</v>
      </c>
      <c r="O1625" s="19">
        <v>0</v>
      </c>
      <c r="P1625" s="19">
        <v>0</v>
      </c>
      <c r="Q1625" s="19">
        <v>0</v>
      </c>
      <c r="S1625" s="19">
        <v>1</v>
      </c>
      <c r="T1625" s="19">
        <v>1</v>
      </c>
      <c r="U1625" s="19">
        <v>0</v>
      </c>
      <c r="V1625" s="19" t="s">
        <v>36</v>
      </c>
      <c r="W1625" s="19">
        <v>0</v>
      </c>
      <c r="Y1625" s="19" t="s">
        <v>103</v>
      </c>
      <c r="Z1625" s="19">
        <v>50</v>
      </c>
      <c r="AA1625" s="19">
        <v>0</v>
      </c>
    </row>
    <row r="1626" spans="1:27" x14ac:dyDescent="0.25">
      <c r="A1626" s="19" t="s">
        <v>1875</v>
      </c>
      <c r="B1626" s="19" t="s">
        <v>1849</v>
      </c>
      <c r="C1626" s="19" t="s">
        <v>1850</v>
      </c>
      <c r="D1626" s="19">
        <v>0</v>
      </c>
      <c r="E1626" s="19" t="s">
        <v>123</v>
      </c>
      <c r="F1626" s="19" t="s">
        <v>124</v>
      </c>
      <c r="G1626" s="19" t="s">
        <v>32</v>
      </c>
      <c r="H1626" s="19" t="s">
        <v>114</v>
      </c>
      <c r="I1626" s="19" t="s">
        <v>115</v>
      </c>
      <c r="J1626" s="19">
        <v>27</v>
      </c>
      <c r="K1626" s="19">
        <v>2.1700000000000001E-2</v>
      </c>
      <c r="L1626" s="19" t="s">
        <v>35</v>
      </c>
      <c r="M1626" s="19" t="s">
        <v>103</v>
      </c>
      <c r="N1626" s="19">
        <v>0</v>
      </c>
      <c r="O1626" s="19">
        <v>0</v>
      </c>
      <c r="P1626" s="19">
        <v>0</v>
      </c>
      <c r="Q1626" s="19">
        <v>0</v>
      </c>
      <c r="S1626" s="19">
        <v>1</v>
      </c>
      <c r="T1626" s="19">
        <v>1</v>
      </c>
      <c r="U1626" s="19">
        <v>0</v>
      </c>
      <c r="V1626" s="19" t="s">
        <v>36</v>
      </c>
      <c r="W1626" s="19">
        <v>0</v>
      </c>
      <c r="Y1626" s="19" t="s">
        <v>103</v>
      </c>
      <c r="Z1626" s="19">
        <v>50</v>
      </c>
      <c r="AA1626" s="19">
        <v>0</v>
      </c>
    </row>
    <row r="1627" spans="1:27" x14ac:dyDescent="0.25">
      <c r="A1627" s="19" t="s">
        <v>1876</v>
      </c>
      <c r="B1627" s="19" t="s">
        <v>1849</v>
      </c>
      <c r="C1627" s="19" t="s">
        <v>1850</v>
      </c>
      <c r="D1627" s="19">
        <v>0</v>
      </c>
      <c r="E1627" s="19" t="s">
        <v>126</v>
      </c>
      <c r="F1627" s="19" t="s">
        <v>127</v>
      </c>
      <c r="G1627" s="19" t="s">
        <v>32</v>
      </c>
      <c r="H1627" s="19" t="s">
        <v>114</v>
      </c>
      <c r="I1627" s="19" t="s">
        <v>115</v>
      </c>
      <c r="J1627" s="19">
        <v>29</v>
      </c>
      <c r="K1627" s="19">
        <v>2.1700000000000001E-2</v>
      </c>
      <c r="L1627" s="19" t="s">
        <v>35</v>
      </c>
      <c r="M1627" s="19" t="s">
        <v>103</v>
      </c>
      <c r="N1627" s="19">
        <v>0</v>
      </c>
      <c r="O1627" s="19">
        <v>0</v>
      </c>
      <c r="P1627" s="19">
        <v>0</v>
      </c>
      <c r="Q1627" s="19">
        <v>0</v>
      </c>
      <c r="S1627" s="19">
        <v>1</v>
      </c>
      <c r="T1627" s="19">
        <v>1</v>
      </c>
      <c r="U1627" s="19">
        <v>0</v>
      </c>
      <c r="V1627" s="19" t="s">
        <v>36</v>
      </c>
      <c r="W1627" s="19">
        <v>0</v>
      </c>
      <c r="Y1627" s="19" t="s">
        <v>103</v>
      </c>
      <c r="Z1627" s="19">
        <v>50</v>
      </c>
      <c r="AA1627" s="19">
        <v>0</v>
      </c>
    </row>
    <row r="1628" spans="1:27" x14ac:dyDescent="0.25">
      <c r="A1628" s="19" t="s">
        <v>1877</v>
      </c>
      <c r="B1628" s="19" t="s">
        <v>1849</v>
      </c>
      <c r="C1628" s="19" t="s">
        <v>1850</v>
      </c>
      <c r="D1628" s="19">
        <v>1.085</v>
      </c>
      <c r="E1628" s="19" t="s">
        <v>129</v>
      </c>
      <c r="F1628" s="19" t="s">
        <v>130</v>
      </c>
      <c r="G1628" s="19" t="s">
        <v>32</v>
      </c>
      <c r="H1628" s="19" t="s">
        <v>114</v>
      </c>
      <c r="I1628" s="19" t="s">
        <v>115</v>
      </c>
      <c r="J1628" s="19">
        <v>32</v>
      </c>
      <c r="K1628" s="19">
        <v>2.1700000000000001E-2</v>
      </c>
      <c r="L1628" s="19" t="s">
        <v>35</v>
      </c>
      <c r="M1628" s="19" t="s">
        <v>103</v>
      </c>
      <c r="N1628" s="19">
        <v>50</v>
      </c>
      <c r="O1628" s="19">
        <v>50</v>
      </c>
      <c r="P1628" s="19">
        <v>0</v>
      </c>
      <c r="Q1628" s="19">
        <v>0</v>
      </c>
      <c r="S1628" s="19">
        <v>1</v>
      </c>
      <c r="T1628" s="19">
        <v>1</v>
      </c>
      <c r="U1628" s="19">
        <v>0</v>
      </c>
      <c r="V1628" s="19" t="s">
        <v>41</v>
      </c>
      <c r="W1628" s="19">
        <v>1</v>
      </c>
      <c r="Y1628" s="19" t="s">
        <v>103</v>
      </c>
      <c r="Z1628" s="19">
        <v>50</v>
      </c>
      <c r="AA1628" s="19">
        <v>50</v>
      </c>
    </row>
    <row r="1629" spans="1:27" x14ac:dyDescent="0.25">
      <c r="A1629" s="19" t="s">
        <v>1878</v>
      </c>
      <c r="B1629" s="19" t="s">
        <v>1849</v>
      </c>
      <c r="C1629" s="19" t="s">
        <v>1850</v>
      </c>
      <c r="D1629" s="19">
        <v>0</v>
      </c>
      <c r="E1629" s="19" t="s">
        <v>132</v>
      </c>
      <c r="F1629" s="19" t="s">
        <v>133</v>
      </c>
      <c r="G1629" s="19" t="s">
        <v>134</v>
      </c>
      <c r="H1629" s="19" t="s">
        <v>87</v>
      </c>
      <c r="I1629" s="19" t="s">
        <v>135</v>
      </c>
      <c r="J1629" s="19">
        <v>11</v>
      </c>
      <c r="K1629" s="19">
        <v>4.1700000000000001E-2</v>
      </c>
      <c r="L1629" s="19" t="s">
        <v>35</v>
      </c>
      <c r="M1629" s="19" t="s">
        <v>103</v>
      </c>
      <c r="N1629" s="19">
        <v>0</v>
      </c>
      <c r="O1629" s="19">
        <v>0</v>
      </c>
      <c r="P1629" s="19">
        <v>0</v>
      </c>
      <c r="Q1629" s="19">
        <v>0</v>
      </c>
      <c r="S1629" s="19">
        <v>1</v>
      </c>
      <c r="T1629" s="19">
        <v>1</v>
      </c>
      <c r="U1629" s="19">
        <v>0</v>
      </c>
      <c r="V1629" s="19" t="s">
        <v>36</v>
      </c>
      <c r="W1629" s="19">
        <v>0</v>
      </c>
      <c r="Y1629" s="19" t="s">
        <v>103</v>
      </c>
      <c r="Z1629" s="19">
        <v>50</v>
      </c>
      <c r="AA1629" s="19">
        <v>0</v>
      </c>
    </row>
    <row r="1630" spans="1:27" x14ac:dyDescent="0.25">
      <c r="A1630" s="19" t="s">
        <v>1879</v>
      </c>
      <c r="B1630" s="19" t="s">
        <v>1849</v>
      </c>
      <c r="C1630" s="19" t="s">
        <v>1850</v>
      </c>
      <c r="D1630" s="19">
        <v>0</v>
      </c>
      <c r="E1630" s="19" t="s">
        <v>137</v>
      </c>
      <c r="F1630" s="19" t="s">
        <v>138</v>
      </c>
      <c r="G1630" s="19" t="s">
        <v>134</v>
      </c>
      <c r="H1630" s="19" t="s">
        <v>87</v>
      </c>
      <c r="I1630" s="19" t="s">
        <v>135</v>
      </c>
      <c r="J1630" s="19">
        <v>9</v>
      </c>
      <c r="K1630" s="19">
        <v>4.1700000000000001E-2</v>
      </c>
      <c r="L1630" s="19" t="s">
        <v>35</v>
      </c>
      <c r="N1630" s="19">
        <v>0</v>
      </c>
      <c r="O1630" s="19">
        <v>0</v>
      </c>
      <c r="P1630" s="19">
        <v>0</v>
      </c>
      <c r="Q1630" s="19">
        <v>0</v>
      </c>
      <c r="S1630" s="19">
        <v>1</v>
      </c>
      <c r="T1630" s="19">
        <v>1</v>
      </c>
      <c r="U1630" s="19">
        <v>0</v>
      </c>
      <c r="W1630" s="19">
        <v>0</v>
      </c>
      <c r="X1630" s="19">
        <v>0</v>
      </c>
      <c r="Z1630" s="19">
        <v>0</v>
      </c>
      <c r="AA1630" s="19">
        <v>0</v>
      </c>
    </row>
    <row r="1631" spans="1:27" x14ac:dyDescent="0.25">
      <c r="A1631" s="19" t="s">
        <v>1880</v>
      </c>
      <c r="B1631" s="19" t="s">
        <v>1849</v>
      </c>
      <c r="C1631" s="19" t="s">
        <v>1850</v>
      </c>
      <c r="D1631" s="19">
        <v>0</v>
      </c>
      <c r="E1631" s="19" t="s">
        <v>140</v>
      </c>
      <c r="F1631" s="19" t="s">
        <v>141</v>
      </c>
      <c r="G1631" s="19" t="s">
        <v>134</v>
      </c>
      <c r="H1631" s="19" t="s">
        <v>87</v>
      </c>
      <c r="I1631" s="19" t="s">
        <v>135</v>
      </c>
      <c r="J1631" s="19">
        <v>10</v>
      </c>
      <c r="K1631" s="19">
        <v>4.1700000000000001E-2</v>
      </c>
      <c r="L1631" s="19" t="s">
        <v>35</v>
      </c>
      <c r="N1631" s="19">
        <v>0</v>
      </c>
      <c r="O1631" s="19">
        <v>0</v>
      </c>
      <c r="P1631" s="19">
        <v>0</v>
      </c>
      <c r="Q1631" s="19">
        <v>0</v>
      </c>
      <c r="S1631" s="19">
        <v>1</v>
      </c>
      <c r="T1631" s="19">
        <v>1</v>
      </c>
      <c r="U1631" s="19">
        <v>0</v>
      </c>
      <c r="W1631" s="19">
        <v>0</v>
      </c>
      <c r="X1631" s="19">
        <v>0</v>
      </c>
      <c r="Z1631" s="19">
        <v>0</v>
      </c>
      <c r="AA1631" s="19">
        <v>0</v>
      </c>
    </row>
    <row r="1632" spans="1:27" x14ac:dyDescent="0.25">
      <c r="A1632" s="19" t="s">
        <v>1881</v>
      </c>
      <c r="B1632" s="19" t="s">
        <v>1849</v>
      </c>
      <c r="C1632" s="19" t="s">
        <v>1850</v>
      </c>
      <c r="D1632" s="19">
        <v>1.25</v>
      </c>
      <c r="E1632" s="19" t="s">
        <v>144</v>
      </c>
      <c r="F1632" s="19" t="s">
        <v>145</v>
      </c>
      <c r="G1632" s="19" t="s">
        <v>134</v>
      </c>
      <c r="H1632" s="19" t="s">
        <v>146</v>
      </c>
      <c r="I1632" s="19" t="s">
        <v>147</v>
      </c>
      <c r="J1632" s="19">
        <v>4</v>
      </c>
      <c r="K1632" s="19">
        <v>2.5000000000000001E-2</v>
      </c>
      <c r="L1632" s="19" t="s">
        <v>35</v>
      </c>
      <c r="M1632" s="19" t="s">
        <v>103</v>
      </c>
      <c r="N1632" s="19">
        <v>50</v>
      </c>
      <c r="O1632" s="19">
        <v>50</v>
      </c>
      <c r="P1632" s="19">
        <v>0</v>
      </c>
      <c r="Q1632" s="19">
        <v>0</v>
      </c>
      <c r="S1632" s="19">
        <v>1</v>
      </c>
      <c r="T1632" s="19">
        <v>1</v>
      </c>
      <c r="U1632" s="19">
        <v>0</v>
      </c>
      <c r="V1632" s="19" t="s">
        <v>41</v>
      </c>
      <c r="W1632" s="19">
        <v>1</v>
      </c>
      <c r="Y1632" s="19" t="s">
        <v>103</v>
      </c>
      <c r="Z1632" s="19">
        <v>50</v>
      </c>
      <c r="AA1632" s="19">
        <v>50</v>
      </c>
    </row>
    <row r="1633" spans="1:27" x14ac:dyDescent="0.25">
      <c r="A1633" s="19" t="s">
        <v>1882</v>
      </c>
      <c r="B1633" s="19" t="s">
        <v>1849</v>
      </c>
      <c r="C1633" s="19" t="s">
        <v>1850</v>
      </c>
      <c r="D1633" s="19">
        <v>0</v>
      </c>
      <c r="E1633" s="19" t="s">
        <v>149</v>
      </c>
      <c r="F1633" s="19" t="s">
        <v>150</v>
      </c>
      <c r="G1633" s="19" t="s">
        <v>134</v>
      </c>
      <c r="H1633" s="19" t="s">
        <v>146</v>
      </c>
      <c r="I1633" s="19" t="s">
        <v>147</v>
      </c>
      <c r="J1633" s="19">
        <v>5</v>
      </c>
      <c r="K1633" s="19">
        <v>2.5000000000000001E-2</v>
      </c>
      <c r="L1633" s="19" t="s">
        <v>35</v>
      </c>
      <c r="M1633" s="19" t="s">
        <v>103</v>
      </c>
      <c r="N1633" s="19">
        <v>0</v>
      </c>
      <c r="O1633" s="19">
        <v>0</v>
      </c>
      <c r="P1633" s="19">
        <v>0</v>
      </c>
      <c r="Q1633" s="19">
        <v>0</v>
      </c>
      <c r="S1633" s="19">
        <v>1</v>
      </c>
      <c r="T1633" s="19">
        <v>1</v>
      </c>
      <c r="U1633" s="19">
        <v>0</v>
      </c>
      <c r="V1633" s="19" t="s">
        <v>36</v>
      </c>
      <c r="W1633" s="19">
        <v>0</v>
      </c>
      <c r="Y1633" s="19" t="s">
        <v>103</v>
      </c>
      <c r="Z1633" s="19">
        <v>50</v>
      </c>
      <c r="AA1633" s="19">
        <v>0</v>
      </c>
    </row>
    <row r="1634" spans="1:27" x14ac:dyDescent="0.25">
      <c r="A1634" s="19" t="s">
        <v>1883</v>
      </c>
      <c r="B1634" s="19" t="s">
        <v>1849</v>
      </c>
      <c r="C1634" s="19" t="s">
        <v>1850</v>
      </c>
      <c r="D1634" s="19">
        <v>1.25</v>
      </c>
      <c r="E1634" s="19" t="s">
        <v>152</v>
      </c>
      <c r="F1634" s="19" t="s">
        <v>153</v>
      </c>
      <c r="G1634" s="19" t="s">
        <v>134</v>
      </c>
      <c r="H1634" s="19" t="s">
        <v>146</v>
      </c>
      <c r="I1634" s="19" t="s">
        <v>147</v>
      </c>
      <c r="J1634" s="19">
        <v>6</v>
      </c>
      <c r="K1634" s="19">
        <v>2.5000000000000001E-2</v>
      </c>
      <c r="L1634" s="19" t="s">
        <v>35</v>
      </c>
      <c r="M1634" s="19" t="s">
        <v>103</v>
      </c>
      <c r="N1634" s="19">
        <v>50</v>
      </c>
      <c r="O1634" s="19">
        <v>50</v>
      </c>
      <c r="P1634" s="19">
        <v>0</v>
      </c>
      <c r="Q1634" s="19">
        <v>0</v>
      </c>
      <c r="S1634" s="19">
        <v>1</v>
      </c>
      <c r="T1634" s="19">
        <v>1</v>
      </c>
      <c r="U1634" s="19">
        <v>0</v>
      </c>
      <c r="V1634" s="19" t="s">
        <v>41</v>
      </c>
      <c r="W1634" s="19">
        <v>1</v>
      </c>
      <c r="Y1634" s="19" t="s">
        <v>103</v>
      </c>
      <c r="Z1634" s="19">
        <v>50</v>
      </c>
      <c r="AA1634" s="19">
        <v>50</v>
      </c>
    </row>
    <row r="1635" spans="1:27" x14ac:dyDescent="0.25">
      <c r="A1635" s="19" t="s">
        <v>1884</v>
      </c>
      <c r="B1635" s="19" t="s">
        <v>1849</v>
      </c>
      <c r="C1635" s="19" t="s">
        <v>1850</v>
      </c>
      <c r="D1635" s="19">
        <v>1.25</v>
      </c>
      <c r="E1635" s="19" t="s">
        <v>155</v>
      </c>
      <c r="F1635" s="19" t="s">
        <v>156</v>
      </c>
      <c r="G1635" s="19" t="s">
        <v>134</v>
      </c>
      <c r="H1635" s="19" t="s">
        <v>146</v>
      </c>
      <c r="I1635" s="19" t="s">
        <v>147</v>
      </c>
      <c r="J1635" s="19">
        <v>7</v>
      </c>
      <c r="K1635" s="19">
        <v>2.5000000000000001E-2</v>
      </c>
      <c r="L1635" s="19" t="s">
        <v>35</v>
      </c>
      <c r="M1635" s="19" t="s">
        <v>103</v>
      </c>
      <c r="N1635" s="19">
        <v>50</v>
      </c>
      <c r="O1635" s="19">
        <v>50</v>
      </c>
      <c r="P1635" s="19">
        <v>0</v>
      </c>
      <c r="Q1635" s="19">
        <v>0</v>
      </c>
      <c r="S1635" s="19">
        <v>1</v>
      </c>
      <c r="T1635" s="19">
        <v>1</v>
      </c>
      <c r="U1635" s="19">
        <v>0</v>
      </c>
      <c r="V1635" s="19" t="s">
        <v>41</v>
      </c>
      <c r="W1635" s="19">
        <v>1</v>
      </c>
      <c r="Y1635" s="19" t="s">
        <v>103</v>
      </c>
      <c r="Z1635" s="19">
        <v>50</v>
      </c>
      <c r="AA1635" s="19">
        <v>50</v>
      </c>
    </row>
    <row r="1636" spans="1:27" x14ac:dyDescent="0.25">
      <c r="A1636" s="19" t="s">
        <v>1885</v>
      </c>
      <c r="B1636" s="19" t="s">
        <v>1849</v>
      </c>
      <c r="C1636" s="19" t="s">
        <v>1850</v>
      </c>
      <c r="D1636" s="19">
        <v>0</v>
      </c>
      <c r="E1636" s="19" t="s">
        <v>158</v>
      </c>
      <c r="F1636" s="19" t="s">
        <v>159</v>
      </c>
      <c r="G1636" s="19" t="s">
        <v>134</v>
      </c>
      <c r="H1636" s="19" t="s">
        <v>146</v>
      </c>
      <c r="I1636" s="19" t="s">
        <v>147</v>
      </c>
      <c r="J1636" s="19">
        <v>8</v>
      </c>
      <c r="K1636" s="19">
        <v>2.5000000000000001E-2</v>
      </c>
      <c r="L1636" s="19" t="s">
        <v>35</v>
      </c>
      <c r="M1636" s="19" t="s">
        <v>103</v>
      </c>
      <c r="N1636" s="19">
        <v>0</v>
      </c>
      <c r="O1636" s="19">
        <v>0</v>
      </c>
      <c r="P1636" s="19">
        <v>0</v>
      </c>
      <c r="Q1636" s="19">
        <v>0</v>
      </c>
      <c r="S1636" s="19">
        <v>1</v>
      </c>
      <c r="T1636" s="19">
        <v>1</v>
      </c>
      <c r="U1636" s="19">
        <v>0</v>
      </c>
      <c r="V1636" s="19" t="s">
        <v>36</v>
      </c>
      <c r="W1636" s="19">
        <v>0</v>
      </c>
      <c r="Y1636" s="19" t="s">
        <v>103</v>
      </c>
      <c r="Z1636" s="19">
        <v>50</v>
      </c>
      <c r="AA1636" s="19">
        <v>0</v>
      </c>
    </row>
    <row r="1637" spans="1:27" x14ac:dyDescent="0.25">
      <c r="A1637" s="19" t="s">
        <v>1886</v>
      </c>
      <c r="B1637" s="19" t="s">
        <v>1849</v>
      </c>
      <c r="C1637" s="19" t="s">
        <v>1850</v>
      </c>
      <c r="D1637" s="19">
        <v>3.33</v>
      </c>
      <c r="E1637" s="19" t="s">
        <v>161</v>
      </c>
      <c r="F1637" s="19" t="s">
        <v>162</v>
      </c>
      <c r="G1637" s="19" t="s">
        <v>163</v>
      </c>
      <c r="I1637" s="19" t="s">
        <v>164</v>
      </c>
      <c r="J1637" s="19">
        <v>1</v>
      </c>
      <c r="K1637" s="19">
        <v>3.3300000000000003E-2</v>
      </c>
      <c r="L1637" s="19" t="s">
        <v>35</v>
      </c>
      <c r="M1637" s="19" t="s">
        <v>165</v>
      </c>
      <c r="N1637" s="19">
        <v>100</v>
      </c>
      <c r="O1637" s="19">
        <v>100</v>
      </c>
      <c r="P1637" s="19">
        <v>0</v>
      </c>
      <c r="Q1637" s="19">
        <v>0</v>
      </c>
      <c r="S1637" s="19">
        <v>1</v>
      </c>
      <c r="T1637" s="19">
        <v>1</v>
      </c>
      <c r="U1637" s="19">
        <v>0</v>
      </c>
      <c r="W1637" s="19">
        <v>0</v>
      </c>
      <c r="X1637" s="19">
        <v>100</v>
      </c>
      <c r="Z1637" s="19">
        <v>0</v>
      </c>
      <c r="AA1637" s="19">
        <v>100</v>
      </c>
    </row>
    <row r="1638" spans="1:27" x14ac:dyDescent="0.25">
      <c r="A1638" s="19" t="s">
        <v>1887</v>
      </c>
      <c r="B1638" s="19" t="s">
        <v>1849</v>
      </c>
      <c r="C1638" s="19" t="s">
        <v>1850</v>
      </c>
      <c r="D1638" s="19">
        <v>0</v>
      </c>
      <c r="E1638" s="19" t="s">
        <v>167</v>
      </c>
      <c r="F1638" s="19" t="s">
        <v>168</v>
      </c>
      <c r="G1638" s="19" t="s">
        <v>163</v>
      </c>
      <c r="I1638" s="19" t="s">
        <v>164</v>
      </c>
      <c r="J1638" s="19">
        <v>3</v>
      </c>
      <c r="K1638" s="19">
        <v>3.3300000000000003E-2</v>
      </c>
      <c r="L1638" s="19" t="s">
        <v>35</v>
      </c>
      <c r="M1638" s="19" t="s">
        <v>165</v>
      </c>
      <c r="N1638" s="19">
        <v>0</v>
      </c>
      <c r="O1638" s="19">
        <v>0</v>
      </c>
      <c r="P1638" s="19">
        <v>0</v>
      </c>
      <c r="Q1638" s="19">
        <v>0</v>
      </c>
      <c r="S1638" s="19">
        <v>1</v>
      </c>
      <c r="T1638" s="19">
        <v>1</v>
      </c>
      <c r="U1638" s="19">
        <v>0</v>
      </c>
      <c r="W1638" s="19">
        <v>0</v>
      </c>
      <c r="X1638" s="19">
        <v>0</v>
      </c>
      <c r="Z1638" s="19">
        <v>0</v>
      </c>
      <c r="AA1638" s="19">
        <v>0</v>
      </c>
    </row>
    <row r="1639" spans="1:27" x14ac:dyDescent="0.25">
      <c r="A1639" s="19" t="s">
        <v>1888</v>
      </c>
      <c r="B1639" s="19" t="s">
        <v>1849</v>
      </c>
      <c r="C1639" s="19" t="s">
        <v>1850</v>
      </c>
      <c r="D1639" s="19">
        <v>0</v>
      </c>
      <c r="E1639" s="19" t="s">
        <v>170</v>
      </c>
      <c r="F1639" s="19" t="s">
        <v>171</v>
      </c>
      <c r="G1639" s="19" t="s">
        <v>163</v>
      </c>
      <c r="I1639" s="19" t="s">
        <v>164</v>
      </c>
      <c r="J1639" s="19">
        <v>2</v>
      </c>
      <c r="K1639" s="19">
        <v>3.3300000000000003E-2</v>
      </c>
      <c r="L1639" s="19" t="s">
        <v>35</v>
      </c>
      <c r="M1639" s="19" t="s">
        <v>165</v>
      </c>
      <c r="N1639" s="19">
        <v>0</v>
      </c>
      <c r="O1639" s="19">
        <v>0</v>
      </c>
      <c r="P1639" s="19">
        <v>0</v>
      </c>
      <c r="Q1639" s="19">
        <v>0</v>
      </c>
      <c r="S1639" s="19">
        <v>1</v>
      </c>
      <c r="T1639" s="19">
        <v>1</v>
      </c>
      <c r="U1639" s="19">
        <v>0</v>
      </c>
      <c r="W1639" s="19">
        <v>0</v>
      </c>
      <c r="X1639" s="19">
        <v>0</v>
      </c>
      <c r="Z1639" s="19">
        <v>0</v>
      </c>
      <c r="AA1639" s="19">
        <v>0</v>
      </c>
    </row>
    <row r="1640" spans="1:27" x14ac:dyDescent="0.25">
      <c r="A1640" s="19" t="s">
        <v>990</v>
      </c>
      <c r="B1640" s="19" t="s">
        <v>991</v>
      </c>
      <c r="C1640" s="19" t="s">
        <v>992</v>
      </c>
      <c r="D1640" s="19">
        <v>2.78</v>
      </c>
      <c r="E1640" s="19" t="s">
        <v>137</v>
      </c>
      <c r="F1640" s="19" t="s">
        <v>138</v>
      </c>
      <c r="G1640" s="19" t="s">
        <v>134</v>
      </c>
      <c r="H1640" s="19" t="s">
        <v>87</v>
      </c>
      <c r="I1640" s="19" t="s">
        <v>135</v>
      </c>
      <c r="J1640" s="19">
        <v>9</v>
      </c>
      <c r="K1640" s="19">
        <v>4.1700000000000001E-2</v>
      </c>
      <c r="L1640" s="19" t="s">
        <v>541</v>
      </c>
      <c r="M1640" s="19" t="s">
        <v>541</v>
      </c>
      <c r="N1640" s="19">
        <v>50</v>
      </c>
      <c r="O1640" s="19">
        <v>66.666666666699996</v>
      </c>
      <c r="P1640" s="19">
        <v>33.333333333299997</v>
      </c>
      <c r="Q1640" s="19">
        <v>16.666666666699999</v>
      </c>
      <c r="R1640" s="19" t="s">
        <v>870</v>
      </c>
      <c r="S1640" s="19">
        <v>0.9</v>
      </c>
      <c r="T1640" s="19">
        <v>1</v>
      </c>
      <c r="U1640" s="19">
        <v>16.666666666699999</v>
      </c>
      <c r="AA1640" s="19">
        <v>0</v>
      </c>
    </row>
    <row r="1641" spans="1:27" x14ac:dyDescent="0.25">
      <c r="A1641" s="19" t="s">
        <v>993</v>
      </c>
      <c r="B1641" s="19" t="s">
        <v>991</v>
      </c>
      <c r="C1641" s="19" t="s">
        <v>992</v>
      </c>
      <c r="D1641" s="19">
        <v>1.51449969097651</v>
      </c>
      <c r="E1641" s="19" t="s">
        <v>46</v>
      </c>
      <c r="F1641" s="19" t="s">
        <v>47</v>
      </c>
      <c r="G1641" s="19" t="s">
        <v>32</v>
      </c>
      <c r="H1641" s="19" t="s">
        <v>33</v>
      </c>
      <c r="I1641" s="19" t="s">
        <v>34</v>
      </c>
      <c r="J1641" s="19">
        <v>15</v>
      </c>
      <c r="K1641" s="19">
        <v>1.6299999999999999E-2</v>
      </c>
      <c r="L1641" s="19" t="s">
        <v>541</v>
      </c>
      <c r="M1641" s="19" t="s">
        <v>541</v>
      </c>
      <c r="N1641" s="19">
        <v>50</v>
      </c>
      <c r="O1641" s="19">
        <v>92.914091471000006</v>
      </c>
      <c r="P1641" s="19">
        <v>95.3646477132</v>
      </c>
      <c r="Q1641" s="19">
        <v>47.6823238566</v>
      </c>
      <c r="R1641" s="19" t="s">
        <v>870</v>
      </c>
      <c r="S1641" s="19">
        <v>0.9</v>
      </c>
      <c r="T1641" s="19">
        <v>0.9</v>
      </c>
      <c r="U1641" s="19">
        <v>42.914091470999999</v>
      </c>
      <c r="AA1641" s="19">
        <v>0</v>
      </c>
    </row>
    <row r="1642" spans="1:27" x14ac:dyDescent="0.25">
      <c r="A1642" s="19" t="s">
        <v>994</v>
      </c>
      <c r="B1642" s="19" t="s">
        <v>991</v>
      </c>
      <c r="C1642" s="19" t="s">
        <v>992</v>
      </c>
      <c r="D1642" s="19">
        <v>1.54849999999999</v>
      </c>
      <c r="E1642" s="19" t="s">
        <v>49</v>
      </c>
      <c r="F1642" s="19" t="s">
        <v>50</v>
      </c>
      <c r="G1642" s="19" t="s">
        <v>32</v>
      </c>
      <c r="H1642" s="19" t="s">
        <v>33</v>
      </c>
      <c r="I1642" s="19" t="s">
        <v>34</v>
      </c>
      <c r="J1642" s="19">
        <v>12</v>
      </c>
      <c r="K1642" s="19">
        <v>1.6299999999999999E-2</v>
      </c>
      <c r="L1642" s="19" t="s">
        <v>541</v>
      </c>
      <c r="M1642" s="19" t="s">
        <v>541</v>
      </c>
      <c r="N1642" s="19">
        <v>50</v>
      </c>
      <c r="O1642" s="19">
        <v>95</v>
      </c>
      <c r="P1642" s="19">
        <v>100</v>
      </c>
      <c r="Q1642" s="19">
        <v>50</v>
      </c>
      <c r="R1642" s="19" t="s">
        <v>870</v>
      </c>
      <c r="S1642" s="19">
        <v>0.9</v>
      </c>
      <c r="T1642" s="19">
        <v>0.9</v>
      </c>
      <c r="U1642" s="19">
        <v>45</v>
      </c>
      <c r="AA1642" s="19">
        <v>0</v>
      </c>
    </row>
    <row r="1643" spans="1:27" x14ac:dyDescent="0.25">
      <c r="A1643" s="19" t="s">
        <v>995</v>
      </c>
      <c r="B1643" s="19" t="s">
        <v>991</v>
      </c>
      <c r="C1643" s="19" t="s">
        <v>992</v>
      </c>
      <c r="D1643" s="19">
        <v>1.54849999999999</v>
      </c>
      <c r="E1643" s="19" t="s">
        <v>52</v>
      </c>
      <c r="F1643" s="19" t="s">
        <v>53</v>
      </c>
      <c r="G1643" s="19" t="s">
        <v>32</v>
      </c>
      <c r="H1643" s="19" t="s">
        <v>33</v>
      </c>
      <c r="I1643" s="19" t="s">
        <v>34</v>
      </c>
      <c r="J1643" s="19">
        <v>16</v>
      </c>
      <c r="K1643" s="19">
        <v>1.6299999999999999E-2</v>
      </c>
      <c r="L1643" s="19" t="s">
        <v>541</v>
      </c>
      <c r="M1643" s="19" t="s">
        <v>541</v>
      </c>
      <c r="N1643" s="19">
        <v>50</v>
      </c>
      <c r="O1643" s="19">
        <v>95</v>
      </c>
      <c r="P1643" s="19">
        <v>100</v>
      </c>
      <c r="Q1643" s="19">
        <v>50</v>
      </c>
      <c r="R1643" s="19" t="s">
        <v>870</v>
      </c>
      <c r="S1643" s="19">
        <v>0.9</v>
      </c>
      <c r="T1643" s="19">
        <v>0.9</v>
      </c>
      <c r="U1643" s="19">
        <v>45</v>
      </c>
      <c r="AA1643" s="19">
        <v>0</v>
      </c>
    </row>
    <row r="1644" spans="1:27" x14ac:dyDescent="0.25">
      <c r="A1644" s="19" t="s">
        <v>996</v>
      </c>
      <c r="B1644" s="19" t="s">
        <v>991</v>
      </c>
      <c r="C1644" s="19" t="s">
        <v>992</v>
      </c>
      <c r="D1644" s="19">
        <v>1.5469133189122299</v>
      </c>
      <c r="E1644" s="19" t="s">
        <v>55</v>
      </c>
      <c r="F1644" s="19" t="s">
        <v>56</v>
      </c>
      <c r="G1644" s="19" t="s">
        <v>32</v>
      </c>
      <c r="H1644" s="19" t="s">
        <v>33</v>
      </c>
      <c r="I1644" s="19" t="s">
        <v>34</v>
      </c>
      <c r="J1644" s="19">
        <v>14</v>
      </c>
      <c r="K1644" s="19">
        <v>1.6299999999999999E-2</v>
      </c>
      <c r="L1644" s="19" t="s">
        <v>541</v>
      </c>
      <c r="M1644" s="19" t="s">
        <v>541</v>
      </c>
      <c r="N1644" s="19">
        <v>50</v>
      </c>
      <c r="O1644" s="19">
        <v>94.902657602000005</v>
      </c>
      <c r="P1644" s="19">
        <v>99.78368356</v>
      </c>
      <c r="Q1644" s="19">
        <v>49.89184178</v>
      </c>
      <c r="R1644" s="19" t="s">
        <v>870</v>
      </c>
      <c r="S1644" s="19">
        <v>0.9</v>
      </c>
      <c r="T1644" s="19">
        <v>0.9</v>
      </c>
      <c r="U1644" s="19">
        <v>44.902657601999998</v>
      </c>
      <c r="AA1644" s="19">
        <v>0</v>
      </c>
    </row>
    <row r="1645" spans="1:27" x14ac:dyDescent="0.25">
      <c r="A1645" s="19" t="s">
        <v>997</v>
      </c>
      <c r="B1645" s="19" t="s">
        <v>991</v>
      </c>
      <c r="C1645" s="19" t="s">
        <v>992</v>
      </c>
      <c r="D1645" s="19">
        <v>1.1817499999999901</v>
      </c>
      <c r="E1645" s="19" t="s">
        <v>58</v>
      </c>
      <c r="F1645" s="19" t="s">
        <v>59</v>
      </c>
      <c r="G1645" s="19" t="s">
        <v>32</v>
      </c>
      <c r="H1645" s="19" t="s">
        <v>33</v>
      </c>
      <c r="I1645" s="19" t="s">
        <v>34</v>
      </c>
      <c r="J1645" s="19">
        <v>13</v>
      </c>
      <c r="K1645" s="19">
        <v>1.6299999999999999E-2</v>
      </c>
      <c r="L1645" s="19" t="s">
        <v>541</v>
      </c>
      <c r="M1645" s="19" t="s">
        <v>541</v>
      </c>
      <c r="N1645" s="19">
        <v>50</v>
      </c>
      <c r="O1645" s="19">
        <v>72.5</v>
      </c>
      <c r="P1645" s="19">
        <v>50</v>
      </c>
      <c r="Q1645" s="19">
        <v>25</v>
      </c>
      <c r="R1645" s="19" t="s">
        <v>870</v>
      </c>
      <c r="S1645" s="19">
        <v>0.9</v>
      </c>
      <c r="T1645" s="19">
        <v>0.9</v>
      </c>
      <c r="U1645" s="19">
        <v>22.5</v>
      </c>
      <c r="AA1645" s="19">
        <v>0</v>
      </c>
    </row>
    <row r="1646" spans="1:27" x14ac:dyDescent="0.25">
      <c r="A1646" s="19" t="s">
        <v>998</v>
      </c>
      <c r="B1646" s="19" t="s">
        <v>991</v>
      </c>
      <c r="C1646" s="19" t="s">
        <v>992</v>
      </c>
      <c r="D1646" s="19">
        <v>1.7669999999999999</v>
      </c>
      <c r="E1646" s="19" t="s">
        <v>61</v>
      </c>
      <c r="F1646" s="19" t="s">
        <v>62</v>
      </c>
      <c r="G1646" s="19" t="s">
        <v>32</v>
      </c>
      <c r="H1646" s="19" t="s">
        <v>63</v>
      </c>
      <c r="I1646" s="19" t="s">
        <v>64</v>
      </c>
      <c r="J1646" s="19">
        <v>22</v>
      </c>
      <c r="K1646" s="19">
        <v>1.8599999999999998E-2</v>
      </c>
      <c r="L1646" s="19" t="s">
        <v>541</v>
      </c>
      <c r="M1646" s="19" t="s">
        <v>541</v>
      </c>
      <c r="N1646" s="19">
        <v>50</v>
      </c>
      <c r="O1646" s="19">
        <v>95</v>
      </c>
      <c r="P1646" s="19">
        <v>100</v>
      </c>
      <c r="Q1646" s="19">
        <v>50</v>
      </c>
      <c r="R1646" s="19" t="s">
        <v>870</v>
      </c>
      <c r="S1646" s="19">
        <v>0.9</v>
      </c>
      <c r="T1646" s="19">
        <v>0.9</v>
      </c>
      <c r="U1646" s="19">
        <v>45</v>
      </c>
      <c r="AA1646" s="19">
        <v>0</v>
      </c>
    </row>
    <row r="1647" spans="1:27" x14ac:dyDescent="0.25">
      <c r="A1647" s="19" t="s">
        <v>999</v>
      </c>
      <c r="B1647" s="19" t="s">
        <v>991</v>
      </c>
      <c r="C1647" s="19" t="s">
        <v>992</v>
      </c>
      <c r="D1647" s="19">
        <v>1.7669999999999999</v>
      </c>
      <c r="E1647" s="19" t="s">
        <v>66</v>
      </c>
      <c r="F1647" s="19" t="s">
        <v>67</v>
      </c>
      <c r="G1647" s="19" t="s">
        <v>32</v>
      </c>
      <c r="H1647" s="19" t="s">
        <v>63</v>
      </c>
      <c r="I1647" s="19" t="s">
        <v>64</v>
      </c>
      <c r="J1647" s="19">
        <v>20</v>
      </c>
      <c r="K1647" s="19">
        <v>1.8599999999999998E-2</v>
      </c>
      <c r="L1647" s="19" t="s">
        <v>541</v>
      </c>
      <c r="M1647" s="19" t="s">
        <v>541</v>
      </c>
      <c r="N1647" s="19">
        <v>50</v>
      </c>
      <c r="O1647" s="19">
        <v>95</v>
      </c>
      <c r="P1647" s="19">
        <v>100</v>
      </c>
      <c r="Q1647" s="19">
        <v>50</v>
      </c>
      <c r="R1647" s="19" t="s">
        <v>870</v>
      </c>
      <c r="S1647" s="19">
        <v>0.9</v>
      </c>
      <c r="T1647" s="19">
        <v>0.9</v>
      </c>
      <c r="U1647" s="19">
        <v>45</v>
      </c>
      <c r="AA1647" s="19">
        <v>0</v>
      </c>
    </row>
    <row r="1648" spans="1:27" x14ac:dyDescent="0.25">
      <c r="A1648" s="19" t="s">
        <v>1000</v>
      </c>
      <c r="B1648" s="19" t="s">
        <v>991</v>
      </c>
      <c r="C1648" s="19" t="s">
        <v>992</v>
      </c>
      <c r="D1648" s="19">
        <v>1.7669999999999999</v>
      </c>
      <c r="E1648" s="19" t="s">
        <v>69</v>
      </c>
      <c r="F1648" s="19" t="s">
        <v>70</v>
      </c>
      <c r="G1648" s="19" t="s">
        <v>32</v>
      </c>
      <c r="H1648" s="19" t="s">
        <v>63</v>
      </c>
      <c r="I1648" s="19" t="s">
        <v>64</v>
      </c>
      <c r="J1648" s="19">
        <v>23</v>
      </c>
      <c r="K1648" s="19">
        <v>1.8599999999999998E-2</v>
      </c>
      <c r="L1648" s="19" t="s">
        <v>541</v>
      </c>
      <c r="M1648" s="19" t="s">
        <v>541</v>
      </c>
      <c r="N1648" s="19">
        <v>50</v>
      </c>
      <c r="O1648" s="19">
        <v>95</v>
      </c>
      <c r="P1648" s="19">
        <v>100</v>
      </c>
      <c r="Q1648" s="19">
        <v>50</v>
      </c>
      <c r="R1648" s="19" t="s">
        <v>870</v>
      </c>
      <c r="S1648" s="19">
        <v>0.9</v>
      </c>
      <c r="T1648" s="19">
        <v>0.9</v>
      </c>
      <c r="U1648" s="19">
        <v>45</v>
      </c>
      <c r="AA1648" s="19">
        <v>0</v>
      </c>
    </row>
    <row r="1649" spans="1:27" x14ac:dyDescent="0.25">
      <c r="A1649" s="19" t="s">
        <v>1001</v>
      </c>
      <c r="B1649" s="19" t="s">
        <v>991</v>
      </c>
      <c r="C1649" s="19" t="s">
        <v>992</v>
      </c>
      <c r="D1649" s="19">
        <v>1.7669999999999999</v>
      </c>
      <c r="E1649" s="19" t="s">
        <v>72</v>
      </c>
      <c r="F1649" s="19" t="s">
        <v>73</v>
      </c>
      <c r="G1649" s="19" t="s">
        <v>32</v>
      </c>
      <c r="H1649" s="19" t="s">
        <v>63</v>
      </c>
      <c r="I1649" s="19" t="s">
        <v>64</v>
      </c>
      <c r="J1649" s="19">
        <v>21</v>
      </c>
      <c r="K1649" s="19">
        <v>1.8599999999999998E-2</v>
      </c>
      <c r="L1649" s="19" t="s">
        <v>541</v>
      </c>
      <c r="M1649" s="19" t="s">
        <v>541</v>
      </c>
      <c r="N1649" s="19">
        <v>50</v>
      </c>
      <c r="O1649" s="19">
        <v>95</v>
      </c>
      <c r="P1649" s="19">
        <v>100</v>
      </c>
      <c r="Q1649" s="19">
        <v>50</v>
      </c>
      <c r="R1649" s="19" t="s">
        <v>870</v>
      </c>
      <c r="S1649" s="19">
        <v>0.9</v>
      </c>
      <c r="T1649" s="19">
        <v>0.9</v>
      </c>
      <c r="U1649" s="19">
        <v>45</v>
      </c>
      <c r="AA1649" s="19">
        <v>0</v>
      </c>
    </row>
    <row r="1650" spans="1:27" x14ac:dyDescent="0.25">
      <c r="A1650" s="19" t="s">
        <v>1002</v>
      </c>
      <c r="B1650" s="19" t="s">
        <v>991</v>
      </c>
      <c r="C1650" s="19" t="s">
        <v>992</v>
      </c>
      <c r="D1650" s="19">
        <v>1.7669999999999999</v>
      </c>
      <c r="E1650" s="19" t="s">
        <v>75</v>
      </c>
      <c r="F1650" s="19" t="s">
        <v>76</v>
      </c>
      <c r="G1650" s="19" t="s">
        <v>32</v>
      </c>
      <c r="H1650" s="19" t="s">
        <v>63</v>
      </c>
      <c r="I1650" s="19" t="s">
        <v>64</v>
      </c>
      <c r="J1650" s="19">
        <v>24</v>
      </c>
      <c r="K1650" s="19">
        <v>1.8599999999999998E-2</v>
      </c>
      <c r="L1650" s="19" t="s">
        <v>541</v>
      </c>
      <c r="M1650" s="19" t="s">
        <v>541</v>
      </c>
      <c r="N1650" s="19">
        <v>50</v>
      </c>
      <c r="O1650" s="19">
        <v>95</v>
      </c>
      <c r="P1650" s="19">
        <v>100</v>
      </c>
      <c r="Q1650" s="19">
        <v>50</v>
      </c>
      <c r="R1650" s="19" t="s">
        <v>870</v>
      </c>
      <c r="S1650" s="19">
        <v>0.9</v>
      </c>
      <c r="T1650" s="19">
        <v>0.9</v>
      </c>
      <c r="U1650" s="19">
        <v>45</v>
      </c>
      <c r="AA1650" s="19">
        <v>0</v>
      </c>
    </row>
    <row r="1651" spans="1:27" x14ac:dyDescent="0.25">
      <c r="A1651" s="19" t="s">
        <v>1003</v>
      </c>
      <c r="B1651" s="19" t="s">
        <v>991</v>
      </c>
      <c r="C1651" s="19" t="s">
        <v>992</v>
      </c>
      <c r="D1651" s="19">
        <v>1.74527317676143</v>
      </c>
      <c r="E1651" s="19" t="s">
        <v>82</v>
      </c>
      <c r="F1651" s="19" t="s">
        <v>83</v>
      </c>
      <c r="G1651" s="19" t="s">
        <v>32</v>
      </c>
      <c r="H1651" s="19" t="s">
        <v>63</v>
      </c>
      <c r="I1651" s="19" t="s">
        <v>64</v>
      </c>
      <c r="J1651" s="19">
        <v>26</v>
      </c>
      <c r="K1651" s="19">
        <v>1.8599999999999998E-2</v>
      </c>
      <c r="L1651" s="19" t="s">
        <v>541</v>
      </c>
      <c r="M1651" s="19" t="s">
        <v>541</v>
      </c>
      <c r="N1651" s="19">
        <v>50</v>
      </c>
      <c r="O1651" s="19">
        <v>93.831891223699998</v>
      </c>
      <c r="P1651" s="19">
        <v>97.404202719400004</v>
      </c>
      <c r="Q1651" s="19">
        <v>48.702101359700002</v>
      </c>
      <c r="R1651" s="19" t="s">
        <v>870</v>
      </c>
      <c r="S1651" s="19">
        <v>0.9</v>
      </c>
      <c r="T1651" s="19">
        <v>0.9</v>
      </c>
      <c r="U1651" s="19">
        <v>43.831891223699998</v>
      </c>
      <c r="AA1651" s="19">
        <v>0</v>
      </c>
    </row>
    <row r="1652" spans="1:27" x14ac:dyDescent="0.25">
      <c r="A1652" s="19" t="s">
        <v>1004</v>
      </c>
      <c r="B1652" s="19" t="s">
        <v>991</v>
      </c>
      <c r="C1652" s="19" t="s">
        <v>992</v>
      </c>
      <c r="D1652" s="19">
        <v>3.0874999999999999</v>
      </c>
      <c r="E1652" s="19" t="s">
        <v>85</v>
      </c>
      <c r="F1652" s="19" t="s">
        <v>86</v>
      </c>
      <c r="G1652" s="19" t="s">
        <v>32</v>
      </c>
      <c r="H1652" s="19" t="s">
        <v>87</v>
      </c>
      <c r="I1652" s="19" t="s">
        <v>88</v>
      </c>
      <c r="J1652" s="19">
        <v>35</v>
      </c>
      <c r="K1652" s="19">
        <v>3.2500000000000001E-2</v>
      </c>
      <c r="L1652" s="19" t="s">
        <v>541</v>
      </c>
      <c r="M1652" s="19" t="s">
        <v>541</v>
      </c>
      <c r="N1652" s="19">
        <v>50</v>
      </c>
      <c r="O1652" s="19">
        <v>95</v>
      </c>
      <c r="P1652" s="19">
        <v>100</v>
      </c>
      <c r="Q1652" s="19">
        <v>50</v>
      </c>
      <c r="R1652" s="19" t="s">
        <v>870</v>
      </c>
      <c r="S1652" s="19">
        <v>0.9</v>
      </c>
      <c r="T1652" s="19">
        <v>0.9</v>
      </c>
      <c r="U1652" s="19">
        <v>45</v>
      </c>
      <c r="AA1652" s="19">
        <v>0</v>
      </c>
    </row>
    <row r="1653" spans="1:27" x14ac:dyDescent="0.25">
      <c r="A1653" s="19" t="s">
        <v>1005</v>
      </c>
      <c r="B1653" s="19" t="s">
        <v>991</v>
      </c>
      <c r="C1653" s="19" t="s">
        <v>992</v>
      </c>
      <c r="D1653" s="19">
        <v>3.0874999999999999</v>
      </c>
      <c r="E1653" s="19" t="s">
        <v>93</v>
      </c>
      <c r="F1653" s="19" t="s">
        <v>94</v>
      </c>
      <c r="G1653" s="19" t="s">
        <v>32</v>
      </c>
      <c r="H1653" s="19" t="s">
        <v>87</v>
      </c>
      <c r="I1653" s="19" t="s">
        <v>88</v>
      </c>
      <c r="J1653" s="19">
        <v>34</v>
      </c>
      <c r="K1653" s="19">
        <v>3.2500000000000001E-2</v>
      </c>
      <c r="L1653" s="19" t="s">
        <v>541</v>
      </c>
      <c r="M1653" s="19" t="s">
        <v>541</v>
      </c>
      <c r="N1653" s="19">
        <v>50</v>
      </c>
      <c r="O1653" s="19">
        <v>95</v>
      </c>
      <c r="P1653" s="19">
        <v>100</v>
      </c>
      <c r="Q1653" s="19">
        <v>50</v>
      </c>
      <c r="R1653" s="19" t="s">
        <v>870</v>
      </c>
      <c r="S1653" s="19">
        <v>0.9</v>
      </c>
      <c r="T1653" s="19">
        <v>0.9</v>
      </c>
      <c r="U1653" s="19">
        <v>45</v>
      </c>
      <c r="AA1653" s="19">
        <v>0</v>
      </c>
    </row>
    <row r="1654" spans="1:27" x14ac:dyDescent="0.25">
      <c r="A1654" s="19" t="s">
        <v>1006</v>
      </c>
      <c r="B1654" s="19" t="s">
        <v>991</v>
      </c>
      <c r="C1654" s="19" t="s">
        <v>992</v>
      </c>
      <c r="D1654" s="19">
        <v>0</v>
      </c>
      <c r="E1654" s="19" t="s">
        <v>30</v>
      </c>
      <c r="F1654" s="19" t="s">
        <v>31</v>
      </c>
      <c r="G1654" s="19" t="s">
        <v>32</v>
      </c>
      <c r="H1654" s="19" t="s">
        <v>33</v>
      </c>
      <c r="I1654" s="19" t="s">
        <v>34</v>
      </c>
      <c r="J1654" s="19">
        <v>17</v>
      </c>
      <c r="K1654" s="19">
        <v>1.6299999999999999E-2</v>
      </c>
      <c r="L1654" s="19" t="s">
        <v>35</v>
      </c>
      <c r="M1654" s="19" t="s">
        <v>40</v>
      </c>
      <c r="N1654" s="19">
        <v>0</v>
      </c>
      <c r="O1654" s="19">
        <v>0</v>
      </c>
      <c r="P1654" s="19">
        <v>0</v>
      </c>
      <c r="Q1654" s="19">
        <v>0</v>
      </c>
      <c r="R1654" s="19" t="s">
        <v>870</v>
      </c>
      <c r="S1654" s="19">
        <v>0.9</v>
      </c>
      <c r="T1654" s="19">
        <v>1</v>
      </c>
      <c r="U1654" s="19">
        <v>0</v>
      </c>
      <c r="V1654" s="19" t="s">
        <v>80</v>
      </c>
      <c r="W1654" s="19">
        <v>0</v>
      </c>
      <c r="Y1654" s="19" t="s">
        <v>40</v>
      </c>
      <c r="Z1654" s="19">
        <v>33.33</v>
      </c>
      <c r="AA1654" s="19">
        <v>0</v>
      </c>
    </row>
    <row r="1655" spans="1:27" x14ac:dyDescent="0.25">
      <c r="A1655" s="19" t="s">
        <v>1007</v>
      </c>
      <c r="B1655" s="19" t="s">
        <v>991</v>
      </c>
      <c r="C1655" s="19" t="s">
        <v>992</v>
      </c>
      <c r="D1655" s="19">
        <v>0.54327899999999996</v>
      </c>
      <c r="E1655" s="19" t="s">
        <v>38</v>
      </c>
      <c r="F1655" s="19" t="s">
        <v>39</v>
      </c>
      <c r="G1655" s="19" t="s">
        <v>32</v>
      </c>
      <c r="H1655" s="19" t="s">
        <v>33</v>
      </c>
      <c r="I1655" s="19" t="s">
        <v>34</v>
      </c>
      <c r="J1655" s="19">
        <v>19</v>
      </c>
      <c r="K1655" s="19">
        <v>1.6299999999999999E-2</v>
      </c>
      <c r="L1655" s="19" t="s">
        <v>35</v>
      </c>
      <c r="M1655" s="19" t="s">
        <v>40</v>
      </c>
      <c r="N1655" s="19">
        <v>33.33</v>
      </c>
      <c r="O1655" s="19">
        <v>33.33</v>
      </c>
      <c r="P1655" s="19">
        <v>0</v>
      </c>
      <c r="Q1655" s="19">
        <v>0</v>
      </c>
      <c r="R1655" s="19" t="s">
        <v>870</v>
      </c>
      <c r="S1655" s="19">
        <v>0.9</v>
      </c>
      <c r="T1655" s="19">
        <v>1</v>
      </c>
      <c r="U1655" s="19">
        <v>0</v>
      </c>
      <c r="V1655" s="19" t="s">
        <v>41</v>
      </c>
      <c r="W1655" s="19">
        <v>1</v>
      </c>
      <c r="Y1655" s="19" t="s">
        <v>40</v>
      </c>
      <c r="Z1655" s="19">
        <v>33.33</v>
      </c>
      <c r="AA1655" s="19">
        <v>33.33</v>
      </c>
    </row>
    <row r="1656" spans="1:27" x14ac:dyDescent="0.25">
      <c r="A1656" s="19" t="s">
        <v>1008</v>
      </c>
      <c r="B1656" s="19" t="s">
        <v>991</v>
      </c>
      <c r="C1656" s="19" t="s">
        <v>992</v>
      </c>
      <c r="D1656" s="19">
        <v>0</v>
      </c>
      <c r="E1656" s="19" t="s">
        <v>43</v>
      </c>
      <c r="F1656" s="19" t="s">
        <v>44</v>
      </c>
      <c r="G1656" s="19" t="s">
        <v>32</v>
      </c>
      <c r="H1656" s="19" t="s">
        <v>33</v>
      </c>
      <c r="I1656" s="19" t="s">
        <v>34</v>
      </c>
      <c r="J1656" s="19">
        <v>18</v>
      </c>
      <c r="K1656" s="19">
        <v>1.6299999999999999E-2</v>
      </c>
      <c r="L1656" s="19" t="s">
        <v>35</v>
      </c>
      <c r="N1656" s="19">
        <v>0</v>
      </c>
      <c r="O1656" s="19">
        <v>0</v>
      </c>
      <c r="P1656" s="19">
        <v>0</v>
      </c>
      <c r="Q1656" s="19">
        <v>0</v>
      </c>
      <c r="R1656" s="19" t="s">
        <v>870</v>
      </c>
      <c r="S1656" s="19">
        <v>0.9</v>
      </c>
      <c r="T1656" s="19">
        <v>1</v>
      </c>
      <c r="U1656" s="19">
        <v>0</v>
      </c>
      <c r="V1656" s="19" t="s">
        <v>36</v>
      </c>
      <c r="W1656" s="19">
        <v>0</v>
      </c>
      <c r="Z1656" s="19">
        <v>0</v>
      </c>
      <c r="AA1656" s="19">
        <v>0</v>
      </c>
    </row>
    <row r="1657" spans="1:27" x14ac:dyDescent="0.25">
      <c r="A1657" s="19" t="s">
        <v>1009</v>
      </c>
      <c r="B1657" s="19" t="s">
        <v>991</v>
      </c>
      <c r="C1657" s="19" t="s">
        <v>992</v>
      </c>
      <c r="D1657" s="19">
        <v>0</v>
      </c>
      <c r="E1657" s="19" t="s">
        <v>78</v>
      </c>
      <c r="F1657" s="19" t="s">
        <v>79</v>
      </c>
      <c r="G1657" s="19" t="s">
        <v>32</v>
      </c>
      <c r="H1657" s="19" t="s">
        <v>63</v>
      </c>
      <c r="I1657" s="19" t="s">
        <v>64</v>
      </c>
      <c r="J1657" s="19">
        <v>25</v>
      </c>
      <c r="K1657" s="19">
        <v>1.8599999999999998E-2</v>
      </c>
      <c r="L1657" s="19" t="s">
        <v>35</v>
      </c>
      <c r="M1657" s="19" t="s">
        <v>40</v>
      </c>
      <c r="N1657" s="19">
        <v>0</v>
      </c>
      <c r="O1657" s="19">
        <v>0</v>
      </c>
      <c r="P1657" s="19">
        <v>0</v>
      </c>
      <c r="Q1657" s="19">
        <v>0</v>
      </c>
      <c r="R1657" s="19" t="s">
        <v>870</v>
      </c>
      <c r="S1657" s="19">
        <v>0.9</v>
      </c>
      <c r="T1657" s="19">
        <v>1</v>
      </c>
      <c r="U1657" s="19">
        <v>0</v>
      </c>
      <c r="V1657" s="19" t="s">
        <v>80</v>
      </c>
      <c r="W1657" s="19">
        <v>0</v>
      </c>
      <c r="Y1657" s="19" t="s">
        <v>40</v>
      </c>
      <c r="Z1657" s="19">
        <v>33.33</v>
      </c>
      <c r="AA1657" s="19">
        <v>0</v>
      </c>
    </row>
    <row r="1658" spans="1:27" x14ac:dyDescent="0.25">
      <c r="A1658" s="19" t="s">
        <v>1010</v>
      </c>
      <c r="B1658" s="19" t="s">
        <v>991</v>
      </c>
      <c r="C1658" s="19" t="s">
        <v>992</v>
      </c>
      <c r="D1658" s="19">
        <v>1.0832249999999899</v>
      </c>
      <c r="E1658" s="19" t="s">
        <v>90</v>
      </c>
      <c r="F1658" s="19" t="s">
        <v>91</v>
      </c>
      <c r="G1658" s="19" t="s">
        <v>32</v>
      </c>
      <c r="H1658" s="19" t="s">
        <v>87</v>
      </c>
      <c r="I1658" s="19" t="s">
        <v>88</v>
      </c>
      <c r="J1658" s="19">
        <v>33</v>
      </c>
      <c r="K1658" s="19">
        <v>3.2500000000000001E-2</v>
      </c>
      <c r="L1658" s="19" t="s">
        <v>35</v>
      </c>
      <c r="M1658" s="19" t="s">
        <v>40</v>
      </c>
      <c r="N1658" s="19">
        <v>33.33</v>
      </c>
      <c r="O1658" s="19">
        <v>33.33</v>
      </c>
      <c r="P1658" s="19">
        <v>0</v>
      </c>
      <c r="Q1658" s="19">
        <v>0</v>
      </c>
      <c r="R1658" s="19" t="s">
        <v>870</v>
      </c>
      <c r="S1658" s="19">
        <v>0.9</v>
      </c>
      <c r="T1658" s="19">
        <v>1</v>
      </c>
      <c r="U1658" s="19">
        <v>0</v>
      </c>
      <c r="V1658" s="19" t="s">
        <v>41</v>
      </c>
      <c r="W1658" s="19">
        <v>1</v>
      </c>
      <c r="Y1658" s="19" t="s">
        <v>40</v>
      </c>
      <c r="Z1658" s="19">
        <v>33.33</v>
      </c>
      <c r="AA1658" s="19">
        <v>33.33</v>
      </c>
    </row>
    <row r="1659" spans="1:27" x14ac:dyDescent="0.25">
      <c r="A1659" s="19" t="s">
        <v>1011</v>
      </c>
      <c r="B1659" s="19" t="s">
        <v>991</v>
      </c>
      <c r="C1659" s="19" t="s">
        <v>992</v>
      </c>
      <c r="D1659" s="19">
        <v>0</v>
      </c>
      <c r="E1659" s="19" t="s">
        <v>96</v>
      </c>
      <c r="F1659" s="19" t="s">
        <v>97</v>
      </c>
      <c r="G1659" s="19" t="s">
        <v>32</v>
      </c>
      <c r="H1659" s="19" t="s">
        <v>87</v>
      </c>
      <c r="I1659" s="19" t="s">
        <v>88</v>
      </c>
      <c r="J1659" s="19">
        <v>36</v>
      </c>
      <c r="K1659" s="19">
        <v>3.2500000000000001E-2</v>
      </c>
      <c r="L1659" s="19" t="s">
        <v>35</v>
      </c>
      <c r="N1659" s="19">
        <v>0</v>
      </c>
      <c r="O1659" s="19">
        <v>0</v>
      </c>
      <c r="P1659" s="19">
        <v>0</v>
      </c>
      <c r="Q1659" s="19">
        <v>0</v>
      </c>
      <c r="R1659" s="19" t="s">
        <v>870</v>
      </c>
      <c r="S1659" s="19">
        <v>0.9</v>
      </c>
      <c r="T1659" s="19">
        <v>1</v>
      </c>
      <c r="U1659" s="19">
        <v>0</v>
      </c>
      <c r="V1659" s="19" t="s">
        <v>36</v>
      </c>
      <c r="W1659" s="19">
        <v>0</v>
      </c>
      <c r="Z1659" s="19">
        <v>0</v>
      </c>
      <c r="AA1659" s="19">
        <v>0</v>
      </c>
    </row>
    <row r="1660" spans="1:27" x14ac:dyDescent="0.25">
      <c r="A1660" s="19" t="s">
        <v>1012</v>
      </c>
      <c r="B1660" s="19" t="s">
        <v>991</v>
      </c>
      <c r="C1660" s="19" t="s">
        <v>992</v>
      </c>
      <c r="D1660" s="19">
        <v>0</v>
      </c>
      <c r="E1660" s="19" t="s">
        <v>99</v>
      </c>
      <c r="F1660" s="19" t="s">
        <v>100</v>
      </c>
      <c r="G1660" s="19" t="s">
        <v>32</v>
      </c>
      <c r="H1660" s="19" t="s">
        <v>101</v>
      </c>
      <c r="I1660" s="19" t="s">
        <v>102</v>
      </c>
      <c r="J1660" s="19">
        <v>39</v>
      </c>
      <c r="K1660" s="19">
        <v>4.3299999999999998E-2</v>
      </c>
      <c r="L1660" s="19" t="s">
        <v>35</v>
      </c>
      <c r="M1660" s="19" t="s">
        <v>103</v>
      </c>
      <c r="N1660" s="19">
        <v>0</v>
      </c>
      <c r="O1660" s="19">
        <v>0</v>
      </c>
      <c r="P1660" s="19">
        <v>0</v>
      </c>
      <c r="Q1660" s="19">
        <v>0</v>
      </c>
      <c r="R1660" s="19" t="s">
        <v>870</v>
      </c>
      <c r="S1660" s="19">
        <v>0.9</v>
      </c>
      <c r="T1660" s="19">
        <v>1</v>
      </c>
      <c r="U1660" s="19">
        <v>0</v>
      </c>
      <c r="V1660" s="19" t="s">
        <v>36</v>
      </c>
      <c r="W1660" s="19">
        <v>0</v>
      </c>
      <c r="Y1660" s="19" t="s">
        <v>103</v>
      </c>
      <c r="Z1660" s="19">
        <v>50</v>
      </c>
      <c r="AA1660" s="19">
        <v>0</v>
      </c>
    </row>
    <row r="1661" spans="1:27" x14ac:dyDescent="0.25">
      <c r="A1661" s="19" t="s">
        <v>1013</v>
      </c>
      <c r="B1661" s="19" t="s">
        <v>991</v>
      </c>
      <c r="C1661" s="19" t="s">
        <v>992</v>
      </c>
      <c r="D1661" s="19">
        <v>0</v>
      </c>
      <c r="E1661" s="19" t="s">
        <v>105</v>
      </c>
      <c r="F1661" s="19" t="s">
        <v>106</v>
      </c>
      <c r="G1661" s="19" t="s">
        <v>32</v>
      </c>
      <c r="H1661" s="19" t="s">
        <v>101</v>
      </c>
      <c r="I1661" s="19" t="s">
        <v>102</v>
      </c>
      <c r="J1661" s="19">
        <v>38</v>
      </c>
      <c r="K1661" s="19">
        <v>4.3299999999999998E-2</v>
      </c>
      <c r="L1661" s="19" t="s">
        <v>35</v>
      </c>
      <c r="M1661" s="19" t="s">
        <v>103</v>
      </c>
      <c r="N1661" s="19">
        <v>0</v>
      </c>
      <c r="O1661" s="19">
        <v>0</v>
      </c>
      <c r="P1661" s="19">
        <v>0</v>
      </c>
      <c r="Q1661" s="19">
        <v>0</v>
      </c>
      <c r="R1661" s="19" t="s">
        <v>870</v>
      </c>
      <c r="S1661" s="19">
        <v>0.9</v>
      </c>
      <c r="T1661" s="19">
        <v>1</v>
      </c>
      <c r="U1661" s="19">
        <v>0</v>
      </c>
      <c r="V1661" s="19" t="s">
        <v>36</v>
      </c>
      <c r="W1661" s="19">
        <v>0</v>
      </c>
      <c r="Y1661" s="19" t="s">
        <v>103</v>
      </c>
      <c r="Z1661" s="19">
        <v>50</v>
      </c>
      <c r="AA1661" s="19">
        <v>0</v>
      </c>
    </row>
    <row r="1662" spans="1:27" x14ac:dyDescent="0.25">
      <c r="A1662" s="19" t="s">
        <v>1014</v>
      </c>
      <c r="B1662" s="19" t="s">
        <v>991</v>
      </c>
      <c r="C1662" s="19" t="s">
        <v>992</v>
      </c>
      <c r="D1662" s="19">
        <v>0</v>
      </c>
      <c r="E1662" s="19" t="s">
        <v>108</v>
      </c>
      <c r="F1662" s="19" t="s">
        <v>109</v>
      </c>
      <c r="G1662" s="19" t="s">
        <v>32</v>
      </c>
      <c r="H1662" s="19" t="s">
        <v>101</v>
      </c>
      <c r="I1662" s="19" t="s">
        <v>102</v>
      </c>
      <c r="J1662" s="19">
        <v>37</v>
      </c>
      <c r="K1662" s="19">
        <v>4.3299999999999998E-2</v>
      </c>
      <c r="L1662" s="19" t="s">
        <v>35</v>
      </c>
      <c r="M1662" s="19" t="s">
        <v>110</v>
      </c>
      <c r="N1662" s="19">
        <v>0</v>
      </c>
      <c r="O1662" s="19">
        <v>0</v>
      </c>
      <c r="P1662" s="19">
        <v>0</v>
      </c>
      <c r="Q1662" s="19">
        <v>0</v>
      </c>
      <c r="R1662" s="19" t="s">
        <v>870</v>
      </c>
      <c r="S1662" s="19">
        <v>0.9</v>
      </c>
      <c r="T1662" s="19">
        <v>1</v>
      </c>
      <c r="U1662" s="19">
        <v>0</v>
      </c>
      <c r="V1662" s="19" t="s">
        <v>80</v>
      </c>
      <c r="W1662" s="19">
        <v>0</v>
      </c>
      <c r="Y1662" s="19" t="s">
        <v>110</v>
      </c>
      <c r="Z1662" s="19">
        <v>16.664999999999999</v>
      </c>
      <c r="AA1662" s="19">
        <v>0</v>
      </c>
    </row>
    <row r="1663" spans="1:27" x14ac:dyDescent="0.25">
      <c r="A1663" s="19" t="s">
        <v>1015</v>
      </c>
      <c r="B1663" s="19" t="s">
        <v>991</v>
      </c>
      <c r="C1663" s="19" t="s">
        <v>992</v>
      </c>
      <c r="D1663" s="19">
        <v>0</v>
      </c>
      <c r="E1663" s="19" t="s">
        <v>112</v>
      </c>
      <c r="F1663" s="19" t="s">
        <v>113</v>
      </c>
      <c r="G1663" s="19" t="s">
        <v>32</v>
      </c>
      <c r="H1663" s="19" t="s">
        <v>114</v>
      </c>
      <c r="I1663" s="19" t="s">
        <v>115</v>
      </c>
      <c r="J1663" s="19">
        <v>30</v>
      </c>
      <c r="K1663" s="19">
        <v>2.1700000000000001E-2</v>
      </c>
      <c r="L1663" s="19" t="s">
        <v>35</v>
      </c>
      <c r="M1663" s="19" t="s">
        <v>103</v>
      </c>
      <c r="N1663" s="19">
        <v>0</v>
      </c>
      <c r="O1663" s="19">
        <v>0</v>
      </c>
      <c r="P1663" s="19">
        <v>0</v>
      </c>
      <c r="Q1663" s="19">
        <v>0</v>
      </c>
      <c r="R1663" s="19" t="s">
        <v>870</v>
      </c>
      <c r="S1663" s="19">
        <v>0.9</v>
      </c>
      <c r="T1663" s="19">
        <v>1</v>
      </c>
      <c r="U1663" s="19">
        <v>0</v>
      </c>
      <c r="V1663" s="19" t="s">
        <v>36</v>
      </c>
      <c r="W1663" s="19">
        <v>0</v>
      </c>
      <c r="Y1663" s="19" t="s">
        <v>103</v>
      </c>
      <c r="Z1663" s="19">
        <v>50</v>
      </c>
      <c r="AA1663" s="19">
        <v>0</v>
      </c>
    </row>
    <row r="1664" spans="1:27" x14ac:dyDescent="0.25">
      <c r="A1664" s="19" t="s">
        <v>1016</v>
      </c>
      <c r="B1664" s="19" t="s">
        <v>991</v>
      </c>
      <c r="C1664" s="19" t="s">
        <v>992</v>
      </c>
      <c r="D1664" s="19">
        <v>1.085</v>
      </c>
      <c r="E1664" s="19" t="s">
        <v>117</v>
      </c>
      <c r="F1664" s="19" t="s">
        <v>118</v>
      </c>
      <c r="G1664" s="19" t="s">
        <v>32</v>
      </c>
      <c r="H1664" s="19" t="s">
        <v>114</v>
      </c>
      <c r="I1664" s="19" t="s">
        <v>115</v>
      </c>
      <c r="J1664" s="19">
        <v>31</v>
      </c>
      <c r="K1664" s="19">
        <v>2.1700000000000001E-2</v>
      </c>
      <c r="L1664" s="19" t="s">
        <v>35</v>
      </c>
      <c r="M1664" s="19" t="s">
        <v>103</v>
      </c>
      <c r="N1664" s="19">
        <v>50</v>
      </c>
      <c r="O1664" s="19">
        <v>50</v>
      </c>
      <c r="P1664" s="19">
        <v>0</v>
      </c>
      <c r="Q1664" s="19">
        <v>0</v>
      </c>
      <c r="R1664" s="19" t="s">
        <v>870</v>
      </c>
      <c r="S1664" s="19">
        <v>0.9</v>
      </c>
      <c r="T1664" s="19">
        <v>1</v>
      </c>
      <c r="U1664" s="19">
        <v>0</v>
      </c>
      <c r="V1664" s="19" t="s">
        <v>41</v>
      </c>
      <c r="W1664" s="19">
        <v>1</v>
      </c>
      <c r="Y1664" s="19" t="s">
        <v>103</v>
      </c>
      <c r="Z1664" s="19">
        <v>50</v>
      </c>
      <c r="AA1664" s="19">
        <v>50</v>
      </c>
    </row>
    <row r="1665" spans="1:27" x14ac:dyDescent="0.25">
      <c r="A1665" s="19" t="s">
        <v>1017</v>
      </c>
      <c r="B1665" s="19" t="s">
        <v>991</v>
      </c>
      <c r="C1665" s="19" t="s">
        <v>992</v>
      </c>
      <c r="D1665" s="19">
        <v>1.085</v>
      </c>
      <c r="E1665" s="19" t="s">
        <v>120</v>
      </c>
      <c r="F1665" s="19" t="s">
        <v>121</v>
      </c>
      <c r="G1665" s="19" t="s">
        <v>32</v>
      </c>
      <c r="H1665" s="19" t="s">
        <v>114</v>
      </c>
      <c r="I1665" s="19" t="s">
        <v>115</v>
      </c>
      <c r="J1665" s="19">
        <v>28</v>
      </c>
      <c r="K1665" s="19">
        <v>2.1700000000000001E-2</v>
      </c>
      <c r="L1665" s="19" t="s">
        <v>35</v>
      </c>
      <c r="M1665" s="19" t="s">
        <v>103</v>
      </c>
      <c r="N1665" s="19">
        <v>50</v>
      </c>
      <c r="O1665" s="19">
        <v>50</v>
      </c>
      <c r="P1665" s="19">
        <v>0</v>
      </c>
      <c r="Q1665" s="19">
        <v>0</v>
      </c>
      <c r="R1665" s="19" t="s">
        <v>870</v>
      </c>
      <c r="S1665" s="19">
        <v>0.9</v>
      </c>
      <c r="T1665" s="19">
        <v>1</v>
      </c>
      <c r="U1665" s="19">
        <v>0</v>
      </c>
      <c r="V1665" s="19" t="s">
        <v>41</v>
      </c>
      <c r="W1665" s="19">
        <v>1</v>
      </c>
      <c r="Y1665" s="19" t="s">
        <v>103</v>
      </c>
      <c r="Z1665" s="19">
        <v>50</v>
      </c>
      <c r="AA1665" s="19">
        <v>50</v>
      </c>
    </row>
    <row r="1666" spans="1:27" x14ac:dyDescent="0.25">
      <c r="A1666" s="19" t="s">
        <v>1018</v>
      </c>
      <c r="B1666" s="19" t="s">
        <v>991</v>
      </c>
      <c r="C1666" s="19" t="s">
        <v>992</v>
      </c>
      <c r="D1666" s="19">
        <v>0</v>
      </c>
      <c r="E1666" s="19" t="s">
        <v>123</v>
      </c>
      <c r="F1666" s="19" t="s">
        <v>124</v>
      </c>
      <c r="G1666" s="19" t="s">
        <v>32</v>
      </c>
      <c r="H1666" s="19" t="s">
        <v>114</v>
      </c>
      <c r="I1666" s="19" t="s">
        <v>115</v>
      </c>
      <c r="J1666" s="19">
        <v>27</v>
      </c>
      <c r="K1666" s="19">
        <v>2.1700000000000001E-2</v>
      </c>
      <c r="L1666" s="19" t="s">
        <v>35</v>
      </c>
      <c r="M1666" s="19" t="s">
        <v>103</v>
      </c>
      <c r="N1666" s="19">
        <v>0</v>
      </c>
      <c r="O1666" s="19">
        <v>0</v>
      </c>
      <c r="P1666" s="19">
        <v>0</v>
      </c>
      <c r="Q1666" s="19">
        <v>0</v>
      </c>
      <c r="R1666" s="19" t="s">
        <v>870</v>
      </c>
      <c r="S1666" s="19">
        <v>0.9</v>
      </c>
      <c r="T1666" s="19">
        <v>1</v>
      </c>
      <c r="U1666" s="19">
        <v>0</v>
      </c>
      <c r="V1666" s="19" t="s">
        <v>80</v>
      </c>
      <c r="W1666" s="19">
        <v>0</v>
      </c>
      <c r="Y1666" s="19" t="s">
        <v>103</v>
      </c>
      <c r="Z1666" s="19">
        <v>50</v>
      </c>
      <c r="AA1666" s="19">
        <v>0</v>
      </c>
    </row>
    <row r="1667" spans="1:27" x14ac:dyDescent="0.25">
      <c r="A1667" s="19" t="s">
        <v>1019</v>
      </c>
      <c r="B1667" s="19" t="s">
        <v>991</v>
      </c>
      <c r="C1667" s="19" t="s">
        <v>992</v>
      </c>
      <c r="D1667" s="19">
        <v>0</v>
      </c>
      <c r="E1667" s="19" t="s">
        <v>126</v>
      </c>
      <c r="F1667" s="19" t="s">
        <v>127</v>
      </c>
      <c r="G1667" s="19" t="s">
        <v>32</v>
      </c>
      <c r="H1667" s="19" t="s">
        <v>114</v>
      </c>
      <c r="I1667" s="19" t="s">
        <v>115</v>
      </c>
      <c r="J1667" s="19">
        <v>29</v>
      </c>
      <c r="K1667" s="19">
        <v>2.1700000000000001E-2</v>
      </c>
      <c r="L1667" s="19" t="s">
        <v>35</v>
      </c>
      <c r="M1667" s="19" t="s">
        <v>103</v>
      </c>
      <c r="N1667" s="19">
        <v>0</v>
      </c>
      <c r="O1667" s="19">
        <v>0</v>
      </c>
      <c r="P1667" s="19">
        <v>0</v>
      </c>
      <c r="Q1667" s="19">
        <v>0</v>
      </c>
      <c r="R1667" s="19" t="s">
        <v>870</v>
      </c>
      <c r="S1667" s="19">
        <v>0.9</v>
      </c>
      <c r="T1667" s="19">
        <v>1</v>
      </c>
      <c r="U1667" s="19">
        <v>0</v>
      </c>
      <c r="V1667" s="19" t="s">
        <v>80</v>
      </c>
      <c r="W1667" s="19">
        <v>0</v>
      </c>
      <c r="Y1667" s="19" t="s">
        <v>103</v>
      </c>
      <c r="Z1667" s="19">
        <v>50</v>
      </c>
      <c r="AA1667" s="19">
        <v>0</v>
      </c>
    </row>
    <row r="1668" spans="1:27" x14ac:dyDescent="0.25">
      <c r="A1668" s="19" t="s">
        <v>1020</v>
      </c>
      <c r="B1668" s="19" t="s">
        <v>991</v>
      </c>
      <c r="C1668" s="19" t="s">
        <v>992</v>
      </c>
      <c r="D1668" s="19">
        <v>1.085</v>
      </c>
      <c r="E1668" s="19" t="s">
        <v>129</v>
      </c>
      <c r="F1668" s="19" t="s">
        <v>130</v>
      </c>
      <c r="G1668" s="19" t="s">
        <v>32</v>
      </c>
      <c r="H1668" s="19" t="s">
        <v>114</v>
      </c>
      <c r="I1668" s="19" t="s">
        <v>115</v>
      </c>
      <c r="J1668" s="19">
        <v>32</v>
      </c>
      <c r="K1668" s="19">
        <v>2.1700000000000001E-2</v>
      </c>
      <c r="L1668" s="19" t="s">
        <v>35</v>
      </c>
      <c r="M1668" s="19" t="s">
        <v>103</v>
      </c>
      <c r="N1668" s="19">
        <v>50</v>
      </c>
      <c r="O1668" s="19">
        <v>50</v>
      </c>
      <c r="P1668" s="19">
        <v>0</v>
      </c>
      <c r="Q1668" s="19">
        <v>0</v>
      </c>
      <c r="R1668" s="19" t="s">
        <v>870</v>
      </c>
      <c r="S1668" s="19">
        <v>0.9</v>
      </c>
      <c r="T1668" s="19">
        <v>1</v>
      </c>
      <c r="U1668" s="19">
        <v>0</v>
      </c>
      <c r="V1668" s="19" t="s">
        <v>41</v>
      </c>
      <c r="W1668" s="19">
        <v>1</v>
      </c>
      <c r="Y1668" s="19" t="s">
        <v>103</v>
      </c>
      <c r="Z1668" s="19">
        <v>50</v>
      </c>
      <c r="AA1668" s="19">
        <v>50</v>
      </c>
    </row>
    <row r="1669" spans="1:27" x14ac:dyDescent="0.25">
      <c r="A1669" s="19" t="s">
        <v>1021</v>
      </c>
      <c r="B1669" s="19" t="s">
        <v>991</v>
      </c>
      <c r="C1669" s="19" t="s">
        <v>992</v>
      </c>
      <c r="D1669" s="19">
        <v>2.085</v>
      </c>
      <c r="E1669" s="19" t="s">
        <v>132</v>
      </c>
      <c r="F1669" s="19" t="s">
        <v>133</v>
      </c>
      <c r="G1669" s="19" t="s">
        <v>134</v>
      </c>
      <c r="H1669" s="19" t="s">
        <v>87</v>
      </c>
      <c r="I1669" s="19" t="s">
        <v>135</v>
      </c>
      <c r="J1669" s="19">
        <v>11</v>
      </c>
      <c r="K1669" s="19">
        <v>4.1700000000000001E-2</v>
      </c>
      <c r="L1669" s="19" t="s">
        <v>35</v>
      </c>
      <c r="M1669" s="19" t="s">
        <v>103</v>
      </c>
      <c r="N1669" s="19">
        <v>50</v>
      </c>
      <c r="O1669" s="19">
        <v>50</v>
      </c>
      <c r="P1669" s="19">
        <v>0</v>
      </c>
      <c r="Q1669" s="19">
        <v>0</v>
      </c>
      <c r="R1669" s="19" t="s">
        <v>870</v>
      </c>
      <c r="S1669" s="19">
        <v>0.9</v>
      </c>
      <c r="T1669" s="19">
        <v>1</v>
      </c>
      <c r="U1669" s="19">
        <v>0</v>
      </c>
      <c r="V1669" s="19" t="s">
        <v>41</v>
      </c>
      <c r="W1669" s="19">
        <v>1</v>
      </c>
      <c r="Y1669" s="19" t="s">
        <v>103</v>
      </c>
      <c r="Z1669" s="19">
        <v>50</v>
      </c>
      <c r="AA1669" s="19">
        <v>50</v>
      </c>
    </row>
    <row r="1670" spans="1:27" x14ac:dyDescent="0.25">
      <c r="A1670" s="19" t="s">
        <v>1022</v>
      </c>
      <c r="B1670" s="19" t="s">
        <v>991</v>
      </c>
      <c r="C1670" s="19" t="s">
        <v>992</v>
      </c>
      <c r="D1670" s="19">
        <v>2.085</v>
      </c>
      <c r="E1670" s="19" t="s">
        <v>140</v>
      </c>
      <c r="F1670" s="19" t="s">
        <v>141</v>
      </c>
      <c r="G1670" s="19" t="s">
        <v>134</v>
      </c>
      <c r="H1670" s="19" t="s">
        <v>87</v>
      </c>
      <c r="I1670" s="19" t="s">
        <v>135</v>
      </c>
      <c r="J1670" s="19">
        <v>10</v>
      </c>
      <c r="K1670" s="19">
        <v>4.1700000000000001E-2</v>
      </c>
      <c r="L1670" s="19" t="s">
        <v>35</v>
      </c>
      <c r="M1670" s="19" t="s">
        <v>142</v>
      </c>
      <c r="N1670" s="19">
        <v>50</v>
      </c>
      <c r="O1670" s="19">
        <v>50</v>
      </c>
      <c r="P1670" s="19">
        <v>0</v>
      </c>
      <c r="Q1670" s="19">
        <v>0</v>
      </c>
      <c r="R1670" s="19" t="s">
        <v>870</v>
      </c>
      <c r="S1670" s="19">
        <v>0.9</v>
      </c>
      <c r="T1670" s="19">
        <v>1</v>
      </c>
      <c r="U1670" s="19">
        <v>0</v>
      </c>
      <c r="W1670" s="19">
        <v>0</v>
      </c>
      <c r="X1670" s="19">
        <v>3</v>
      </c>
      <c r="Y1670" s="19" t="s">
        <v>142</v>
      </c>
      <c r="Z1670" s="19">
        <v>50</v>
      </c>
      <c r="AA1670" s="19">
        <v>50</v>
      </c>
    </row>
    <row r="1671" spans="1:27" x14ac:dyDescent="0.25">
      <c r="A1671" s="19" t="s">
        <v>1023</v>
      </c>
      <c r="B1671" s="19" t="s">
        <v>991</v>
      </c>
      <c r="C1671" s="19" t="s">
        <v>992</v>
      </c>
      <c r="D1671" s="19">
        <v>1.25</v>
      </c>
      <c r="E1671" s="19" t="s">
        <v>144</v>
      </c>
      <c r="F1671" s="19" t="s">
        <v>145</v>
      </c>
      <c r="G1671" s="19" t="s">
        <v>134</v>
      </c>
      <c r="H1671" s="19" t="s">
        <v>146</v>
      </c>
      <c r="I1671" s="19" t="s">
        <v>147</v>
      </c>
      <c r="J1671" s="19">
        <v>4</v>
      </c>
      <c r="K1671" s="19">
        <v>2.5000000000000001E-2</v>
      </c>
      <c r="L1671" s="19" t="s">
        <v>35</v>
      </c>
      <c r="M1671" s="19" t="s">
        <v>103</v>
      </c>
      <c r="N1671" s="19">
        <v>50</v>
      </c>
      <c r="O1671" s="19">
        <v>50</v>
      </c>
      <c r="P1671" s="19">
        <v>0</v>
      </c>
      <c r="Q1671" s="19">
        <v>0</v>
      </c>
      <c r="R1671" s="19" t="s">
        <v>870</v>
      </c>
      <c r="S1671" s="19">
        <v>0.9</v>
      </c>
      <c r="T1671" s="19">
        <v>1</v>
      </c>
      <c r="U1671" s="19">
        <v>0</v>
      </c>
      <c r="V1671" s="19" t="s">
        <v>41</v>
      </c>
      <c r="W1671" s="19">
        <v>1</v>
      </c>
      <c r="Y1671" s="19" t="s">
        <v>103</v>
      </c>
      <c r="Z1671" s="19">
        <v>50</v>
      </c>
      <c r="AA1671" s="19">
        <v>50</v>
      </c>
    </row>
    <row r="1672" spans="1:27" x14ac:dyDescent="0.25">
      <c r="A1672" s="19" t="s">
        <v>1024</v>
      </c>
      <c r="B1672" s="19" t="s">
        <v>991</v>
      </c>
      <c r="C1672" s="19" t="s">
        <v>992</v>
      </c>
      <c r="D1672" s="19">
        <v>1.25</v>
      </c>
      <c r="E1672" s="19" t="s">
        <v>149</v>
      </c>
      <c r="F1672" s="19" t="s">
        <v>150</v>
      </c>
      <c r="G1672" s="19" t="s">
        <v>134</v>
      </c>
      <c r="H1672" s="19" t="s">
        <v>146</v>
      </c>
      <c r="I1672" s="19" t="s">
        <v>147</v>
      </c>
      <c r="J1672" s="19">
        <v>5</v>
      </c>
      <c r="K1672" s="19">
        <v>2.5000000000000001E-2</v>
      </c>
      <c r="L1672" s="19" t="s">
        <v>35</v>
      </c>
      <c r="M1672" s="19" t="s">
        <v>103</v>
      </c>
      <c r="N1672" s="19">
        <v>50</v>
      </c>
      <c r="O1672" s="19">
        <v>50</v>
      </c>
      <c r="P1672" s="19">
        <v>0</v>
      </c>
      <c r="Q1672" s="19">
        <v>0</v>
      </c>
      <c r="R1672" s="19" t="s">
        <v>870</v>
      </c>
      <c r="S1672" s="19">
        <v>0.9</v>
      </c>
      <c r="T1672" s="19">
        <v>1</v>
      </c>
      <c r="U1672" s="19">
        <v>0</v>
      </c>
      <c r="V1672" s="19" t="s">
        <v>41</v>
      </c>
      <c r="W1672" s="19">
        <v>1</v>
      </c>
      <c r="Y1672" s="19" t="s">
        <v>103</v>
      </c>
      <c r="Z1672" s="19">
        <v>50</v>
      </c>
      <c r="AA1672" s="19">
        <v>50</v>
      </c>
    </row>
    <row r="1673" spans="1:27" x14ac:dyDescent="0.25">
      <c r="A1673" s="19" t="s">
        <v>1025</v>
      </c>
      <c r="B1673" s="19" t="s">
        <v>991</v>
      </c>
      <c r="C1673" s="19" t="s">
        <v>992</v>
      </c>
      <c r="D1673" s="19">
        <v>1.25</v>
      </c>
      <c r="E1673" s="19" t="s">
        <v>152</v>
      </c>
      <c r="F1673" s="19" t="s">
        <v>153</v>
      </c>
      <c r="G1673" s="19" t="s">
        <v>134</v>
      </c>
      <c r="H1673" s="19" t="s">
        <v>146</v>
      </c>
      <c r="I1673" s="19" t="s">
        <v>147</v>
      </c>
      <c r="J1673" s="19">
        <v>6</v>
      </c>
      <c r="K1673" s="19">
        <v>2.5000000000000001E-2</v>
      </c>
      <c r="L1673" s="19" t="s">
        <v>35</v>
      </c>
      <c r="M1673" s="19" t="s">
        <v>103</v>
      </c>
      <c r="N1673" s="19">
        <v>50</v>
      </c>
      <c r="O1673" s="19">
        <v>50</v>
      </c>
      <c r="P1673" s="19">
        <v>0</v>
      </c>
      <c r="Q1673" s="19">
        <v>0</v>
      </c>
      <c r="R1673" s="19" t="s">
        <v>870</v>
      </c>
      <c r="S1673" s="19">
        <v>0.9</v>
      </c>
      <c r="T1673" s="19">
        <v>1</v>
      </c>
      <c r="U1673" s="19">
        <v>0</v>
      </c>
      <c r="V1673" s="19" t="s">
        <v>41</v>
      </c>
      <c r="W1673" s="19">
        <v>1</v>
      </c>
      <c r="Y1673" s="19" t="s">
        <v>103</v>
      </c>
      <c r="Z1673" s="19">
        <v>50</v>
      </c>
      <c r="AA1673" s="19">
        <v>50</v>
      </c>
    </row>
    <row r="1674" spans="1:27" x14ac:dyDescent="0.25">
      <c r="A1674" s="19" t="s">
        <v>1026</v>
      </c>
      <c r="B1674" s="19" t="s">
        <v>991</v>
      </c>
      <c r="C1674" s="19" t="s">
        <v>992</v>
      </c>
      <c r="D1674" s="19">
        <v>1.25</v>
      </c>
      <c r="E1674" s="19" t="s">
        <v>155</v>
      </c>
      <c r="F1674" s="19" t="s">
        <v>156</v>
      </c>
      <c r="G1674" s="19" t="s">
        <v>134</v>
      </c>
      <c r="H1674" s="19" t="s">
        <v>146</v>
      </c>
      <c r="I1674" s="19" t="s">
        <v>147</v>
      </c>
      <c r="J1674" s="19">
        <v>7</v>
      </c>
      <c r="K1674" s="19">
        <v>2.5000000000000001E-2</v>
      </c>
      <c r="L1674" s="19" t="s">
        <v>35</v>
      </c>
      <c r="M1674" s="19" t="s">
        <v>103</v>
      </c>
      <c r="N1674" s="19">
        <v>50</v>
      </c>
      <c r="O1674" s="19">
        <v>50</v>
      </c>
      <c r="P1674" s="19">
        <v>0</v>
      </c>
      <c r="Q1674" s="19">
        <v>0</v>
      </c>
      <c r="R1674" s="19" t="s">
        <v>870</v>
      </c>
      <c r="S1674" s="19">
        <v>0.9</v>
      </c>
      <c r="T1674" s="19">
        <v>1</v>
      </c>
      <c r="U1674" s="19">
        <v>0</v>
      </c>
      <c r="V1674" s="19" t="s">
        <v>41</v>
      </c>
      <c r="W1674" s="19">
        <v>1</v>
      </c>
      <c r="Y1674" s="19" t="s">
        <v>103</v>
      </c>
      <c r="Z1674" s="19">
        <v>50</v>
      </c>
      <c r="AA1674" s="19">
        <v>50</v>
      </c>
    </row>
    <row r="1675" spans="1:27" x14ac:dyDescent="0.25">
      <c r="A1675" s="19" t="s">
        <v>1027</v>
      </c>
      <c r="B1675" s="19" t="s">
        <v>991</v>
      </c>
      <c r="C1675" s="19" t="s">
        <v>992</v>
      </c>
      <c r="D1675" s="19">
        <v>1.25</v>
      </c>
      <c r="E1675" s="19" t="s">
        <v>158</v>
      </c>
      <c r="F1675" s="19" t="s">
        <v>159</v>
      </c>
      <c r="G1675" s="19" t="s">
        <v>134</v>
      </c>
      <c r="H1675" s="19" t="s">
        <v>146</v>
      </c>
      <c r="I1675" s="19" t="s">
        <v>147</v>
      </c>
      <c r="J1675" s="19">
        <v>8</v>
      </c>
      <c r="K1675" s="19">
        <v>2.5000000000000001E-2</v>
      </c>
      <c r="L1675" s="19" t="s">
        <v>35</v>
      </c>
      <c r="M1675" s="19" t="s">
        <v>103</v>
      </c>
      <c r="N1675" s="19">
        <v>50</v>
      </c>
      <c r="O1675" s="19">
        <v>50</v>
      </c>
      <c r="P1675" s="19">
        <v>0</v>
      </c>
      <c r="Q1675" s="19">
        <v>0</v>
      </c>
      <c r="R1675" s="19" t="s">
        <v>870</v>
      </c>
      <c r="S1675" s="19">
        <v>0.9</v>
      </c>
      <c r="T1675" s="19">
        <v>1</v>
      </c>
      <c r="U1675" s="19">
        <v>0</v>
      </c>
      <c r="V1675" s="19" t="s">
        <v>41</v>
      </c>
      <c r="W1675" s="19">
        <v>1</v>
      </c>
      <c r="Y1675" s="19" t="s">
        <v>103</v>
      </c>
      <c r="Z1675" s="19">
        <v>50</v>
      </c>
      <c r="AA1675" s="19">
        <v>50</v>
      </c>
    </row>
    <row r="1676" spans="1:27" x14ac:dyDescent="0.25">
      <c r="A1676" s="19" t="s">
        <v>1028</v>
      </c>
      <c r="B1676" s="19" t="s">
        <v>991</v>
      </c>
      <c r="C1676" s="19" t="s">
        <v>992</v>
      </c>
      <c r="D1676" s="19">
        <v>3.33</v>
      </c>
      <c r="E1676" s="19" t="s">
        <v>161</v>
      </c>
      <c r="F1676" s="19" t="s">
        <v>162</v>
      </c>
      <c r="G1676" s="19" t="s">
        <v>163</v>
      </c>
      <c r="I1676" s="19" t="s">
        <v>164</v>
      </c>
      <c r="J1676" s="19">
        <v>1</v>
      </c>
      <c r="K1676" s="19">
        <v>3.3300000000000003E-2</v>
      </c>
      <c r="L1676" s="19" t="s">
        <v>35</v>
      </c>
      <c r="M1676" s="19" t="s">
        <v>165</v>
      </c>
      <c r="N1676" s="19">
        <v>100</v>
      </c>
      <c r="O1676" s="19">
        <v>100</v>
      </c>
      <c r="P1676" s="19">
        <v>0</v>
      </c>
      <c r="Q1676" s="19">
        <v>0</v>
      </c>
      <c r="R1676" s="19" t="s">
        <v>870</v>
      </c>
      <c r="S1676" s="19">
        <v>0.9</v>
      </c>
      <c r="T1676" s="19">
        <v>1</v>
      </c>
      <c r="U1676" s="19">
        <v>0</v>
      </c>
      <c r="W1676" s="19">
        <v>0</v>
      </c>
      <c r="X1676" s="19">
        <v>100</v>
      </c>
      <c r="Z1676" s="19">
        <v>0</v>
      </c>
      <c r="AA1676" s="19">
        <v>100</v>
      </c>
    </row>
    <row r="1677" spans="1:27" x14ac:dyDescent="0.25">
      <c r="A1677" s="19" t="s">
        <v>1029</v>
      </c>
      <c r="B1677" s="19" t="s">
        <v>991</v>
      </c>
      <c r="C1677" s="19" t="s">
        <v>992</v>
      </c>
      <c r="D1677" s="19">
        <v>0</v>
      </c>
      <c r="E1677" s="19" t="s">
        <v>167</v>
      </c>
      <c r="F1677" s="19" t="s">
        <v>168</v>
      </c>
      <c r="G1677" s="19" t="s">
        <v>163</v>
      </c>
      <c r="I1677" s="19" t="s">
        <v>164</v>
      </c>
      <c r="J1677" s="19">
        <v>3</v>
      </c>
      <c r="K1677" s="19">
        <v>3.3300000000000003E-2</v>
      </c>
      <c r="L1677" s="19" t="s">
        <v>35</v>
      </c>
      <c r="M1677" s="19" t="s">
        <v>165</v>
      </c>
      <c r="N1677" s="19">
        <v>0</v>
      </c>
      <c r="O1677" s="19">
        <v>0</v>
      </c>
      <c r="P1677" s="19">
        <v>0</v>
      </c>
      <c r="Q1677" s="19">
        <v>0</v>
      </c>
      <c r="R1677" s="19" t="s">
        <v>870</v>
      </c>
      <c r="S1677" s="19">
        <v>0.9</v>
      </c>
      <c r="T1677" s="19">
        <v>1</v>
      </c>
      <c r="U1677" s="19">
        <v>0</v>
      </c>
      <c r="W1677" s="19">
        <v>0</v>
      </c>
      <c r="X1677" s="19">
        <v>0</v>
      </c>
      <c r="Z1677" s="19">
        <v>0</v>
      </c>
      <c r="AA1677" s="19">
        <v>0</v>
      </c>
    </row>
    <row r="1678" spans="1:27" x14ac:dyDescent="0.25">
      <c r="A1678" s="19" t="s">
        <v>1030</v>
      </c>
      <c r="B1678" s="19" t="s">
        <v>991</v>
      </c>
      <c r="C1678" s="19" t="s">
        <v>992</v>
      </c>
      <c r="D1678" s="19">
        <v>0.76590000000000003</v>
      </c>
      <c r="E1678" s="19" t="s">
        <v>170</v>
      </c>
      <c r="F1678" s="19" t="s">
        <v>171</v>
      </c>
      <c r="G1678" s="19" t="s">
        <v>163</v>
      </c>
      <c r="I1678" s="19" t="s">
        <v>164</v>
      </c>
      <c r="J1678" s="19">
        <v>2</v>
      </c>
      <c r="K1678" s="19">
        <v>3.3300000000000003E-2</v>
      </c>
      <c r="L1678" s="19" t="s">
        <v>35</v>
      </c>
      <c r="M1678" s="19" t="s">
        <v>165</v>
      </c>
      <c r="N1678" s="19">
        <v>23</v>
      </c>
      <c r="O1678" s="19">
        <v>23</v>
      </c>
      <c r="P1678" s="19">
        <v>0</v>
      </c>
      <c r="Q1678" s="19">
        <v>0</v>
      </c>
      <c r="R1678" s="19" t="s">
        <v>870</v>
      </c>
      <c r="S1678" s="19">
        <v>0.9</v>
      </c>
      <c r="T1678" s="19">
        <v>1</v>
      </c>
      <c r="U1678" s="19">
        <v>0</v>
      </c>
      <c r="W1678" s="19">
        <v>0</v>
      </c>
      <c r="X1678" s="19">
        <v>23</v>
      </c>
      <c r="Z1678" s="19">
        <v>0</v>
      </c>
      <c r="AA1678" s="19">
        <v>23</v>
      </c>
    </row>
    <row r="1679" spans="1:27" x14ac:dyDescent="0.25">
      <c r="A1679" s="19" t="s">
        <v>1930</v>
      </c>
      <c r="B1679" s="19" t="s">
        <v>1931</v>
      </c>
      <c r="C1679" s="19" t="s">
        <v>1932</v>
      </c>
      <c r="D1679" s="19">
        <v>0</v>
      </c>
      <c r="E1679" s="19" t="s">
        <v>30</v>
      </c>
      <c r="F1679" s="19" t="s">
        <v>31</v>
      </c>
      <c r="G1679" s="19" t="s">
        <v>32</v>
      </c>
      <c r="H1679" s="19" t="s">
        <v>33</v>
      </c>
      <c r="I1679" s="19" t="s">
        <v>34</v>
      </c>
      <c r="J1679" s="19">
        <v>17</v>
      </c>
      <c r="K1679" s="19">
        <v>1.6299999999999999E-2</v>
      </c>
      <c r="L1679" s="19" t="s">
        <v>35</v>
      </c>
      <c r="N1679" s="19">
        <v>0</v>
      </c>
      <c r="O1679" s="19">
        <v>0</v>
      </c>
      <c r="P1679" s="19">
        <v>0</v>
      </c>
      <c r="Q1679" s="19">
        <v>0</v>
      </c>
      <c r="S1679" s="19">
        <v>1</v>
      </c>
      <c r="T1679" s="19">
        <v>1</v>
      </c>
      <c r="U1679" s="19">
        <v>0</v>
      </c>
      <c r="V1679" s="19" t="s">
        <v>36</v>
      </c>
      <c r="W1679" s="19">
        <v>0</v>
      </c>
      <c r="Z1679" s="19">
        <v>0</v>
      </c>
      <c r="AA1679" s="19">
        <v>0</v>
      </c>
    </row>
    <row r="1680" spans="1:27" x14ac:dyDescent="0.25">
      <c r="A1680" s="19" t="s">
        <v>1933</v>
      </c>
      <c r="B1680" s="19" t="s">
        <v>1931</v>
      </c>
      <c r="C1680" s="19" t="s">
        <v>1932</v>
      </c>
      <c r="D1680" s="19">
        <v>0.54327899999999996</v>
      </c>
      <c r="E1680" s="19" t="s">
        <v>38</v>
      </c>
      <c r="F1680" s="19" t="s">
        <v>39</v>
      </c>
      <c r="G1680" s="19" t="s">
        <v>32</v>
      </c>
      <c r="H1680" s="19" t="s">
        <v>33</v>
      </c>
      <c r="I1680" s="19" t="s">
        <v>34</v>
      </c>
      <c r="J1680" s="19">
        <v>19</v>
      </c>
      <c r="K1680" s="19">
        <v>1.6299999999999999E-2</v>
      </c>
      <c r="L1680" s="19" t="s">
        <v>35</v>
      </c>
      <c r="M1680" s="19" t="s">
        <v>40</v>
      </c>
      <c r="N1680" s="19">
        <v>33.33</v>
      </c>
      <c r="O1680" s="19">
        <v>33.33</v>
      </c>
      <c r="P1680" s="19">
        <v>0</v>
      </c>
      <c r="Q1680" s="19">
        <v>0</v>
      </c>
      <c r="S1680" s="19">
        <v>1</v>
      </c>
      <c r="T1680" s="19">
        <v>1</v>
      </c>
      <c r="U1680" s="19">
        <v>0</v>
      </c>
      <c r="V1680" s="19" t="s">
        <v>41</v>
      </c>
      <c r="W1680" s="19">
        <v>1</v>
      </c>
      <c r="Y1680" s="19" t="s">
        <v>40</v>
      </c>
      <c r="Z1680" s="19">
        <v>33.33</v>
      </c>
      <c r="AA1680" s="19">
        <v>33.33</v>
      </c>
    </row>
    <row r="1681" spans="1:27" x14ac:dyDescent="0.25">
      <c r="A1681" s="19" t="s">
        <v>1934</v>
      </c>
      <c r="B1681" s="19" t="s">
        <v>1931</v>
      </c>
      <c r="C1681" s="19" t="s">
        <v>1932</v>
      </c>
      <c r="D1681" s="19">
        <v>0</v>
      </c>
      <c r="E1681" s="19" t="s">
        <v>43</v>
      </c>
      <c r="F1681" s="19" t="s">
        <v>44</v>
      </c>
      <c r="G1681" s="19" t="s">
        <v>32</v>
      </c>
      <c r="H1681" s="19" t="s">
        <v>33</v>
      </c>
      <c r="I1681" s="19" t="s">
        <v>34</v>
      </c>
      <c r="J1681" s="19">
        <v>18</v>
      </c>
      <c r="K1681" s="19">
        <v>1.6299999999999999E-2</v>
      </c>
      <c r="L1681" s="19" t="s">
        <v>35</v>
      </c>
      <c r="N1681" s="19">
        <v>0</v>
      </c>
      <c r="O1681" s="19">
        <v>0</v>
      </c>
      <c r="P1681" s="19">
        <v>0</v>
      </c>
      <c r="Q1681" s="19">
        <v>0</v>
      </c>
      <c r="S1681" s="19">
        <v>1</v>
      </c>
      <c r="T1681" s="19">
        <v>1</v>
      </c>
      <c r="U1681" s="19">
        <v>0</v>
      </c>
      <c r="V1681" s="19" t="s">
        <v>36</v>
      </c>
      <c r="W1681" s="19">
        <v>0</v>
      </c>
      <c r="Z1681" s="19">
        <v>0</v>
      </c>
      <c r="AA1681" s="19">
        <v>0</v>
      </c>
    </row>
    <row r="1682" spans="1:27" x14ac:dyDescent="0.25">
      <c r="A1682" s="19" t="s">
        <v>1935</v>
      </c>
      <c r="B1682" s="19" t="s">
        <v>1931</v>
      </c>
      <c r="C1682" s="19" t="s">
        <v>1932</v>
      </c>
      <c r="D1682" s="19">
        <v>0.54327899999999996</v>
      </c>
      <c r="E1682" s="19" t="s">
        <v>46</v>
      </c>
      <c r="F1682" s="19" t="s">
        <v>47</v>
      </c>
      <c r="G1682" s="19" t="s">
        <v>32</v>
      </c>
      <c r="H1682" s="19" t="s">
        <v>33</v>
      </c>
      <c r="I1682" s="19" t="s">
        <v>34</v>
      </c>
      <c r="J1682" s="19">
        <v>15</v>
      </c>
      <c r="K1682" s="19">
        <v>1.6299999999999999E-2</v>
      </c>
      <c r="L1682" s="19" t="s">
        <v>35</v>
      </c>
      <c r="M1682" s="19" t="s">
        <v>40</v>
      </c>
      <c r="N1682" s="19">
        <v>33.33</v>
      </c>
      <c r="O1682" s="19">
        <v>33.33</v>
      </c>
      <c r="P1682" s="19">
        <v>0</v>
      </c>
      <c r="Q1682" s="19">
        <v>0</v>
      </c>
      <c r="S1682" s="19">
        <v>1</v>
      </c>
      <c r="T1682" s="19">
        <v>1</v>
      </c>
      <c r="U1682" s="19">
        <v>0</v>
      </c>
      <c r="V1682" s="19" t="s">
        <v>41</v>
      </c>
      <c r="W1682" s="19">
        <v>1</v>
      </c>
      <c r="Y1682" s="19" t="s">
        <v>40</v>
      </c>
      <c r="Z1682" s="19">
        <v>33.33</v>
      </c>
      <c r="AA1682" s="19">
        <v>33.33</v>
      </c>
    </row>
    <row r="1683" spans="1:27" x14ac:dyDescent="0.25">
      <c r="A1683" s="19" t="s">
        <v>1936</v>
      </c>
      <c r="B1683" s="19" t="s">
        <v>1931</v>
      </c>
      <c r="C1683" s="19" t="s">
        <v>1932</v>
      </c>
      <c r="D1683" s="19">
        <v>0</v>
      </c>
      <c r="E1683" s="19" t="s">
        <v>49</v>
      </c>
      <c r="F1683" s="19" t="s">
        <v>50</v>
      </c>
      <c r="G1683" s="19" t="s">
        <v>32</v>
      </c>
      <c r="H1683" s="19" t="s">
        <v>33</v>
      </c>
      <c r="I1683" s="19" t="s">
        <v>34</v>
      </c>
      <c r="J1683" s="19">
        <v>12</v>
      </c>
      <c r="K1683" s="19">
        <v>1.6299999999999999E-2</v>
      </c>
      <c r="L1683" s="19" t="s">
        <v>35</v>
      </c>
      <c r="M1683" s="19" t="s">
        <v>40</v>
      </c>
      <c r="N1683" s="19">
        <v>0</v>
      </c>
      <c r="O1683" s="19">
        <v>0</v>
      </c>
      <c r="P1683" s="19">
        <v>0</v>
      </c>
      <c r="Q1683" s="19">
        <v>0</v>
      </c>
      <c r="S1683" s="19">
        <v>1</v>
      </c>
      <c r="T1683" s="19">
        <v>1</v>
      </c>
      <c r="U1683" s="19">
        <v>0</v>
      </c>
      <c r="V1683" s="19" t="s">
        <v>80</v>
      </c>
      <c r="W1683" s="19">
        <v>0</v>
      </c>
      <c r="Y1683" s="19" t="s">
        <v>40</v>
      </c>
      <c r="Z1683" s="19">
        <v>33.33</v>
      </c>
      <c r="AA1683" s="19">
        <v>0</v>
      </c>
    </row>
    <row r="1684" spans="1:27" x14ac:dyDescent="0.25">
      <c r="A1684" s="19" t="s">
        <v>1937</v>
      </c>
      <c r="B1684" s="19" t="s">
        <v>1931</v>
      </c>
      <c r="C1684" s="19" t="s">
        <v>1932</v>
      </c>
      <c r="D1684" s="19">
        <v>0</v>
      </c>
      <c r="E1684" s="19" t="s">
        <v>52</v>
      </c>
      <c r="F1684" s="19" t="s">
        <v>53</v>
      </c>
      <c r="G1684" s="19" t="s">
        <v>32</v>
      </c>
      <c r="H1684" s="19" t="s">
        <v>33</v>
      </c>
      <c r="I1684" s="19" t="s">
        <v>34</v>
      </c>
      <c r="J1684" s="19">
        <v>16</v>
      </c>
      <c r="K1684" s="19">
        <v>1.6299999999999999E-2</v>
      </c>
      <c r="L1684" s="19" t="s">
        <v>35</v>
      </c>
      <c r="M1684" s="19" t="s">
        <v>40</v>
      </c>
      <c r="N1684" s="19">
        <v>0</v>
      </c>
      <c r="O1684" s="19">
        <v>0</v>
      </c>
      <c r="P1684" s="19">
        <v>0</v>
      </c>
      <c r="Q1684" s="19">
        <v>0</v>
      </c>
      <c r="S1684" s="19">
        <v>1</v>
      </c>
      <c r="T1684" s="19">
        <v>1</v>
      </c>
      <c r="U1684" s="19">
        <v>0</v>
      </c>
      <c r="V1684" s="19" t="s">
        <v>36</v>
      </c>
      <c r="W1684" s="19">
        <v>0</v>
      </c>
      <c r="Y1684" s="19" t="s">
        <v>40</v>
      </c>
      <c r="Z1684" s="19">
        <v>33.33</v>
      </c>
      <c r="AA1684" s="19">
        <v>0</v>
      </c>
    </row>
    <row r="1685" spans="1:27" x14ac:dyDescent="0.25">
      <c r="A1685" s="19" t="s">
        <v>1938</v>
      </c>
      <c r="B1685" s="19" t="s">
        <v>1931</v>
      </c>
      <c r="C1685" s="19" t="s">
        <v>1932</v>
      </c>
      <c r="D1685" s="19">
        <v>0.54327899999999996</v>
      </c>
      <c r="E1685" s="19" t="s">
        <v>55</v>
      </c>
      <c r="F1685" s="19" t="s">
        <v>56</v>
      </c>
      <c r="G1685" s="19" t="s">
        <v>32</v>
      </c>
      <c r="H1685" s="19" t="s">
        <v>33</v>
      </c>
      <c r="I1685" s="19" t="s">
        <v>34</v>
      </c>
      <c r="J1685" s="19">
        <v>14</v>
      </c>
      <c r="K1685" s="19">
        <v>1.6299999999999999E-2</v>
      </c>
      <c r="L1685" s="19" t="s">
        <v>35</v>
      </c>
      <c r="M1685" s="19" t="s">
        <v>40</v>
      </c>
      <c r="N1685" s="19">
        <v>33.33</v>
      </c>
      <c r="O1685" s="19">
        <v>33.33</v>
      </c>
      <c r="P1685" s="19">
        <v>0</v>
      </c>
      <c r="Q1685" s="19">
        <v>0</v>
      </c>
      <c r="S1685" s="19">
        <v>1</v>
      </c>
      <c r="T1685" s="19">
        <v>1</v>
      </c>
      <c r="U1685" s="19">
        <v>0</v>
      </c>
      <c r="V1685" s="19" t="s">
        <v>41</v>
      </c>
      <c r="W1685" s="19">
        <v>1</v>
      </c>
      <c r="Y1685" s="19" t="s">
        <v>40</v>
      </c>
      <c r="Z1685" s="19">
        <v>33.33</v>
      </c>
      <c r="AA1685" s="19">
        <v>33.33</v>
      </c>
    </row>
    <row r="1686" spans="1:27" x14ac:dyDescent="0.25">
      <c r="A1686" s="19" t="s">
        <v>1939</v>
      </c>
      <c r="B1686" s="19" t="s">
        <v>1931</v>
      </c>
      <c r="C1686" s="19" t="s">
        <v>1932</v>
      </c>
      <c r="D1686" s="19">
        <v>0</v>
      </c>
      <c r="E1686" s="19" t="s">
        <v>58</v>
      </c>
      <c r="F1686" s="19" t="s">
        <v>59</v>
      </c>
      <c r="G1686" s="19" t="s">
        <v>32</v>
      </c>
      <c r="H1686" s="19" t="s">
        <v>33</v>
      </c>
      <c r="I1686" s="19" t="s">
        <v>34</v>
      </c>
      <c r="J1686" s="19">
        <v>13</v>
      </c>
      <c r="K1686" s="19">
        <v>1.6299999999999999E-2</v>
      </c>
      <c r="L1686" s="19" t="s">
        <v>35</v>
      </c>
      <c r="N1686" s="19">
        <v>0</v>
      </c>
      <c r="O1686" s="19">
        <v>0</v>
      </c>
      <c r="P1686" s="19">
        <v>0</v>
      </c>
      <c r="Q1686" s="19">
        <v>0</v>
      </c>
      <c r="S1686" s="19">
        <v>1</v>
      </c>
      <c r="T1686" s="19">
        <v>1</v>
      </c>
      <c r="U1686" s="19">
        <v>0</v>
      </c>
      <c r="V1686" s="19" t="s">
        <v>36</v>
      </c>
      <c r="W1686" s="19">
        <v>0</v>
      </c>
      <c r="Z1686" s="19">
        <v>0</v>
      </c>
      <c r="AA1686" s="19">
        <v>0</v>
      </c>
    </row>
    <row r="1687" spans="1:27" x14ac:dyDescent="0.25">
      <c r="A1687" s="19" t="s">
        <v>1940</v>
      </c>
      <c r="B1687" s="19" t="s">
        <v>1931</v>
      </c>
      <c r="C1687" s="19" t="s">
        <v>1932</v>
      </c>
      <c r="D1687" s="19">
        <v>0</v>
      </c>
      <c r="E1687" s="19" t="s">
        <v>61</v>
      </c>
      <c r="F1687" s="19" t="s">
        <v>62</v>
      </c>
      <c r="G1687" s="19" t="s">
        <v>32</v>
      </c>
      <c r="H1687" s="19" t="s">
        <v>63</v>
      </c>
      <c r="I1687" s="19" t="s">
        <v>64</v>
      </c>
      <c r="J1687" s="19">
        <v>22</v>
      </c>
      <c r="K1687" s="19">
        <v>1.8599999999999998E-2</v>
      </c>
      <c r="L1687" s="19" t="s">
        <v>35</v>
      </c>
      <c r="N1687" s="19">
        <v>0</v>
      </c>
      <c r="O1687" s="19">
        <v>0</v>
      </c>
      <c r="P1687" s="19">
        <v>0</v>
      </c>
      <c r="Q1687" s="19">
        <v>0</v>
      </c>
      <c r="S1687" s="19">
        <v>1</v>
      </c>
      <c r="T1687" s="19">
        <v>1</v>
      </c>
      <c r="U1687" s="19">
        <v>0</v>
      </c>
      <c r="V1687" s="19" t="s">
        <v>36</v>
      </c>
      <c r="W1687" s="19">
        <v>0</v>
      </c>
      <c r="Z1687" s="19">
        <v>0</v>
      </c>
      <c r="AA1687" s="19">
        <v>0</v>
      </c>
    </row>
    <row r="1688" spans="1:27" x14ac:dyDescent="0.25">
      <c r="A1688" s="19" t="s">
        <v>1941</v>
      </c>
      <c r="B1688" s="19" t="s">
        <v>1931</v>
      </c>
      <c r="C1688" s="19" t="s">
        <v>1932</v>
      </c>
      <c r="D1688" s="19">
        <v>0</v>
      </c>
      <c r="E1688" s="19" t="s">
        <v>66</v>
      </c>
      <c r="F1688" s="19" t="s">
        <v>67</v>
      </c>
      <c r="G1688" s="19" t="s">
        <v>32</v>
      </c>
      <c r="H1688" s="19" t="s">
        <v>63</v>
      </c>
      <c r="I1688" s="19" t="s">
        <v>64</v>
      </c>
      <c r="J1688" s="19">
        <v>20</v>
      </c>
      <c r="K1688" s="19">
        <v>1.8599999999999998E-2</v>
      </c>
      <c r="L1688" s="19" t="s">
        <v>35</v>
      </c>
      <c r="N1688" s="19">
        <v>0</v>
      </c>
      <c r="O1688" s="19">
        <v>0</v>
      </c>
      <c r="P1688" s="19">
        <v>0</v>
      </c>
      <c r="Q1688" s="19">
        <v>0</v>
      </c>
      <c r="S1688" s="19">
        <v>1</v>
      </c>
      <c r="T1688" s="19">
        <v>1</v>
      </c>
      <c r="U1688" s="19">
        <v>0</v>
      </c>
      <c r="V1688" s="19" t="s">
        <v>36</v>
      </c>
      <c r="W1688" s="19">
        <v>0</v>
      </c>
      <c r="Z1688" s="19">
        <v>0</v>
      </c>
      <c r="AA1688" s="19">
        <v>0</v>
      </c>
    </row>
    <row r="1689" spans="1:27" x14ac:dyDescent="0.25">
      <c r="A1689" s="19" t="s">
        <v>1942</v>
      </c>
      <c r="B1689" s="19" t="s">
        <v>1931</v>
      </c>
      <c r="C1689" s="19" t="s">
        <v>1932</v>
      </c>
      <c r="D1689" s="19">
        <v>0</v>
      </c>
      <c r="E1689" s="19" t="s">
        <v>69</v>
      </c>
      <c r="F1689" s="19" t="s">
        <v>70</v>
      </c>
      <c r="G1689" s="19" t="s">
        <v>32</v>
      </c>
      <c r="H1689" s="19" t="s">
        <v>63</v>
      </c>
      <c r="I1689" s="19" t="s">
        <v>64</v>
      </c>
      <c r="J1689" s="19">
        <v>23</v>
      </c>
      <c r="K1689" s="19">
        <v>1.8599999999999998E-2</v>
      </c>
      <c r="L1689" s="19" t="s">
        <v>35</v>
      </c>
      <c r="N1689" s="19">
        <v>0</v>
      </c>
      <c r="O1689" s="19">
        <v>0</v>
      </c>
      <c r="P1689" s="19">
        <v>0</v>
      </c>
      <c r="Q1689" s="19">
        <v>0</v>
      </c>
      <c r="S1689" s="19">
        <v>1</v>
      </c>
      <c r="T1689" s="19">
        <v>1</v>
      </c>
      <c r="U1689" s="19">
        <v>0</v>
      </c>
      <c r="V1689" s="19" t="s">
        <v>36</v>
      </c>
      <c r="W1689" s="19">
        <v>0</v>
      </c>
      <c r="Z1689" s="19">
        <v>0</v>
      </c>
      <c r="AA1689" s="19">
        <v>0</v>
      </c>
    </row>
    <row r="1690" spans="1:27" x14ac:dyDescent="0.25">
      <c r="A1690" s="19" t="s">
        <v>1943</v>
      </c>
      <c r="B1690" s="19" t="s">
        <v>1931</v>
      </c>
      <c r="C1690" s="19" t="s">
        <v>1932</v>
      </c>
      <c r="D1690" s="19">
        <v>0</v>
      </c>
      <c r="E1690" s="19" t="s">
        <v>72</v>
      </c>
      <c r="F1690" s="19" t="s">
        <v>73</v>
      </c>
      <c r="G1690" s="19" t="s">
        <v>32</v>
      </c>
      <c r="H1690" s="19" t="s">
        <v>63</v>
      </c>
      <c r="I1690" s="19" t="s">
        <v>64</v>
      </c>
      <c r="J1690" s="19">
        <v>21</v>
      </c>
      <c r="K1690" s="19">
        <v>1.8599999999999998E-2</v>
      </c>
      <c r="L1690" s="19" t="s">
        <v>35</v>
      </c>
      <c r="N1690" s="19">
        <v>0</v>
      </c>
      <c r="O1690" s="19">
        <v>0</v>
      </c>
      <c r="P1690" s="19">
        <v>0</v>
      </c>
      <c r="Q1690" s="19">
        <v>0</v>
      </c>
      <c r="S1690" s="19">
        <v>1</v>
      </c>
      <c r="T1690" s="19">
        <v>1</v>
      </c>
      <c r="U1690" s="19">
        <v>0</v>
      </c>
      <c r="V1690" s="19" t="s">
        <v>36</v>
      </c>
      <c r="W1690" s="19">
        <v>0</v>
      </c>
      <c r="Z1690" s="19">
        <v>0</v>
      </c>
      <c r="AA1690" s="19">
        <v>0</v>
      </c>
    </row>
    <row r="1691" spans="1:27" x14ac:dyDescent="0.25">
      <c r="A1691" s="19" t="s">
        <v>1944</v>
      </c>
      <c r="B1691" s="19" t="s">
        <v>1931</v>
      </c>
      <c r="C1691" s="19" t="s">
        <v>1932</v>
      </c>
      <c r="D1691" s="19">
        <v>0.61993799999999899</v>
      </c>
      <c r="E1691" s="19" t="s">
        <v>75</v>
      </c>
      <c r="F1691" s="19" t="s">
        <v>76</v>
      </c>
      <c r="G1691" s="19" t="s">
        <v>32</v>
      </c>
      <c r="H1691" s="19" t="s">
        <v>63</v>
      </c>
      <c r="I1691" s="19" t="s">
        <v>64</v>
      </c>
      <c r="J1691" s="19">
        <v>24</v>
      </c>
      <c r="K1691" s="19">
        <v>1.8599999999999998E-2</v>
      </c>
      <c r="L1691" s="19" t="s">
        <v>35</v>
      </c>
      <c r="M1691" s="19" t="s">
        <v>40</v>
      </c>
      <c r="N1691" s="19">
        <v>33.33</v>
      </c>
      <c r="O1691" s="19">
        <v>33.33</v>
      </c>
      <c r="P1691" s="19">
        <v>0</v>
      </c>
      <c r="Q1691" s="19">
        <v>0</v>
      </c>
      <c r="S1691" s="19">
        <v>1</v>
      </c>
      <c r="T1691" s="19">
        <v>1</v>
      </c>
      <c r="U1691" s="19">
        <v>0</v>
      </c>
      <c r="V1691" s="19" t="s">
        <v>41</v>
      </c>
      <c r="W1691" s="19">
        <v>1</v>
      </c>
      <c r="Y1691" s="19" t="s">
        <v>40</v>
      </c>
      <c r="Z1691" s="19">
        <v>33.33</v>
      </c>
      <c r="AA1691" s="19">
        <v>33.33</v>
      </c>
    </row>
    <row r="1692" spans="1:27" x14ac:dyDescent="0.25">
      <c r="A1692" s="19" t="s">
        <v>1945</v>
      </c>
      <c r="B1692" s="19" t="s">
        <v>1931</v>
      </c>
      <c r="C1692" s="19" t="s">
        <v>1932</v>
      </c>
      <c r="D1692" s="19">
        <v>0</v>
      </c>
      <c r="E1692" s="19" t="s">
        <v>78</v>
      </c>
      <c r="F1692" s="19" t="s">
        <v>79</v>
      </c>
      <c r="G1692" s="19" t="s">
        <v>32</v>
      </c>
      <c r="H1692" s="19" t="s">
        <v>63</v>
      </c>
      <c r="I1692" s="19" t="s">
        <v>64</v>
      </c>
      <c r="J1692" s="19">
        <v>25</v>
      </c>
      <c r="K1692" s="19">
        <v>1.8599999999999998E-2</v>
      </c>
      <c r="L1692" s="19" t="s">
        <v>35</v>
      </c>
      <c r="M1692" s="19" t="s">
        <v>40</v>
      </c>
      <c r="N1692" s="19">
        <v>0</v>
      </c>
      <c r="O1692" s="19">
        <v>0</v>
      </c>
      <c r="P1692" s="19">
        <v>0</v>
      </c>
      <c r="Q1692" s="19">
        <v>0</v>
      </c>
      <c r="S1692" s="19">
        <v>1</v>
      </c>
      <c r="T1692" s="19">
        <v>1</v>
      </c>
      <c r="U1692" s="19">
        <v>0</v>
      </c>
      <c r="V1692" s="19" t="s">
        <v>80</v>
      </c>
      <c r="W1692" s="19">
        <v>0</v>
      </c>
      <c r="Y1692" s="19" t="s">
        <v>40</v>
      </c>
      <c r="Z1692" s="19">
        <v>33.33</v>
      </c>
      <c r="AA1692" s="19">
        <v>0</v>
      </c>
    </row>
    <row r="1693" spans="1:27" x14ac:dyDescent="0.25">
      <c r="A1693" s="19" t="s">
        <v>1946</v>
      </c>
      <c r="B1693" s="19" t="s">
        <v>1931</v>
      </c>
      <c r="C1693" s="19" t="s">
        <v>1932</v>
      </c>
      <c r="D1693" s="19">
        <v>0</v>
      </c>
      <c r="E1693" s="19" t="s">
        <v>82</v>
      </c>
      <c r="F1693" s="19" t="s">
        <v>83</v>
      </c>
      <c r="G1693" s="19" t="s">
        <v>32</v>
      </c>
      <c r="H1693" s="19" t="s">
        <v>63</v>
      </c>
      <c r="I1693" s="19" t="s">
        <v>64</v>
      </c>
      <c r="J1693" s="19">
        <v>26</v>
      </c>
      <c r="K1693" s="19">
        <v>1.8599999999999998E-2</v>
      </c>
      <c r="L1693" s="19" t="s">
        <v>35</v>
      </c>
      <c r="N1693" s="19">
        <v>0</v>
      </c>
      <c r="O1693" s="19">
        <v>0</v>
      </c>
      <c r="P1693" s="19">
        <v>0</v>
      </c>
      <c r="Q1693" s="19">
        <v>0</v>
      </c>
      <c r="S1693" s="19">
        <v>1</v>
      </c>
      <c r="T1693" s="19">
        <v>1</v>
      </c>
      <c r="U1693" s="19">
        <v>0</v>
      </c>
      <c r="V1693" s="19" t="s">
        <v>36</v>
      </c>
      <c r="W1693" s="19">
        <v>0</v>
      </c>
      <c r="Z1693" s="19">
        <v>0</v>
      </c>
      <c r="AA1693" s="19">
        <v>0</v>
      </c>
    </row>
    <row r="1694" spans="1:27" x14ac:dyDescent="0.25">
      <c r="A1694" s="19" t="s">
        <v>1947</v>
      </c>
      <c r="B1694" s="19" t="s">
        <v>1931</v>
      </c>
      <c r="C1694" s="19" t="s">
        <v>1932</v>
      </c>
      <c r="D1694" s="19">
        <v>0</v>
      </c>
      <c r="E1694" s="19" t="s">
        <v>85</v>
      </c>
      <c r="F1694" s="19" t="s">
        <v>86</v>
      </c>
      <c r="G1694" s="19" t="s">
        <v>32</v>
      </c>
      <c r="H1694" s="19" t="s">
        <v>87</v>
      </c>
      <c r="I1694" s="19" t="s">
        <v>88</v>
      </c>
      <c r="J1694" s="19">
        <v>35</v>
      </c>
      <c r="K1694" s="19">
        <v>3.2500000000000001E-2</v>
      </c>
      <c r="L1694" s="19" t="s">
        <v>35</v>
      </c>
      <c r="N1694" s="19">
        <v>0</v>
      </c>
      <c r="O1694" s="19">
        <v>0</v>
      </c>
      <c r="P1694" s="19">
        <v>0</v>
      </c>
      <c r="Q1694" s="19">
        <v>0</v>
      </c>
      <c r="S1694" s="19">
        <v>1</v>
      </c>
      <c r="T1694" s="19">
        <v>1</v>
      </c>
      <c r="U1694" s="19">
        <v>0</v>
      </c>
      <c r="V1694" s="19" t="s">
        <v>36</v>
      </c>
      <c r="W1694" s="19">
        <v>0</v>
      </c>
      <c r="Z1694" s="19">
        <v>0</v>
      </c>
      <c r="AA1694" s="19">
        <v>0</v>
      </c>
    </row>
    <row r="1695" spans="1:27" x14ac:dyDescent="0.25">
      <c r="A1695" s="19" t="s">
        <v>1948</v>
      </c>
      <c r="B1695" s="19" t="s">
        <v>1931</v>
      </c>
      <c r="C1695" s="19" t="s">
        <v>1932</v>
      </c>
      <c r="D1695" s="19">
        <v>0</v>
      </c>
      <c r="E1695" s="19" t="s">
        <v>90</v>
      </c>
      <c r="F1695" s="19" t="s">
        <v>91</v>
      </c>
      <c r="G1695" s="19" t="s">
        <v>32</v>
      </c>
      <c r="H1695" s="19" t="s">
        <v>87</v>
      </c>
      <c r="I1695" s="19" t="s">
        <v>88</v>
      </c>
      <c r="J1695" s="19">
        <v>33</v>
      </c>
      <c r="K1695" s="19">
        <v>3.2500000000000001E-2</v>
      </c>
      <c r="L1695" s="19" t="s">
        <v>35</v>
      </c>
      <c r="N1695" s="19">
        <v>0</v>
      </c>
      <c r="O1695" s="19">
        <v>0</v>
      </c>
      <c r="P1695" s="19">
        <v>0</v>
      </c>
      <c r="Q1695" s="19">
        <v>0</v>
      </c>
      <c r="S1695" s="19">
        <v>1</v>
      </c>
      <c r="T1695" s="19">
        <v>1</v>
      </c>
      <c r="U1695" s="19">
        <v>0</v>
      </c>
      <c r="V1695" s="19" t="s">
        <v>36</v>
      </c>
      <c r="W1695" s="19">
        <v>0</v>
      </c>
      <c r="Z1695" s="19">
        <v>0</v>
      </c>
      <c r="AA1695" s="19">
        <v>0</v>
      </c>
    </row>
    <row r="1696" spans="1:27" x14ac:dyDescent="0.25">
      <c r="A1696" s="19" t="s">
        <v>1949</v>
      </c>
      <c r="B1696" s="19" t="s">
        <v>1931</v>
      </c>
      <c r="C1696" s="19" t="s">
        <v>1932</v>
      </c>
      <c r="D1696" s="19">
        <v>1.0832249999999899</v>
      </c>
      <c r="E1696" s="19" t="s">
        <v>93</v>
      </c>
      <c r="F1696" s="19" t="s">
        <v>94</v>
      </c>
      <c r="G1696" s="19" t="s">
        <v>32</v>
      </c>
      <c r="H1696" s="19" t="s">
        <v>87</v>
      </c>
      <c r="I1696" s="19" t="s">
        <v>88</v>
      </c>
      <c r="J1696" s="19">
        <v>34</v>
      </c>
      <c r="K1696" s="19">
        <v>3.2500000000000001E-2</v>
      </c>
      <c r="L1696" s="19" t="s">
        <v>35</v>
      </c>
      <c r="M1696" s="19" t="s">
        <v>40</v>
      </c>
      <c r="N1696" s="19">
        <v>33.33</v>
      </c>
      <c r="O1696" s="19">
        <v>33.33</v>
      </c>
      <c r="P1696" s="19">
        <v>0</v>
      </c>
      <c r="Q1696" s="19">
        <v>0</v>
      </c>
      <c r="S1696" s="19">
        <v>1</v>
      </c>
      <c r="T1696" s="19">
        <v>1</v>
      </c>
      <c r="U1696" s="19">
        <v>0</v>
      </c>
      <c r="V1696" s="19" t="s">
        <v>41</v>
      </c>
      <c r="W1696" s="19">
        <v>1</v>
      </c>
      <c r="Y1696" s="19" t="s">
        <v>40</v>
      </c>
      <c r="Z1696" s="19">
        <v>33.33</v>
      </c>
      <c r="AA1696" s="19">
        <v>33.33</v>
      </c>
    </row>
    <row r="1697" spans="1:27" x14ac:dyDescent="0.25">
      <c r="A1697" s="19" t="s">
        <v>1950</v>
      </c>
      <c r="B1697" s="19" t="s">
        <v>1931</v>
      </c>
      <c r="C1697" s="19" t="s">
        <v>1932</v>
      </c>
      <c r="D1697" s="19">
        <v>0</v>
      </c>
      <c r="E1697" s="19" t="s">
        <v>96</v>
      </c>
      <c r="F1697" s="19" t="s">
        <v>97</v>
      </c>
      <c r="G1697" s="19" t="s">
        <v>32</v>
      </c>
      <c r="H1697" s="19" t="s">
        <v>87</v>
      </c>
      <c r="I1697" s="19" t="s">
        <v>88</v>
      </c>
      <c r="J1697" s="19">
        <v>36</v>
      </c>
      <c r="K1697" s="19">
        <v>3.2500000000000001E-2</v>
      </c>
      <c r="L1697" s="19" t="s">
        <v>35</v>
      </c>
      <c r="N1697" s="19">
        <v>0</v>
      </c>
      <c r="O1697" s="19">
        <v>0</v>
      </c>
      <c r="P1697" s="19">
        <v>0</v>
      </c>
      <c r="Q1697" s="19">
        <v>0</v>
      </c>
      <c r="S1697" s="19">
        <v>1</v>
      </c>
      <c r="T1697" s="19">
        <v>1</v>
      </c>
      <c r="U1697" s="19">
        <v>0</v>
      </c>
      <c r="V1697" s="19" t="s">
        <v>36</v>
      </c>
      <c r="W1697" s="19">
        <v>0</v>
      </c>
      <c r="Z1697" s="19">
        <v>0</v>
      </c>
      <c r="AA1697" s="19">
        <v>0</v>
      </c>
    </row>
    <row r="1698" spans="1:27" x14ac:dyDescent="0.25">
      <c r="A1698" s="19" t="s">
        <v>1951</v>
      </c>
      <c r="B1698" s="19" t="s">
        <v>1931</v>
      </c>
      <c r="C1698" s="19" t="s">
        <v>1932</v>
      </c>
      <c r="D1698" s="19">
        <v>0</v>
      </c>
      <c r="E1698" s="19" t="s">
        <v>99</v>
      </c>
      <c r="F1698" s="19" t="s">
        <v>100</v>
      </c>
      <c r="G1698" s="19" t="s">
        <v>32</v>
      </c>
      <c r="H1698" s="19" t="s">
        <v>101</v>
      </c>
      <c r="I1698" s="19" t="s">
        <v>102</v>
      </c>
      <c r="J1698" s="19">
        <v>39</v>
      </c>
      <c r="K1698" s="19">
        <v>4.3299999999999998E-2</v>
      </c>
      <c r="L1698" s="19" t="s">
        <v>35</v>
      </c>
      <c r="M1698" s="19" t="s">
        <v>103</v>
      </c>
      <c r="N1698" s="19">
        <v>0</v>
      </c>
      <c r="O1698" s="19">
        <v>0</v>
      </c>
      <c r="P1698" s="19">
        <v>0</v>
      </c>
      <c r="Q1698" s="19">
        <v>0</v>
      </c>
      <c r="S1698" s="19">
        <v>1</v>
      </c>
      <c r="T1698" s="19">
        <v>1</v>
      </c>
      <c r="U1698" s="19">
        <v>0</v>
      </c>
      <c r="V1698" s="19" t="s">
        <v>36</v>
      </c>
      <c r="W1698" s="19">
        <v>0</v>
      </c>
      <c r="Y1698" s="19" t="s">
        <v>103</v>
      </c>
      <c r="Z1698" s="19">
        <v>50</v>
      </c>
      <c r="AA1698" s="19">
        <v>0</v>
      </c>
    </row>
    <row r="1699" spans="1:27" x14ac:dyDescent="0.25">
      <c r="A1699" s="19" t="s">
        <v>1952</v>
      </c>
      <c r="B1699" s="19" t="s">
        <v>1931</v>
      </c>
      <c r="C1699" s="19" t="s">
        <v>1932</v>
      </c>
      <c r="D1699" s="19">
        <v>0</v>
      </c>
      <c r="E1699" s="19" t="s">
        <v>105</v>
      </c>
      <c r="F1699" s="19" t="s">
        <v>106</v>
      </c>
      <c r="G1699" s="19" t="s">
        <v>32</v>
      </c>
      <c r="H1699" s="19" t="s">
        <v>101</v>
      </c>
      <c r="I1699" s="19" t="s">
        <v>102</v>
      </c>
      <c r="J1699" s="19">
        <v>38</v>
      </c>
      <c r="K1699" s="19">
        <v>4.3299999999999998E-2</v>
      </c>
      <c r="L1699" s="19" t="s">
        <v>35</v>
      </c>
      <c r="M1699" s="19" t="s">
        <v>103</v>
      </c>
      <c r="N1699" s="19">
        <v>0</v>
      </c>
      <c r="O1699" s="19">
        <v>0</v>
      </c>
      <c r="P1699" s="19">
        <v>0</v>
      </c>
      <c r="Q1699" s="19">
        <v>0</v>
      </c>
      <c r="S1699" s="19">
        <v>1</v>
      </c>
      <c r="T1699" s="19">
        <v>1</v>
      </c>
      <c r="U1699" s="19">
        <v>0</v>
      </c>
      <c r="V1699" s="19" t="s">
        <v>36</v>
      </c>
      <c r="W1699" s="19">
        <v>0</v>
      </c>
      <c r="Y1699" s="19" t="s">
        <v>103</v>
      </c>
      <c r="Z1699" s="19">
        <v>50</v>
      </c>
      <c r="AA1699" s="19">
        <v>0</v>
      </c>
    </row>
    <row r="1700" spans="1:27" x14ac:dyDescent="0.25">
      <c r="A1700" s="19" t="s">
        <v>1953</v>
      </c>
      <c r="B1700" s="19" t="s">
        <v>1931</v>
      </c>
      <c r="C1700" s="19" t="s">
        <v>1932</v>
      </c>
      <c r="D1700" s="19">
        <v>0</v>
      </c>
      <c r="E1700" s="19" t="s">
        <v>108</v>
      </c>
      <c r="F1700" s="19" t="s">
        <v>109</v>
      </c>
      <c r="G1700" s="19" t="s">
        <v>32</v>
      </c>
      <c r="H1700" s="19" t="s">
        <v>101</v>
      </c>
      <c r="I1700" s="19" t="s">
        <v>102</v>
      </c>
      <c r="J1700" s="19">
        <v>37</v>
      </c>
      <c r="K1700" s="19">
        <v>4.3299999999999998E-2</v>
      </c>
      <c r="L1700" s="19" t="s">
        <v>35</v>
      </c>
      <c r="N1700" s="19">
        <v>0</v>
      </c>
      <c r="O1700" s="19">
        <v>0</v>
      </c>
      <c r="P1700" s="19">
        <v>0</v>
      </c>
      <c r="Q1700" s="19">
        <v>0</v>
      </c>
      <c r="S1700" s="19">
        <v>1</v>
      </c>
      <c r="T1700" s="19">
        <v>1</v>
      </c>
      <c r="U1700" s="19">
        <v>0</v>
      </c>
      <c r="V1700" s="19" t="s">
        <v>36</v>
      </c>
      <c r="W1700" s="19">
        <v>0</v>
      </c>
      <c r="Z1700" s="19">
        <v>0</v>
      </c>
      <c r="AA1700" s="19">
        <v>0</v>
      </c>
    </row>
    <row r="1701" spans="1:27" x14ac:dyDescent="0.25">
      <c r="A1701" s="19" t="s">
        <v>1954</v>
      </c>
      <c r="B1701" s="19" t="s">
        <v>1931</v>
      </c>
      <c r="C1701" s="19" t="s">
        <v>1932</v>
      </c>
      <c r="D1701" s="19">
        <v>0</v>
      </c>
      <c r="E1701" s="19" t="s">
        <v>112</v>
      </c>
      <c r="F1701" s="19" t="s">
        <v>113</v>
      </c>
      <c r="G1701" s="19" t="s">
        <v>32</v>
      </c>
      <c r="H1701" s="19" t="s">
        <v>114</v>
      </c>
      <c r="I1701" s="19" t="s">
        <v>115</v>
      </c>
      <c r="J1701" s="19">
        <v>30</v>
      </c>
      <c r="K1701" s="19">
        <v>2.1700000000000001E-2</v>
      </c>
      <c r="L1701" s="19" t="s">
        <v>35</v>
      </c>
      <c r="M1701" s="19" t="s">
        <v>103</v>
      </c>
      <c r="N1701" s="19">
        <v>0</v>
      </c>
      <c r="O1701" s="19">
        <v>0</v>
      </c>
      <c r="P1701" s="19">
        <v>0</v>
      </c>
      <c r="Q1701" s="19">
        <v>0</v>
      </c>
      <c r="S1701" s="19">
        <v>1</v>
      </c>
      <c r="T1701" s="19">
        <v>1</v>
      </c>
      <c r="U1701" s="19">
        <v>0</v>
      </c>
      <c r="V1701" s="19" t="s">
        <v>36</v>
      </c>
      <c r="W1701" s="19">
        <v>0</v>
      </c>
      <c r="Y1701" s="19" t="s">
        <v>103</v>
      </c>
      <c r="Z1701" s="19">
        <v>50</v>
      </c>
      <c r="AA1701" s="19">
        <v>0</v>
      </c>
    </row>
    <row r="1702" spans="1:27" x14ac:dyDescent="0.25">
      <c r="A1702" s="19" t="s">
        <v>1955</v>
      </c>
      <c r="B1702" s="19" t="s">
        <v>1931</v>
      </c>
      <c r="C1702" s="19" t="s">
        <v>1932</v>
      </c>
      <c r="D1702" s="19">
        <v>0</v>
      </c>
      <c r="E1702" s="19" t="s">
        <v>117</v>
      </c>
      <c r="F1702" s="19" t="s">
        <v>118</v>
      </c>
      <c r="G1702" s="19" t="s">
        <v>32</v>
      </c>
      <c r="H1702" s="19" t="s">
        <v>114</v>
      </c>
      <c r="I1702" s="19" t="s">
        <v>115</v>
      </c>
      <c r="J1702" s="19">
        <v>31</v>
      </c>
      <c r="K1702" s="19">
        <v>2.1700000000000001E-2</v>
      </c>
      <c r="L1702" s="19" t="s">
        <v>35</v>
      </c>
      <c r="M1702" s="19" t="s">
        <v>103</v>
      </c>
      <c r="N1702" s="19">
        <v>0</v>
      </c>
      <c r="O1702" s="19">
        <v>0</v>
      </c>
      <c r="P1702" s="19">
        <v>0</v>
      </c>
      <c r="Q1702" s="19">
        <v>0</v>
      </c>
      <c r="S1702" s="19">
        <v>1</v>
      </c>
      <c r="T1702" s="19">
        <v>1</v>
      </c>
      <c r="U1702" s="19">
        <v>0</v>
      </c>
      <c r="V1702" s="19" t="s">
        <v>36</v>
      </c>
      <c r="W1702" s="19">
        <v>0</v>
      </c>
      <c r="Y1702" s="19" t="s">
        <v>103</v>
      </c>
      <c r="Z1702" s="19">
        <v>50</v>
      </c>
      <c r="AA1702" s="19">
        <v>0</v>
      </c>
    </row>
    <row r="1703" spans="1:27" x14ac:dyDescent="0.25">
      <c r="A1703" s="19" t="s">
        <v>1956</v>
      </c>
      <c r="B1703" s="19" t="s">
        <v>1931</v>
      </c>
      <c r="C1703" s="19" t="s">
        <v>1932</v>
      </c>
      <c r="D1703" s="19">
        <v>0</v>
      </c>
      <c r="E1703" s="19" t="s">
        <v>120</v>
      </c>
      <c r="F1703" s="19" t="s">
        <v>121</v>
      </c>
      <c r="G1703" s="19" t="s">
        <v>32</v>
      </c>
      <c r="H1703" s="19" t="s">
        <v>114</v>
      </c>
      <c r="I1703" s="19" t="s">
        <v>115</v>
      </c>
      <c r="J1703" s="19">
        <v>28</v>
      </c>
      <c r="K1703" s="19">
        <v>2.1700000000000001E-2</v>
      </c>
      <c r="L1703" s="19" t="s">
        <v>35</v>
      </c>
      <c r="M1703" s="19" t="s">
        <v>103</v>
      </c>
      <c r="N1703" s="19">
        <v>0</v>
      </c>
      <c r="O1703" s="19">
        <v>0</v>
      </c>
      <c r="P1703" s="19">
        <v>0</v>
      </c>
      <c r="Q1703" s="19">
        <v>0</v>
      </c>
      <c r="S1703" s="19">
        <v>1</v>
      </c>
      <c r="T1703" s="19">
        <v>1</v>
      </c>
      <c r="U1703" s="19">
        <v>0</v>
      </c>
      <c r="V1703" s="19" t="s">
        <v>80</v>
      </c>
      <c r="W1703" s="19">
        <v>0</v>
      </c>
      <c r="Y1703" s="19" t="s">
        <v>103</v>
      </c>
      <c r="Z1703" s="19">
        <v>50</v>
      </c>
      <c r="AA1703" s="19">
        <v>0</v>
      </c>
    </row>
    <row r="1704" spans="1:27" x14ac:dyDescent="0.25">
      <c r="A1704" s="19" t="s">
        <v>1957</v>
      </c>
      <c r="B1704" s="19" t="s">
        <v>1931</v>
      </c>
      <c r="C1704" s="19" t="s">
        <v>1932</v>
      </c>
      <c r="D1704" s="19">
        <v>0</v>
      </c>
      <c r="E1704" s="19" t="s">
        <v>123</v>
      </c>
      <c r="F1704" s="19" t="s">
        <v>124</v>
      </c>
      <c r="G1704" s="19" t="s">
        <v>32</v>
      </c>
      <c r="H1704" s="19" t="s">
        <v>114</v>
      </c>
      <c r="I1704" s="19" t="s">
        <v>115</v>
      </c>
      <c r="J1704" s="19">
        <v>27</v>
      </c>
      <c r="K1704" s="19">
        <v>2.1700000000000001E-2</v>
      </c>
      <c r="L1704" s="19" t="s">
        <v>35</v>
      </c>
      <c r="M1704" s="19" t="s">
        <v>103</v>
      </c>
      <c r="N1704" s="19">
        <v>0</v>
      </c>
      <c r="O1704" s="19">
        <v>0</v>
      </c>
      <c r="P1704" s="19">
        <v>0</v>
      </c>
      <c r="Q1704" s="19">
        <v>0</v>
      </c>
      <c r="S1704" s="19">
        <v>1</v>
      </c>
      <c r="T1704" s="19">
        <v>1</v>
      </c>
      <c r="U1704" s="19">
        <v>0</v>
      </c>
      <c r="V1704" s="19" t="s">
        <v>36</v>
      </c>
      <c r="W1704" s="19">
        <v>0</v>
      </c>
      <c r="Y1704" s="19" t="s">
        <v>103</v>
      </c>
      <c r="Z1704" s="19">
        <v>50</v>
      </c>
      <c r="AA1704" s="19">
        <v>0</v>
      </c>
    </row>
    <row r="1705" spans="1:27" x14ac:dyDescent="0.25">
      <c r="A1705" s="19" t="s">
        <v>1958</v>
      </c>
      <c r="B1705" s="19" t="s">
        <v>1931</v>
      </c>
      <c r="C1705" s="19" t="s">
        <v>1932</v>
      </c>
      <c r="D1705" s="19">
        <v>1.085</v>
      </c>
      <c r="E1705" s="19" t="s">
        <v>126</v>
      </c>
      <c r="F1705" s="19" t="s">
        <v>127</v>
      </c>
      <c r="G1705" s="19" t="s">
        <v>32</v>
      </c>
      <c r="H1705" s="19" t="s">
        <v>114</v>
      </c>
      <c r="I1705" s="19" t="s">
        <v>115</v>
      </c>
      <c r="J1705" s="19">
        <v>29</v>
      </c>
      <c r="K1705" s="19">
        <v>2.1700000000000001E-2</v>
      </c>
      <c r="L1705" s="19" t="s">
        <v>35</v>
      </c>
      <c r="M1705" s="19" t="s">
        <v>103</v>
      </c>
      <c r="N1705" s="19">
        <v>50</v>
      </c>
      <c r="O1705" s="19">
        <v>50</v>
      </c>
      <c r="P1705" s="19">
        <v>0</v>
      </c>
      <c r="Q1705" s="19">
        <v>0</v>
      </c>
      <c r="S1705" s="19">
        <v>1</v>
      </c>
      <c r="T1705" s="19">
        <v>1</v>
      </c>
      <c r="U1705" s="19">
        <v>0</v>
      </c>
      <c r="V1705" s="19" t="s">
        <v>41</v>
      </c>
      <c r="W1705" s="19">
        <v>1</v>
      </c>
      <c r="Y1705" s="19" t="s">
        <v>103</v>
      </c>
      <c r="Z1705" s="19">
        <v>50</v>
      </c>
      <c r="AA1705" s="19">
        <v>50</v>
      </c>
    </row>
    <row r="1706" spans="1:27" x14ac:dyDescent="0.25">
      <c r="A1706" s="19" t="s">
        <v>1959</v>
      </c>
      <c r="B1706" s="19" t="s">
        <v>1931</v>
      </c>
      <c r="C1706" s="19" t="s">
        <v>1932</v>
      </c>
      <c r="D1706" s="19">
        <v>1.085</v>
      </c>
      <c r="E1706" s="19" t="s">
        <v>129</v>
      </c>
      <c r="F1706" s="19" t="s">
        <v>130</v>
      </c>
      <c r="G1706" s="19" t="s">
        <v>32</v>
      </c>
      <c r="H1706" s="19" t="s">
        <v>114</v>
      </c>
      <c r="I1706" s="19" t="s">
        <v>115</v>
      </c>
      <c r="J1706" s="19">
        <v>32</v>
      </c>
      <c r="K1706" s="19">
        <v>2.1700000000000001E-2</v>
      </c>
      <c r="L1706" s="19" t="s">
        <v>35</v>
      </c>
      <c r="M1706" s="19" t="s">
        <v>103</v>
      </c>
      <c r="N1706" s="19">
        <v>50</v>
      </c>
      <c r="O1706" s="19">
        <v>50</v>
      </c>
      <c r="P1706" s="19">
        <v>0</v>
      </c>
      <c r="Q1706" s="19">
        <v>0</v>
      </c>
      <c r="S1706" s="19">
        <v>1</v>
      </c>
      <c r="T1706" s="19">
        <v>1</v>
      </c>
      <c r="U1706" s="19">
        <v>0</v>
      </c>
      <c r="V1706" s="19" t="s">
        <v>41</v>
      </c>
      <c r="W1706" s="19">
        <v>1</v>
      </c>
      <c r="Y1706" s="19" t="s">
        <v>103</v>
      </c>
      <c r="Z1706" s="19">
        <v>50</v>
      </c>
      <c r="AA1706" s="19">
        <v>50</v>
      </c>
    </row>
    <row r="1707" spans="1:27" x14ac:dyDescent="0.25">
      <c r="A1707" s="19" t="s">
        <v>1960</v>
      </c>
      <c r="B1707" s="19" t="s">
        <v>1931</v>
      </c>
      <c r="C1707" s="19" t="s">
        <v>1932</v>
      </c>
      <c r="D1707" s="19">
        <v>2.085</v>
      </c>
      <c r="E1707" s="19" t="s">
        <v>132</v>
      </c>
      <c r="F1707" s="19" t="s">
        <v>133</v>
      </c>
      <c r="G1707" s="19" t="s">
        <v>134</v>
      </c>
      <c r="H1707" s="19" t="s">
        <v>87</v>
      </c>
      <c r="I1707" s="19" t="s">
        <v>135</v>
      </c>
      <c r="J1707" s="19">
        <v>11</v>
      </c>
      <c r="K1707" s="19">
        <v>4.1700000000000001E-2</v>
      </c>
      <c r="L1707" s="19" t="s">
        <v>35</v>
      </c>
      <c r="M1707" s="19" t="s">
        <v>103</v>
      </c>
      <c r="N1707" s="19">
        <v>50</v>
      </c>
      <c r="O1707" s="19">
        <v>50</v>
      </c>
      <c r="P1707" s="19">
        <v>0</v>
      </c>
      <c r="Q1707" s="19">
        <v>0</v>
      </c>
      <c r="S1707" s="19">
        <v>1</v>
      </c>
      <c r="T1707" s="19">
        <v>1</v>
      </c>
      <c r="U1707" s="19">
        <v>0</v>
      </c>
      <c r="V1707" s="19" t="s">
        <v>41</v>
      </c>
      <c r="W1707" s="19">
        <v>1</v>
      </c>
      <c r="Y1707" s="19" t="s">
        <v>103</v>
      </c>
      <c r="Z1707" s="19">
        <v>50</v>
      </c>
      <c r="AA1707" s="19">
        <v>50</v>
      </c>
    </row>
    <row r="1708" spans="1:27" x14ac:dyDescent="0.25">
      <c r="A1708" s="19" t="s">
        <v>1961</v>
      </c>
      <c r="B1708" s="19" t="s">
        <v>1931</v>
      </c>
      <c r="C1708" s="19" t="s">
        <v>1932</v>
      </c>
      <c r="D1708" s="19">
        <v>0</v>
      </c>
      <c r="E1708" s="19" t="s">
        <v>137</v>
      </c>
      <c r="F1708" s="19" t="s">
        <v>138</v>
      </c>
      <c r="G1708" s="19" t="s">
        <v>134</v>
      </c>
      <c r="H1708" s="19" t="s">
        <v>87</v>
      </c>
      <c r="I1708" s="19" t="s">
        <v>135</v>
      </c>
      <c r="J1708" s="19">
        <v>9</v>
      </c>
      <c r="K1708" s="19">
        <v>4.1700000000000001E-2</v>
      </c>
      <c r="L1708" s="19" t="s">
        <v>35</v>
      </c>
      <c r="N1708" s="19">
        <v>0</v>
      </c>
      <c r="O1708" s="19">
        <v>0</v>
      </c>
      <c r="P1708" s="19">
        <v>0</v>
      </c>
      <c r="Q1708" s="19">
        <v>0</v>
      </c>
      <c r="S1708" s="19">
        <v>1</v>
      </c>
      <c r="T1708" s="19">
        <v>1</v>
      </c>
      <c r="U1708" s="19">
        <v>0</v>
      </c>
      <c r="W1708" s="19">
        <v>0</v>
      </c>
      <c r="X1708" s="19">
        <v>0</v>
      </c>
      <c r="Z1708" s="19">
        <v>0</v>
      </c>
      <c r="AA1708" s="19">
        <v>0</v>
      </c>
    </row>
    <row r="1709" spans="1:27" x14ac:dyDescent="0.25">
      <c r="A1709" s="19" t="s">
        <v>1962</v>
      </c>
      <c r="B1709" s="19" t="s">
        <v>1931</v>
      </c>
      <c r="C1709" s="19" t="s">
        <v>1932</v>
      </c>
      <c r="D1709" s="19">
        <v>2.085</v>
      </c>
      <c r="E1709" s="19" t="s">
        <v>140</v>
      </c>
      <c r="F1709" s="19" t="s">
        <v>141</v>
      </c>
      <c r="G1709" s="19" t="s">
        <v>134</v>
      </c>
      <c r="H1709" s="19" t="s">
        <v>87</v>
      </c>
      <c r="I1709" s="19" t="s">
        <v>135</v>
      </c>
      <c r="J1709" s="19">
        <v>10</v>
      </c>
      <c r="K1709" s="19">
        <v>4.1700000000000001E-2</v>
      </c>
      <c r="L1709" s="19" t="s">
        <v>35</v>
      </c>
      <c r="M1709" s="19" t="s">
        <v>142</v>
      </c>
      <c r="N1709" s="19">
        <v>50</v>
      </c>
      <c r="O1709" s="19">
        <v>50</v>
      </c>
      <c r="P1709" s="19">
        <v>0</v>
      </c>
      <c r="Q1709" s="19">
        <v>0</v>
      </c>
      <c r="S1709" s="19">
        <v>1</v>
      </c>
      <c r="T1709" s="19">
        <v>1</v>
      </c>
      <c r="U1709" s="19">
        <v>0</v>
      </c>
      <c r="W1709" s="19">
        <v>0</v>
      </c>
      <c r="X1709" s="19">
        <v>3</v>
      </c>
      <c r="Y1709" s="19" t="s">
        <v>142</v>
      </c>
      <c r="Z1709" s="19">
        <v>50</v>
      </c>
      <c r="AA1709" s="19">
        <v>50</v>
      </c>
    </row>
    <row r="1710" spans="1:27" x14ac:dyDescent="0.25">
      <c r="A1710" s="19" t="s">
        <v>1963</v>
      </c>
      <c r="B1710" s="19" t="s">
        <v>1931</v>
      </c>
      <c r="C1710" s="19" t="s">
        <v>1932</v>
      </c>
      <c r="D1710" s="19">
        <v>1.25</v>
      </c>
      <c r="E1710" s="19" t="s">
        <v>144</v>
      </c>
      <c r="F1710" s="19" t="s">
        <v>145</v>
      </c>
      <c r="G1710" s="19" t="s">
        <v>134</v>
      </c>
      <c r="H1710" s="19" t="s">
        <v>146</v>
      </c>
      <c r="I1710" s="19" t="s">
        <v>147</v>
      </c>
      <c r="J1710" s="19">
        <v>4</v>
      </c>
      <c r="K1710" s="19">
        <v>2.5000000000000001E-2</v>
      </c>
      <c r="L1710" s="19" t="s">
        <v>35</v>
      </c>
      <c r="M1710" s="19" t="s">
        <v>103</v>
      </c>
      <c r="N1710" s="19">
        <v>50</v>
      </c>
      <c r="O1710" s="19">
        <v>50</v>
      </c>
      <c r="P1710" s="19">
        <v>0</v>
      </c>
      <c r="Q1710" s="19">
        <v>0</v>
      </c>
      <c r="S1710" s="19">
        <v>1</v>
      </c>
      <c r="T1710" s="19">
        <v>1</v>
      </c>
      <c r="U1710" s="19">
        <v>0</v>
      </c>
      <c r="V1710" s="19" t="s">
        <v>41</v>
      </c>
      <c r="W1710" s="19">
        <v>1</v>
      </c>
      <c r="Y1710" s="19" t="s">
        <v>103</v>
      </c>
      <c r="Z1710" s="19">
        <v>50</v>
      </c>
      <c r="AA1710" s="19">
        <v>50</v>
      </c>
    </row>
    <row r="1711" spans="1:27" x14ac:dyDescent="0.25">
      <c r="A1711" s="19" t="s">
        <v>1964</v>
      </c>
      <c r="B1711" s="19" t="s">
        <v>1931</v>
      </c>
      <c r="C1711" s="19" t="s">
        <v>1932</v>
      </c>
      <c r="D1711" s="19">
        <v>1.25</v>
      </c>
      <c r="E1711" s="19" t="s">
        <v>149</v>
      </c>
      <c r="F1711" s="19" t="s">
        <v>150</v>
      </c>
      <c r="G1711" s="19" t="s">
        <v>134</v>
      </c>
      <c r="H1711" s="19" t="s">
        <v>146</v>
      </c>
      <c r="I1711" s="19" t="s">
        <v>147</v>
      </c>
      <c r="J1711" s="19">
        <v>5</v>
      </c>
      <c r="K1711" s="19">
        <v>2.5000000000000001E-2</v>
      </c>
      <c r="L1711" s="19" t="s">
        <v>35</v>
      </c>
      <c r="M1711" s="19" t="s">
        <v>103</v>
      </c>
      <c r="N1711" s="19">
        <v>50</v>
      </c>
      <c r="O1711" s="19">
        <v>50</v>
      </c>
      <c r="P1711" s="19">
        <v>0</v>
      </c>
      <c r="Q1711" s="19">
        <v>0</v>
      </c>
      <c r="S1711" s="19">
        <v>1</v>
      </c>
      <c r="T1711" s="19">
        <v>1</v>
      </c>
      <c r="U1711" s="19">
        <v>0</v>
      </c>
      <c r="V1711" s="19" t="s">
        <v>41</v>
      </c>
      <c r="W1711" s="19">
        <v>1</v>
      </c>
      <c r="Y1711" s="19" t="s">
        <v>103</v>
      </c>
      <c r="Z1711" s="19">
        <v>50</v>
      </c>
      <c r="AA1711" s="19">
        <v>50</v>
      </c>
    </row>
    <row r="1712" spans="1:27" x14ac:dyDescent="0.25">
      <c r="A1712" s="19" t="s">
        <v>1965</v>
      </c>
      <c r="B1712" s="19" t="s">
        <v>1931</v>
      </c>
      <c r="C1712" s="19" t="s">
        <v>1932</v>
      </c>
      <c r="D1712" s="19">
        <v>1.25</v>
      </c>
      <c r="E1712" s="19" t="s">
        <v>152</v>
      </c>
      <c r="F1712" s="19" t="s">
        <v>153</v>
      </c>
      <c r="G1712" s="19" t="s">
        <v>134</v>
      </c>
      <c r="H1712" s="19" t="s">
        <v>146</v>
      </c>
      <c r="I1712" s="19" t="s">
        <v>147</v>
      </c>
      <c r="J1712" s="19">
        <v>6</v>
      </c>
      <c r="K1712" s="19">
        <v>2.5000000000000001E-2</v>
      </c>
      <c r="L1712" s="19" t="s">
        <v>35</v>
      </c>
      <c r="M1712" s="19" t="s">
        <v>103</v>
      </c>
      <c r="N1712" s="19">
        <v>50</v>
      </c>
      <c r="O1712" s="19">
        <v>50</v>
      </c>
      <c r="P1712" s="19">
        <v>0</v>
      </c>
      <c r="Q1712" s="19">
        <v>0</v>
      </c>
      <c r="S1712" s="19">
        <v>1</v>
      </c>
      <c r="T1712" s="19">
        <v>1</v>
      </c>
      <c r="U1712" s="19">
        <v>0</v>
      </c>
      <c r="V1712" s="19" t="s">
        <v>41</v>
      </c>
      <c r="W1712" s="19">
        <v>1</v>
      </c>
      <c r="Y1712" s="19" t="s">
        <v>103</v>
      </c>
      <c r="Z1712" s="19">
        <v>50</v>
      </c>
      <c r="AA1712" s="19">
        <v>50</v>
      </c>
    </row>
    <row r="1713" spans="1:27" x14ac:dyDescent="0.25">
      <c r="A1713" s="19" t="s">
        <v>1966</v>
      </c>
      <c r="B1713" s="19" t="s">
        <v>1931</v>
      </c>
      <c r="C1713" s="19" t="s">
        <v>1932</v>
      </c>
      <c r="D1713" s="19">
        <v>1.25</v>
      </c>
      <c r="E1713" s="19" t="s">
        <v>155</v>
      </c>
      <c r="F1713" s="19" t="s">
        <v>156</v>
      </c>
      <c r="G1713" s="19" t="s">
        <v>134</v>
      </c>
      <c r="H1713" s="19" t="s">
        <v>146</v>
      </c>
      <c r="I1713" s="19" t="s">
        <v>147</v>
      </c>
      <c r="J1713" s="19">
        <v>7</v>
      </c>
      <c r="K1713" s="19">
        <v>2.5000000000000001E-2</v>
      </c>
      <c r="L1713" s="19" t="s">
        <v>35</v>
      </c>
      <c r="M1713" s="19" t="s">
        <v>103</v>
      </c>
      <c r="N1713" s="19">
        <v>50</v>
      </c>
      <c r="O1713" s="19">
        <v>50</v>
      </c>
      <c r="P1713" s="19">
        <v>0</v>
      </c>
      <c r="Q1713" s="19">
        <v>0</v>
      </c>
      <c r="S1713" s="19">
        <v>1</v>
      </c>
      <c r="T1713" s="19">
        <v>1</v>
      </c>
      <c r="U1713" s="19">
        <v>0</v>
      </c>
      <c r="V1713" s="19" t="s">
        <v>41</v>
      </c>
      <c r="W1713" s="19">
        <v>1</v>
      </c>
      <c r="Y1713" s="19" t="s">
        <v>103</v>
      </c>
      <c r="Z1713" s="19">
        <v>50</v>
      </c>
      <c r="AA1713" s="19">
        <v>50</v>
      </c>
    </row>
    <row r="1714" spans="1:27" x14ac:dyDescent="0.25">
      <c r="A1714" s="19" t="s">
        <v>1967</v>
      </c>
      <c r="B1714" s="19" t="s">
        <v>1931</v>
      </c>
      <c r="C1714" s="19" t="s">
        <v>1932</v>
      </c>
      <c r="D1714" s="19">
        <v>0</v>
      </c>
      <c r="E1714" s="19" t="s">
        <v>158</v>
      </c>
      <c r="F1714" s="19" t="s">
        <v>159</v>
      </c>
      <c r="G1714" s="19" t="s">
        <v>134</v>
      </c>
      <c r="H1714" s="19" t="s">
        <v>146</v>
      </c>
      <c r="I1714" s="19" t="s">
        <v>147</v>
      </c>
      <c r="J1714" s="19">
        <v>8</v>
      </c>
      <c r="K1714" s="19">
        <v>2.5000000000000001E-2</v>
      </c>
      <c r="L1714" s="19" t="s">
        <v>35</v>
      </c>
      <c r="M1714" s="19" t="s">
        <v>103</v>
      </c>
      <c r="N1714" s="19">
        <v>0</v>
      </c>
      <c r="O1714" s="19">
        <v>0</v>
      </c>
      <c r="P1714" s="19">
        <v>0</v>
      </c>
      <c r="Q1714" s="19">
        <v>0</v>
      </c>
      <c r="S1714" s="19">
        <v>1</v>
      </c>
      <c r="T1714" s="19">
        <v>1</v>
      </c>
      <c r="U1714" s="19">
        <v>0</v>
      </c>
      <c r="V1714" s="19" t="s">
        <v>80</v>
      </c>
      <c r="W1714" s="19">
        <v>0</v>
      </c>
      <c r="Y1714" s="19" t="s">
        <v>103</v>
      </c>
      <c r="Z1714" s="19">
        <v>50</v>
      </c>
      <c r="AA1714" s="19">
        <v>0</v>
      </c>
    </row>
    <row r="1715" spans="1:27" x14ac:dyDescent="0.25">
      <c r="A1715" s="19" t="s">
        <v>1968</v>
      </c>
      <c r="B1715" s="19" t="s">
        <v>1931</v>
      </c>
      <c r="C1715" s="19" t="s">
        <v>1932</v>
      </c>
      <c r="D1715" s="19">
        <v>1.1098889999999999</v>
      </c>
      <c r="E1715" s="19" t="s">
        <v>161</v>
      </c>
      <c r="F1715" s="19" t="s">
        <v>162</v>
      </c>
      <c r="G1715" s="19" t="s">
        <v>163</v>
      </c>
      <c r="I1715" s="19" t="s">
        <v>164</v>
      </c>
      <c r="J1715" s="19">
        <v>1</v>
      </c>
      <c r="K1715" s="19">
        <v>3.3300000000000003E-2</v>
      </c>
      <c r="L1715" s="19" t="s">
        <v>35</v>
      </c>
      <c r="M1715" s="19" t="s">
        <v>165</v>
      </c>
      <c r="N1715" s="19">
        <v>33.33</v>
      </c>
      <c r="O1715" s="19">
        <v>33.33</v>
      </c>
      <c r="P1715" s="19">
        <v>0</v>
      </c>
      <c r="Q1715" s="19">
        <v>0</v>
      </c>
      <c r="S1715" s="19">
        <v>1</v>
      </c>
      <c r="T1715" s="19">
        <v>1</v>
      </c>
      <c r="U1715" s="19">
        <v>0</v>
      </c>
      <c r="W1715" s="19">
        <v>0</v>
      </c>
      <c r="X1715" s="19">
        <v>33.33</v>
      </c>
      <c r="Z1715" s="19">
        <v>0</v>
      </c>
      <c r="AA1715" s="19">
        <v>33.33</v>
      </c>
    </row>
    <row r="1716" spans="1:27" x14ac:dyDescent="0.25">
      <c r="A1716" s="19" t="s">
        <v>1969</v>
      </c>
      <c r="B1716" s="19" t="s">
        <v>1931</v>
      </c>
      <c r="C1716" s="19" t="s">
        <v>1932</v>
      </c>
      <c r="D1716" s="19">
        <v>0</v>
      </c>
      <c r="E1716" s="19" t="s">
        <v>167</v>
      </c>
      <c r="F1716" s="19" t="s">
        <v>168</v>
      </c>
      <c r="G1716" s="19" t="s">
        <v>163</v>
      </c>
      <c r="I1716" s="19" t="s">
        <v>164</v>
      </c>
      <c r="J1716" s="19">
        <v>3</v>
      </c>
      <c r="K1716" s="19">
        <v>3.3300000000000003E-2</v>
      </c>
      <c r="L1716" s="19" t="s">
        <v>35</v>
      </c>
      <c r="M1716" s="19" t="s">
        <v>165</v>
      </c>
      <c r="N1716" s="19">
        <v>0</v>
      </c>
      <c r="O1716" s="19">
        <v>0</v>
      </c>
      <c r="P1716" s="19">
        <v>0</v>
      </c>
      <c r="Q1716" s="19">
        <v>0</v>
      </c>
      <c r="S1716" s="19">
        <v>1</v>
      </c>
      <c r="T1716" s="19">
        <v>1</v>
      </c>
      <c r="U1716" s="19">
        <v>0</v>
      </c>
      <c r="W1716" s="19">
        <v>0</v>
      </c>
      <c r="X1716" s="19">
        <v>0</v>
      </c>
      <c r="Z1716" s="19">
        <v>0</v>
      </c>
      <c r="AA1716" s="19">
        <v>0</v>
      </c>
    </row>
    <row r="1717" spans="1:27" x14ac:dyDescent="0.25">
      <c r="A1717" s="19" t="s">
        <v>1970</v>
      </c>
      <c r="B1717" s="19" t="s">
        <v>1931</v>
      </c>
      <c r="C1717" s="19" t="s">
        <v>1932</v>
      </c>
      <c r="D1717" s="19">
        <v>3.0636000000000001</v>
      </c>
      <c r="E1717" s="19" t="s">
        <v>170</v>
      </c>
      <c r="F1717" s="19" t="s">
        <v>171</v>
      </c>
      <c r="G1717" s="19" t="s">
        <v>163</v>
      </c>
      <c r="I1717" s="19" t="s">
        <v>164</v>
      </c>
      <c r="J1717" s="19">
        <v>2</v>
      </c>
      <c r="K1717" s="19">
        <v>3.3300000000000003E-2</v>
      </c>
      <c r="L1717" s="19" t="s">
        <v>35</v>
      </c>
      <c r="M1717" s="19" t="s">
        <v>165</v>
      </c>
      <c r="N1717" s="19">
        <v>92</v>
      </c>
      <c r="O1717" s="19">
        <v>92</v>
      </c>
      <c r="P1717" s="19">
        <v>0</v>
      </c>
      <c r="Q1717" s="19">
        <v>0</v>
      </c>
      <c r="S1717" s="19">
        <v>1</v>
      </c>
      <c r="T1717" s="19">
        <v>1</v>
      </c>
      <c r="U1717" s="19">
        <v>0</v>
      </c>
      <c r="W1717" s="19">
        <v>0</v>
      </c>
      <c r="X1717" s="19">
        <v>92</v>
      </c>
      <c r="Z1717" s="19">
        <v>0</v>
      </c>
      <c r="AA1717" s="19">
        <v>92</v>
      </c>
    </row>
    <row r="1718" spans="1:27" x14ac:dyDescent="0.25">
      <c r="A1718" s="19" t="s">
        <v>1971</v>
      </c>
      <c r="B1718" s="19" t="s">
        <v>1972</v>
      </c>
      <c r="C1718" s="19" t="s">
        <v>1973</v>
      </c>
      <c r="D1718" s="19">
        <v>0</v>
      </c>
      <c r="E1718" s="19" t="s">
        <v>30</v>
      </c>
      <c r="F1718" s="19" t="s">
        <v>31</v>
      </c>
      <c r="G1718" s="19" t="s">
        <v>32</v>
      </c>
      <c r="H1718" s="19" t="s">
        <v>33</v>
      </c>
      <c r="I1718" s="19" t="s">
        <v>34</v>
      </c>
      <c r="J1718" s="19">
        <v>17</v>
      </c>
      <c r="K1718" s="19">
        <v>1.6299999999999999E-2</v>
      </c>
      <c r="L1718" s="19" t="s">
        <v>35</v>
      </c>
      <c r="N1718" s="19">
        <v>0</v>
      </c>
      <c r="O1718" s="19">
        <v>0</v>
      </c>
      <c r="P1718" s="19">
        <v>0</v>
      </c>
      <c r="Q1718" s="19">
        <v>0</v>
      </c>
      <c r="S1718" s="19">
        <v>1</v>
      </c>
      <c r="T1718" s="19">
        <v>1</v>
      </c>
      <c r="U1718" s="19">
        <v>0</v>
      </c>
      <c r="V1718" s="19" t="s">
        <v>36</v>
      </c>
      <c r="W1718" s="19">
        <v>0</v>
      </c>
      <c r="Z1718" s="19">
        <v>0</v>
      </c>
      <c r="AA1718" s="19">
        <v>0</v>
      </c>
    </row>
    <row r="1719" spans="1:27" x14ac:dyDescent="0.25">
      <c r="A1719" s="19" t="s">
        <v>1974</v>
      </c>
      <c r="B1719" s="19" t="s">
        <v>1972</v>
      </c>
      <c r="C1719" s="19" t="s">
        <v>1973</v>
      </c>
      <c r="D1719" s="19">
        <v>0</v>
      </c>
      <c r="E1719" s="19" t="s">
        <v>38</v>
      </c>
      <c r="F1719" s="19" t="s">
        <v>39</v>
      </c>
      <c r="G1719" s="19" t="s">
        <v>32</v>
      </c>
      <c r="H1719" s="19" t="s">
        <v>33</v>
      </c>
      <c r="I1719" s="19" t="s">
        <v>34</v>
      </c>
      <c r="J1719" s="19">
        <v>19</v>
      </c>
      <c r="K1719" s="19">
        <v>1.6299999999999999E-2</v>
      </c>
      <c r="L1719" s="19" t="s">
        <v>35</v>
      </c>
      <c r="N1719" s="19">
        <v>0</v>
      </c>
      <c r="O1719" s="19">
        <v>0</v>
      </c>
      <c r="P1719" s="19">
        <v>0</v>
      </c>
      <c r="Q1719" s="19">
        <v>0</v>
      </c>
      <c r="S1719" s="19">
        <v>1</v>
      </c>
      <c r="T1719" s="19">
        <v>1</v>
      </c>
      <c r="U1719" s="19">
        <v>0</v>
      </c>
      <c r="V1719" s="19" t="s">
        <v>36</v>
      </c>
      <c r="W1719" s="19">
        <v>0</v>
      </c>
      <c r="Z1719" s="19">
        <v>0</v>
      </c>
      <c r="AA1719" s="19">
        <v>0</v>
      </c>
    </row>
    <row r="1720" spans="1:27" x14ac:dyDescent="0.25">
      <c r="A1720" s="19" t="s">
        <v>1975</v>
      </c>
      <c r="B1720" s="19" t="s">
        <v>1972</v>
      </c>
      <c r="C1720" s="19" t="s">
        <v>1973</v>
      </c>
      <c r="D1720" s="19">
        <v>0</v>
      </c>
      <c r="E1720" s="19" t="s">
        <v>43</v>
      </c>
      <c r="F1720" s="19" t="s">
        <v>44</v>
      </c>
      <c r="G1720" s="19" t="s">
        <v>32</v>
      </c>
      <c r="H1720" s="19" t="s">
        <v>33</v>
      </c>
      <c r="I1720" s="19" t="s">
        <v>34</v>
      </c>
      <c r="J1720" s="19">
        <v>18</v>
      </c>
      <c r="K1720" s="19">
        <v>1.6299999999999999E-2</v>
      </c>
      <c r="L1720" s="19" t="s">
        <v>35</v>
      </c>
      <c r="M1720" s="19" t="s">
        <v>40</v>
      </c>
      <c r="N1720" s="19">
        <v>0</v>
      </c>
      <c r="O1720" s="19">
        <v>0</v>
      </c>
      <c r="P1720" s="19">
        <v>0</v>
      </c>
      <c r="Q1720" s="19">
        <v>0</v>
      </c>
      <c r="S1720" s="19">
        <v>1</v>
      </c>
      <c r="T1720" s="19">
        <v>1</v>
      </c>
      <c r="U1720" s="19">
        <v>0</v>
      </c>
      <c r="V1720" s="19" t="s">
        <v>80</v>
      </c>
      <c r="W1720" s="19">
        <v>0</v>
      </c>
      <c r="Y1720" s="19" t="s">
        <v>40</v>
      </c>
      <c r="Z1720" s="19">
        <v>33.33</v>
      </c>
      <c r="AA1720" s="19">
        <v>0</v>
      </c>
    </row>
    <row r="1721" spans="1:27" x14ac:dyDescent="0.25">
      <c r="A1721" s="19" t="s">
        <v>1976</v>
      </c>
      <c r="B1721" s="19" t="s">
        <v>1972</v>
      </c>
      <c r="C1721" s="19" t="s">
        <v>1973</v>
      </c>
      <c r="D1721" s="19">
        <v>0.54327899999999996</v>
      </c>
      <c r="E1721" s="19" t="s">
        <v>46</v>
      </c>
      <c r="F1721" s="19" t="s">
        <v>47</v>
      </c>
      <c r="G1721" s="19" t="s">
        <v>32</v>
      </c>
      <c r="H1721" s="19" t="s">
        <v>33</v>
      </c>
      <c r="I1721" s="19" t="s">
        <v>34</v>
      </c>
      <c r="J1721" s="19">
        <v>15</v>
      </c>
      <c r="K1721" s="19">
        <v>1.6299999999999999E-2</v>
      </c>
      <c r="L1721" s="19" t="s">
        <v>35</v>
      </c>
      <c r="M1721" s="19" t="s">
        <v>40</v>
      </c>
      <c r="N1721" s="19">
        <v>33.33</v>
      </c>
      <c r="O1721" s="19">
        <v>33.33</v>
      </c>
      <c r="P1721" s="19">
        <v>0</v>
      </c>
      <c r="Q1721" s="19">
        <v>0</v>
      </c>
      <c r="S1721" s="19">
        <v>1</v>
      </c>
      <c r="T1721" s="19">
        <v>1</v>
      </c>
      <c r="U1721" s="19">
        <v>0</v>
      </c>
      <c r="V1721" s="19" t="s">
        <v>41</v>
      </c>
      <c r="W1721" s="19">
        <v>1</v>
      </c>
      <c r="Y1721" s="19" t="s">
        <v>40</v>
      </c>
      <c r="Z1721" s="19">
        <v>33.33</v>
      </c>
      <c r="AA1721" s="19">
        <v>33.33</v>
      </c>
    </row>
    <row r="1722" spans="1:27" x14ac:dyDescent="0.25">
      <c r="A1722" s="19" t="s">
        <v>1977</v>
      </c>
      <c r="B1722" s="19" t="s">
        <v>1972</v>
      </c>
      <c r="C1722" s="19" t="s">
        <v>1973</v>
      </c>
      <c r="D1722" s="19">
        <v>0</v>
      </c>
      <c r="E1722" s="19" t="s">
        <v>49</v>
      </c>
      <c r="F1722" s="19" t="s">
        <v>50</v>
      </c>
      <c r="G1722" s="19" t="s">
        <v>32</v>
      </c>
      <c r="H1722" s="19" t="s">
        <v>33</v>
      </c>
      <c r="I1722" s="19" t="s">
        <v>34</v>
      </c>
      <c r="J1722" s="19">
        <v>12</v>
      </c>
      <c r="K1722" s="19">
        <v>1.6299999999999999E-2</v>
      </c>
      <c r="L1722" s="19" t="s">
        <v>35</v>
      </c>
      <c r="N1722" s="19">
        <v>0</v>
      </c>
      <c r="O1722" s="19">
        <v>0</v>
      </c>
      <c r="P1722" s="19">
        <v>0</v>
      </c>
      <c r="Q1722" s="19">
        <v>0</v>
      </c>
      <c r="S1722" s="19">
        <v>1</v>
      </c>
      <c r="T1722" s="19">
        <v>1</v>
      </c>
      <c r="U1722" s="19">
        <v>0</v>
      </c>
      <c r="V1722" s="19" t="s">
        <v>36</v>
      </c>
      <c r="W1722" s="19">
        <v>0</v>
      </c>
      <c r="Z1722" s="19">
        <v>0</v>
      </c>
      <c r="AA1722" s="19">
        <v>0</v>
      </c>
    </row>
    <row r="1723" spans="1:27" x14ac:dyDescent="0.25">
      <c r="A1723" s="19" t="s">
        <v>1978</v>
      </c>
      <c r="B1723" s="19" t="s">
        <v>1972</v>
      </c>
      <c r="C1723" s="19" t="s">
        <v>1973</v>
      </c>
      <c r="D1723" s="19">
        <v>0</v>
      </c>
      <c r="E1723" s="19" t="s">
        <v>52</v>
      </c>
      <c r="F1723" s="19" t="s">
        <v>53</v>
      </c>
      <c r="G1723" s="19" t="s">
        <v>32</v>
      </c>
      <c r="H1723" s="19" t="s">
        <v>33</v>
      </c>
      <c r="I1723" s="19" t="s">
        <v>34</v>
      </c>
      <c r="J1723" s="19">
        <v>16</v>
      </c>
      <c r="K1723" s="19">
        <v>1.6299999999999999E-2</v>
      </c>
      <c r="L1723" s="19" t="s">
        <v>35</v>
      </c>
      <c r="N1723" s="19">
        <v>0</v>
      </c>
      <c r="O1723" s="19">
        <v>0</v>
      </c>
      <c r="P1723" s="19">
        <v>0</v>
      </c>
      <c r="Q1723" s="19">
        <v>0</v>
      </c>
      <c r="S1723" s="19">
        <v>1</v>
      </c>
      <c r="T1723" s="19">
        <v>1</v>
      </c>
      <c r="U1723" s="19">
        <v>0</v>
      </c>
      <c r="V1723" s="19" t="s">
        <v>36</v>
      </c>
      <c r="W1723" s="19">
        <v>0</v>
      </c>
      <c r="Z1723" s="19">
        <v>0</v>
      </c>
      <c r="AA1723" s="19">
        <v>0</v>
      </c>
    </row>
    <row r="1724" spans="1:27" x14ac:dyDescent="0.25">
      <c r="A1724" s="19" t="s">
        <v>1979</v>
      </c>
      <c r="B1724" s="19" t="s">
        <v>1972</v>
      </c>
      <c r="C1724" s="19" t="s">
        <v>1973</v>
      </c>
      <c r="D1724" s="19">
        <v>0.54327899999999996</v>
      </c>
      <c r="E1724" s="19" t="s">
        <v>55</v>
      </c>
      <c r="F1724" s="19" t="s">
        <v>56</v>
      </c>
      <c r="G1724" s="19" t="s">
        <v>32</v>
      </c>
      <c r="H1724" s="19" t="s">
        <v>33</v>
      </c>
      <c r="I1724" s="19" t="s">
        <v>34</v>
      </c>
      <c r="J1724" s="19">
        <v>14</v>
      </c>
      <c r="K1724" s="19">
        <v>1.6299999999999999E-2</v>
      </c>
      <c r="L1724" s="19" t="s">
        <v>35</v>
      </c>
      <c r="M1724" s="19" t="s">
        <v>40</v>
      </c>
      <c r="N1724" s="19">
        <v>33.33</v>
      </c>
      <c r="O1724" s="19">
        <v>33.33</v>
      </c>
      <c r="P1724" s="19">
        <v>0</v>
      </c>
      <c r="Q1724" s="19">
        <v>0</v>
      </c>
      <c r="S1724" s="19">
        <v>1</v>
      </c>
      <c r="T1724" s="19">
        <v>1</v>
      </c>
      <c r="U1724" s="19">
        <v>0</v>
      </c>
      <c r="V1724" s="19" t="s">
        <v>41</v>
      </c>
      <c r="W1724" s="19">
        <v>1</v>
      </c>
      <c r="Y1724" s="19" t="s">
        <v>40</v>
      </c>
      <c r="Z1724" s="19">
        <v>33.33</v>
      </c>
      <c r="AA1724" s="19">
        <v>33.33</v>
      </c>
    </row>
    <row r="1725" spans="1:27" x14ac:dyDescent="0.25">
      <c r="A1725" s="19" t="s">
        <v>1980</v>
      </c>
      <c r="B1725" s="19" t="s">
        <v>1972</v>
      </c>
      <c r="C1725" s="19" t="s">
        <v>1973</v>
      </c>
      <c r="D1725" s="19">
        <v>0</v>
      </c>
      <c r="E1725" s="19" t="s">
        <v>58</v>
      </c>
      <c r="F1725" s="19" t="s">
        <v>59</v>
      </c>
      <c r="G1725" s="19" t="s">
        <v>32</v>
      </c>
      <c r="H1725" s="19" t="s">
        <v>33</v>
      </c>
      <c r="I1725" s="19" t="s">
        <v>34</v>
      </c>
      <c r="J1725" s="19">
        <v>13</v>
      </c>
      <c r="K1725" s="19">
        <v>1.6299999999999999E-2</v>
      </c>
      <c r="L1725" s="19" t="s">
        <v>35</v>
      </c>
      <c r="N1725" s="19">
        <v>0</v>
      </c>
      <c r="O1725" s="19">
        <v>0</v>
      </c>
      <c r="P1725" s="19">
        <v>0</v>
      </c>
      <c r="Q1725" s="19">
        <v>0</v>
      </c>
      <c r="S1725" s="19">
        <v>1</v>
      </c>
      <c r="T1725" s="19">
        <v>1</v>
      </c>
      <c r="U1725" s="19">
        <v>0</v>
      </c>
      <c r="V1725" s="19" t="s">
        <v>36</v>
      </c>
      <c r="W1725" s="19">
        <v>0</v>
      </c>
      <c r="Z1725" s="19">
        <v>0</v>
      </c>
      <c r="AA1725" s="19">
        <v>0</v>
      </c>
    </row>
    <row r="1726" spans="1:27" x14ac:dyDescent="0.25">
      <c r="A1726" s="19" t="s">
        <v>1981</v>
      </c>
      <c r="B1726" s="19" t="s">
        <v>1972</v>
      </c>
      <c r="C1726" s="19" t="s">
        <v>1973</v>
      </c>
      <c r="D1726" s="19">
        <v>0</v>
      </c>
      <c r="E1726" s="19" t="s">
        <v>61</v>
      </c>
      <c r="F1726" s="19" t="s">
        <v>62</v>
      </c>
      <c r="G1726" s="19" t="s">
        <v>32</v>
      </c>
      <c r="H1726" s="19" t="s">
        <v>63</v>
      </c>
      <c r="I1726" s="19" t="s">
        <v>64</v>
      </c>
      <c r="J1726" s="19">
        <v>22</v>
      </c>
      <c r="K1726" s="19">
        <v>1.8599999999999998E-2</v>
      </c>
      <c r="L1726" s="19" t="s">
        <v>35</v>
      </c>
      <c r="N1726" s="19">
        <v>0</v>
      </c>
      <c r="O1726" s="19">
        <v>0</v>
      </c>
      <c r="P1726" s="19">
        <v>0</v>
      </c>
      <c r="Q1726" s="19">
        <v>0</v>
      </c>
      <c r="S1726" s="19">
        <v>1</v>
      </c>
      <c r="T1726" s="19">
        <v>1</v>
      </c>
      <c r="U1726" s="19">
        <v>0</v>
      </c>
      <c r="V1726" s="19" t="s">
        <v>36</v>
      </c>
      <c r="W1726" s="19">
        <v>0</v>
      </c>
      <c r="Z1726" s="19">
        <v>0</v>
      </c>
      <c r="AA1726" s="19">
        <v>0</v>
      </c>
    </row>
    <row r="1727" spans="1:27" x14ac:dyDescent="0.25">
      <c r="A1727" s="19" t="s">
        <v>1982</v>
      </c>
      <c r="B1727" s="19" t="s">
        <v>1972</v>
      </c>
      <c r="C1727" s="19" t="s">
        <v>1973</v>
      </c>
      <c r="D1727" s="19">
        <v>0.61993799999999899</v>
      </c>
      <c r="E1727" s="19" t="s">
        <v>66</v>
      </c>
      <c r="F1727" s="19" t="s">
        <v>67</v>
      </c>
      <c r="G1727" s="19" t="s">
        <v>32</v>
      </c>
      <c r="H1727" s="19" t="s">
        <v>63</v>
      </c>
      <c r="I1727" s="19" t="s">
        <v>64</v>
      </c>
      <c r="J1727" s="19">
        <v>20</v>
      </c>
      <c r="K1727" s="19">
        <v>1.8599999999999998E-2</v>
      </c>
      <c r="L1727" s="19" t="s">
        <v>35</v>
      </c>
      <c r="M1727" s="19" t="s">
        <v>40</v>
      </c>
      <c r="N1727" s="19">
        <v>33.33</v>
      </c>
      <c r="O1727" s="19">
        <v>33.33</v>
      </c>
      <c r="P1727" s="19">
        <v>0</v>
      </c>
      <c r="Q1727" s="19">
        <v>0</v>
      </c>
      <c r="S1727" s="19">
        <v>1</v>
      </c>
      <c r="T1727" s="19">
        <v>1</v>
      </c>
      <c r="U1727" s="19">
        <v>0</v>
      </c>
      <c r="V1727" s="19" t="s">
        <v>41</v>
      </c>
      <c r="W1727" s="19">
        <v>1</v>
      </c>
      <c r="Y1727" s="19" t="s">
        <v>40</v>
      </c>
      <c r="Z1727" s="19">
        <v>33.33</v>
      </c>
      <c r="AA1727" s="19">
        <v>33.33</v>
      </c>
    </row>
    <row r="1728" spans="1:27" x14ac:dyDescent="0.25">
      <c r="A1728" s="19" t="s">
        <v>1983</v>
      </c>
      <c r="B1728" s="19" t="s">
        <v>1972</v>
      </c>
      <c r="C1728" s="19" t="s">
        <v>1973</v>
      </c>
      <c r="D1728" s="19">
        <v>0</v>
      </c>
      <c r="E1728" s="19" t="s">
        <v>69</v>
      </c>
      <c r="F1728" s="19" t="s">
        <v>70</v>
      </c>
      <c r="G1728" s="19" t="s">
        <v>32</v>
      </c>
      <c r="H1728" s="19" t="s">
        <v>63</v>
      </c>
      <c r="I1728" s="19" t="s">
        <v>64</v>
      </c>
      <c r="J1728" s="19">
        <v>23</v>
      </c>
      <c r="K1728" s="19">
        <v>1.8599999999999998E-2</v>
      </c>
      <c r="L1728" s="19" t="s">
        <v>35</v>
      </c>
      <c r="N1728" s="19">
        <v>0</v>
      </c>
      <c r="O1728" s="19">
        <v>0</v>
      </c>
      <c r="P1728" s="19">
        <v>0</v>
      </c>
      <c r="Q1728" s="19">
        <v>0</v>
      </c>
      <c r="S1728" s="19">
        <v>1</v>
      </c>
      <c r="T1728" s="19">
        <v>1</v>
      </c>
      <c r="U1728" s="19">
        <v>0</v>
      </c>
      <c r="V1728" s="19" t="s">
        <v>36</v>
      </c>
      <c r="W1728" s="19">
        <v>0</v>
      </c>
      <c r="Z1728" s="19">
        <v>0</v>
      </c>
      <c r="AA1728" s="19">
        <v>0</v>
      </c>
    </row>
    <row r="1729" spans="1:27" x14ac:dyDescent="0.25">
      <c r="A1729" s="19" t="s">
        <v>1984</v>
      </c>
      <c r="B1729" s="19" t="s">
        <v>1972</v>
      </c>
      <c r="C1729" s="19" t="s">
        <v>1973</v>
      </c>
      <c r="D1729" s="19">
        <v>0.61993799999999899</v>
      </c>
      <c r="E1729" s="19" t="s">
        <v>72</v>
      </c>
      <c r="F1729" s="19" t="s">
        <v>73</v>
      </c>
      <c r="G1729" s="19" t="s">
        <v>32</v>
      </c>
      <c r="H1729" s="19" t="s">
        <v>63</v>
      </c>
      <c r="I1729" s="19" t="s">
        <v>64</v>
      </c>
      <c r="J1729" s="19">
        <v>21</v>
      </c>
      <c r="K1729" s="19">
        <v>1.8599999999999998E-2</v>
      </c>
      <c r="L1729" s="19" t="s">
        <v>35</v>
      </c>
      <c r="M1729" s="19" t="s">
        <v>40</v>
      </c>
      <c r="N1729" s="19">
        <v>33.33</v>
      </c>
      <c r="O1729" s="19">
        <v>33.33</v>
      </c>
      <c r="P1729" s="19">
        <v>0</v>
      </c>
      <c r="Q1729" s="19">
        <v>0</v>
      </c>
      <c r="S1729" s="19">
        <v>1</v>
      </c>
      <c r="T1729" s="19">
        <v>1</v>
      </c>
      <c r="U1729" s="19">
        <v>0</v>
      </c>
      <c r="V1729" s="19" t="s">
        <v>41</v>
      </c>
      <c r="W1729" s="19">
        <v>1</v>
      </c>
      <c r="Y1729" s="19" t="s">
        <v>40</v>
      </c>
      <c r="Z1729" s="19">
        <v>33.33</v>
      </c>
      <c r="AA1729" s="19">
        <v>33.33</v>
      </c>
    </row>
    <row r="1730" spans="1:27" x14ac:dyDescent="0.25">
      <c r="A1730" s="19" t="s">
        <v>1985</v>
      </c>
      <c r="B1730" s="19" t="s">
        <v>1972</v>
      </c>
      <c r="C1730" s="19" t="s">
        <v>1973</v>
      </c>
      <c r="D1730" s="19">
        <v>0</v>
      </c>
      <c r="E1730" s="19" t="s">
        <v>75</v>
      </c>
      <c r="F1730" s="19" t="s">
        <v>76</v>
      </c>
      <c r="G1730" s="19" t="s">
        <v>32</v>
      </c>
      <c r="H1730" s="19" t="s">
        <v>63</v>
      </c>
      <c r="I1730" s="19" t="s">
        <v>64</v>
      </c>
      <c r="J1730" s="19">
        <v>24</v>
      </c>
      <c r="K1730" s="19">
        <v>1.8599999999999998E-2</v>
      </c>
      <c r="L1730" s="19" t="s">
        <v>35</v>
      </c>
      <c r="N1730" s="19">
        <v>0</v>
      </c>
      <c r="O1730" s="19">
        <v>0</v>
      </c>
      <c r="P1730" s="19">
        <v>0</v>
      </c>
      <c r="Q1730" s="19">
        <v>0</v>
      </c>
      <c r="S1730" s="19">
        <v>1</v>
      </c>
      <c r="T1730" s="19">
        <v>1</v>
      </c>
      <c r="U1730" s="19">
        <v>0</v>
      </c>
      <c r="V1730" s="19" t="s">
        <v>36</v>
      </c>
      <c r="W1730" s="19">
        <v>0</v>
      </c>
      <c r="Z1730" s="19">
        <v>0</v>
      </c>
      <c r="AA1730" s="19">
        <v>0</v>
      </c>
    </row>
    <row r="1731" spans="1:27" x14ac:dyDescent="0.25">
      <c r="A1731" s="19" t="s">
        <v>1986</v>
      </c>
      <c r="B1731" s="19" t="s">
        <v>1972</v>
      </c>
      <c r="C1731" s="19" t="s">
        <v>1973</v>
      </c>
      <c r="D1731" s="19">
        <v>0</v>
      </c>
      <c r="E1731" s="19" t="s">
        <v>78</v>
      </c>
      <c r="F1731" s="19" t="s">
        <v>79</v>
      </c>
      <c r="G1731" s="19" t="s">
        <v>32</v>
      </c>
      <c r="H1731" s="19" t="s">
        <v>63</v>
      </c>
      <c r="I1731" s="19" t="s">
        <v>64</v>
      </c>
      <c r="J1731" s="19">
        <v>25</v>
      </c>
      <c r="K1731" s="19">
        <v>1.8599999999999998E-2</v>
      </c>
      <c r="L1731" s="19" t="s">
        <v>35</v>
      </c>
      <c r="M1731" s="19" t="s">
        <v>40</v>
      </c>
      <c r="N1731" s="19">
        <v>0</v>
      </c>
      <c r="O1731" s="19">
        <v>0</v>
      </c>
      <c r="P1731" s="19">
        <v>0</v>
      </c>
      <c r="Q1731" s="19">
        <v>0</v>
      </c>
      <c r="S1731" s="19">
        <v>1</v>
      </c>
      <c r="T1731" s="19">
        <v>1</v>
      </c>
      <c r="U1731" s="19">
        <v>0</v>
      </c>
      <c r="V1731" s="19" t="s">
        <v>80</v>
      </c>
      <c r="W1731" s="19">
        <v>0</v>
      </c>
      <c r="Y1731" s="19" t="s">
        <v>40</v>
      </c>
      <c r="Z1731" s="19">
        <v>33.33</v>
      </c>
      <c r="AA1731" s="19">
        <v>0</v>
      </c>
    </row>
    <row r="1732" spans="1:27" x14ac:dyDescent="0.25">
      <c r="A1732" s="19" t="s">
        <v>1987</v>
      </c>
      <c r="B1732" s="19" t="s">
        <v>1972</v>
      </c>
      <c r="C1732" s="19" t="s">
        <v>1973</v>
      </c>
      <c r="D1732" s="19">
        <v>0</v>
      </c>
      <c r="E1732" s="19" t="s">
        <v>82</v>
      </c>
      <c r="F1732" s="19" t="s">
        <v>83</v>
      </c>
      <c r="G1732" s="19" t="s">
        <v>32</v>
      </c>
      <c r="H1732" s="19" t="s">
        <v>63</v>
      </c>
      <c r="I1732" s="19" t="s">
        <v>64</v>
      </c>
      <c r="J1732" s="19">
        <v>26</v>
      </c>
      <c r="K1732" s="19">
        <v>1.8599999999999998E-2</v>
      </c>
      <c r="L1732" s="19" t="s">
        <v>35</v>
      </c>
      <c r="N1732" s="19">
        <v>0</v>
      </c>
      <c r="O1732" s="19">
        <v>0</v>
      </c>
      <c r="P1732" s="19">
        <v>0</v>
      </c>
      <c r="Q1732" s="19">
        <v>0</v>
      </c>
      <c r="S1732" s="19">
        <v>1</v>
      </c>
      <c r="T1732" s="19">
        <v>1</v>
      </c>
      <c r="U1732" s="19">
        <v>0</v>
      </c>
      <c r="V1732" s="19" t="s">
        <v>36</v>
      </c>
      <c r="W1732" s="19">
        <v>0</v>
      </c>
      <c r="Z1732" s="19">
        <v>0</v>
      </c>
      <c r="AA1732" s="19">
        <v>0</v>
      </c>
    </row>
    <row r="1733" spans="1:27" x14ac:dyDescent="0.25">
      <c r="A1733" s="19" t="s">
        <v>1988</v>
      </c>
      <c r="B1733" s="19" t="s">
        <v>1972</v>
      </c>
      <c r="C1733" s="19" t="s">
        <v>1973</v>
      </c>
      <c r="D1733" s="19">
        <v>0</v>
      </c>
      <c r="E1733" s="19" t="s">
        <v>85</v>
      </c>
      <c r="F1733" s="19" t="s">
        <v>86</v>
      </c>
      <c r="G1733" s="19" t="s">
        <v>32</v>
      </c>
      <c r="H1733" s="19" t="s">
        <v>87</v>
      </c>
      <c r="I1733" s="19" t="s">
        <v>88</v>
      </c>
      <c r="J1733" s="19">
        <v>35</v>
      </c>
      <c r="K1733" s="19">
        <v>3.2500000000000001E-2</v>
      </c>
      <c r="L1733" s="19" t="s">
        <v>35</v>
      </c>
      <c r="N1733" s="19">
        <v>0</v>
      </c>
      <c r="O1733" s="19">
        <v>0</v>
      </c>
      <c r="P1733" s="19">
        <v>0</v>
      </c>
      <c r="Q1733" s="19">
        <v>0</v>
      </c>
      <c r="S1733" s="19">
        <v>1</v>
      </c>
      <c r="T1733" s="19">
        <v>1</v>
      </c>
      <c r="U1733" s="19">
        <v>0</v>
      </c>
      <c r="V1733" s="19" t="s">
        <v>36</v>
      </c>
      <c r="W1733" s="19">
        <v>0</v>
      </c>
      <c r="Z1733" s="19">
        <v>0</v>
      </c>
      <c r="AA1733" s="19">
        <v>0</v>
      </c>
    </row>
    <row r="1734" spans="1:27" x14ac:dyDescent="0.25">
      <c r="A1734" s="19" t="s">
        <v>1989</v>
      </c>
      <c r="B1734" s="19" t="s">
        <v>1972</v>
      </c>
      <c r="C1734" s="19" t="s">
        <v>1973</v>
      </c>
      <c r="D1734" s="19">
        <v>0</v>
      </c>
      <c r="E1734" s="19" t="s">
        <v>90</v>
      </c>
      <c r="F1734" s="19" t="s">
        <v>91</v>
      </c>
      <c r="G1734" s="19" t="s">
        <v>32</v>
      </c>
      <c r="H1734" s="19" t="s">
        <v>87</v>
      </c>
      <c r="I1734" s="19" t="s">
        <v>88</v>
      </c>
      <c r="J1734" s="19">
        <v>33</v>
      </c>
      <c r="K1734" s="19">
        <v>3.2500000000000001E-2</v>
      </c>
      <c r="L1734" s="19" t="s">
        <v>35</v>
      </c>
      <c r="N1734" s="19">
        <v>0</v>
      </c>
      <c r="O1734" s="19">
        <v>0</v>
      </c>
      <c r="P1734" s="19">
        <v>0</v>
      </c>
      <c r="Q1734" s="19">
        <v>0</v>
      </c>
      <c r="S1734" s="19">
        <v>1</v>
      </c>
      <c r="T1734" s="19">
        <v>1</v>
      </c>
      <c r="U1734" s="19">
        <v>0</v>
      </c>
      <c r="V1734" s="19" t="s">
        <v>36</v>
      </c>
      <c r="W1734" s="19">
        <v>0</v>
      </c>
      <c r="Z1734" s="19">
        <v>0</v>
      </c>
      <c r="AA1734" s="19">
        <v>0</v>
      </c>
    </row>
    <row r="1735" spans="1:27" x14ac:dyDescent="0.25">
      <c r="A1735" s="19" t="s">
        <v>1990</v>
      </c>
      <c r="B1735" s="19" t="s">
        <v>1972</v>
      </c>
      <c r="C1735" s="19" t="s">
        <v>1973</v>
      </c>
      <c r="D1735" s="19">
        <v>1.0832249999999899</v>
      </c>
      <c r="E1735" s="19" t="s">
        <v>93</v>
      </c>
      <c r="F1735" s="19" t="s">
        <v>94</v>
      </c>
      <c r="G1735" s="19" t="s">
        <v>32</v>
      </c>
      <c r="H1735" s="19" t="s">
        <v>87</v>
      </c>
      <c r="I1735" s="19" t="s">
        <v>88</v>
      </c>
      <c r="J1735" s="19">
        <v>34</v>
      </c>
      <c r="K1735" s="19">
        <v>3.2500000000000001E-2</v>
      </c>
      <c r="L1735" s="19" t="s">
        <v>35</v>
      </c>
      <c r="M1735" s="19" t="s">
        <v>40</v>
      </c>
      <c r="N1735" s="19">
        <v>33.33</v>
      </c>
      <c r="O1735" s="19">
        <v>33.33</v>
      </c>
      <c r="P1735" s="19">
        <v>0</v>
      </c>
      <c r="Q1735" s="19">
        <v>0</v>
      </c>
      <c r="S1735" s="19">
        <v>1</v>
      </c>
      <c r="T1735" s="19">
        <v>1</v>
      </c>
      <c r="U1735" s="19">
        <v>0</v>
      </c>
      <c r="V1735" s="19" t="s">
        <v>41</v>
      </c>
      <c r="W1735" s="19">
        <v>1</v>
      </c>
      <c r="Y1735" s="19" t="s">
        <v>40</v>
      </c>
      <c r="Z1735" s="19">
        <v>33.33</v>
      </c>
      <c r="AA1735" s="19">
        <v>33.33</v>
      </c>
    </row>
    <row r="1736" spans="1:27" x14ac:dyDescent="0.25">
      <c r="A1736" s="19" t="s">
        <v>1991</v>
      </c>
      <c r="B1736" s="19" t="s">
        <v>1972</v>
      </c>
      <c r="C1736" s="19" t="s">
        <v>1973</v>
      </c>
      <c r="D1736" s="19">
        <v>0</v>
      </c>
      <c r="E1736" s="19" t="s">
        <v>96</v>
      </c>
      <c r="F1736" s="19" t="s">
        <v>97</v>
      </c>
      <c r="G1736" s="19" t="s">
        <v>32</v>
      </c>
      <c r="H1736" s="19" t="s">
        <v>87</v>
      </c>
      <c r="I1736" s="19" t="s">
        <v>88</v>
      </c>
      <c r="J1736" s="19">
        <v>36</v>
      </c>
      <c r="K1736" s="19">
        <v>3.2500000000000001E-2</v>
      </c>
      <c r="L1736" s="19" t="s">
        <v>35</v>
      </c>
      <c r="N1736" s="19">
        <v>0</v>
      </c>
      <c r="O1736" s="19">
        <v>0</v>
      </c>
      <c r="P1736" s="19">
        <v>0</v>
      </c>
      <c r="Q1736" s="19">
        <v>0</v>
      </c>
      <c r="S1736" s="19">
        <v>1</v>
      </c>
      <c r="T1736" s="19">
        <v>1</v>
      </c>
      <c r="U1736" s="19">
        <v>0</v>
      </c>
      <c r="V1736" s="19" t="s">
        <v>36</v>
      </c>
      <c r="W1736" s="19">
        <v>0</v>
      </c>
      <c r="Z1736" s="19">
        <v>0</v>
      </c>
      <c r="AA1736" s="19">
        <v>0</v>
      </c>
    </row>
    <row r="1737" spans="1:27" x14ac:dyDescent="0.25">
      <c r="A1737" s="19" t="s">
        <v>1992</v>
      </c>
      <c r="B1737" s="19" t="s">
        <v>1972</v>
      </c>
      <c r="C1737" s="19" t="s">
        <v>1973</v>
      </c>
      <c r="D1737" s="19">
        <v>0</v>
      </c>
      <c r="E1737" s="19" t="s">
        <v>99</v>
      </c>
      <c r="F1737" s="19" t="s">
        <v>100</v>
      </c>
      <c r="G1737" s="19" t="s">
        <v>32</v>
      </c>
      <c r="H1737" s="19" t="s">
        <v>101</v>
      </c>
      <c r="I1737" s="19" t="s">
        <v>102</v>
      </c>
      <c r="J1737" s="19">
        <v>39</v>
      </c>
      <c r="K1737" s="19">
        <v>4.3299999999999998E-2</v>
      </c>
      <c r="L1737" s="19" t="s">
        <v>35</v>
      </c>
      <c r="M1737" s="19" t="s">
        <v>103</v>
      </c>
      <c r="N1737" s="19">
        <v>0</v>
      </c>
      <c r="O1737" s="19">
        <v>0</v>
      </c>
      <c r="P1737" s="19">
        <v>0</v>
      </c>
      <c r="Q1737" s="19">
        <v>0</v>
      </c>
      <c r="S1737" s="19">
        <v>1</v>
      </c>
      <c r="T1737" s="19">
        <v>1</v>
      </c>
      <c r="U1737" s="19">
        <v>0</v>
      </c>
      <c r="V1737" s="19" t="s">
        <v>36</v>
      </c>
      <c r="W1737" s="19">
        <v>0</v>
      </c>
      <c r="Y1737" s="19" t="s">
        <v>103</v>
      </c>
      <c r="Z1737" s="19">
        <v>50</v>
      </c>
      <c r="AA1737" s="19">
        <v>0</v>
      </c>
    </row>
    <row r="1738" spans="1:27" x14ac:dyDescent="0.25">
      <c r="A1738" s="19" t="s">
        <v>1993</v>
      </c>
      <c r="B1738" s="19" t="s">
        <v>1972</v>
      </c>
      <c r="C1738" s="19" t="s">
        <v>1973</v>
      </c>
      <c r="D1738" s="19">
        <v>0</v>
      </c>
      <c r="E1738" s="19" t="s">
        <v>105</v>
      </c>
      <c r="F1738" s="19" t="s">
        <v>106</v>
      </c>
      <c r="G1738" s="19" t="s">
        <v>32</v>
      </c>
      <c r="H1738" s="19" t="s">
        <v>101</v>
      </c>
      <c r="I1738" s="19" t="s">
        <v>102</v>
      </c>
      <c r="J1738" s="19">
        <v>38</v>
      </c>
      <c r="K1738" s="19">
        <v>4.3299999999999998E-2</v>
      </c>
      <c r="L1738" s="19" t="s">
        <v>35</v>
      </c>
      <c r="M1738" s="19" t="s">
        <v>103</v>
      </c>
      <c r="N1738" s="19">
        <v>0</v>
      </c>
      <c r="O1738" s="19">
        <v>0</v>
      </c>
      <c r="P1738" s="19">
        <v>0</v>
      </c>
      <c r="Q1738" s="19">
        <v>0</v>
      </c>
      <c r="S1738" s="19">
        <v>1</v>
      </c>
      <c r="T1738" s="19">
        <v>1</v>
      </c>
      <c r="U1738" s="19">
        <v>0</v>
      </c>
      <c r="V1738" s="19" t="s">
        <v>36</v>
      </c>
      <c r="W1738" s="19">
        <v>0</v>
      </c>
      <c r="Y1738" s="19" t="s">
        <v>103</v>
      </c>
      <c r="Z1738" s="19">
        <v>50</v>
      </c>
      <c r="AA1738" s="19">
        <v>0</v>
      </c>
    </row>
    <row r="1739" spans="1:27" x14ac:dyDescent="0.25">
      <c r="A1739" s="19" t="s">
        <v>1994</v>
      </c>
      <c r="B1739" s="19" t="s">
        <v>1972</v>
      </c>
      <c r="C1739" s="19" t="s">
        <v>1973</v>
      </c>
      <c r="D1739" s="19">
        <v>0</v>
      </c>
      <c r="E1739" s="19" t="s">
        <v>108</v>
      </c>
      <c r="F1739" s="19" t="s">
        <v>109</v>
      </c>
      <c r="G1739" s="19" t="s">
        <v>32</v>
      </c>
      <c r="H1739" s="19" t="s">
        <v>101</v>
      </c>
      <c r="I1739" s="19" t="s">
        <v>102</v>
      </c>
      <c r="J1739" s="19">
        <v>37</v>
      </c>
      <c r="K1739" s="19">
        <v>4.3299999999999998E-2</v>
      </c>
      <c r="L1739" s="19" t="s">
        <v>35</v>
      </c>
      <c r="N1739" s="19">
        <v>0</v>
      </c>
      <c r="O1739" s="19">
        <v>0</v>
      </c>
      <c r="P1739" s="19">
        <v>0</v>
      </c>
      <c r="Q1739" s="19">
        <v>0</v>
      </c>
      <c r="S1739" s="19">
        <v>1</v>
      </c>
      <c r="T1739" s="19">
        <v>1</v>
      </c>
      <c r="U1739" s="19">
        <v>0</v>
      </c>
      <c r="V1739" s="19" t="s">
        <v>36</v>
      </c>
      <c r="W1739" s="19">
        <v>0</v>
      </c>
      <c r="Z1739" s="19">
        <v>0</v>
      </c>
      <c r="AA1739" s="19">
        <v>0</v>
      </c>
    </row>
    <row r="1740" spans="1:27" x14ac:dyDescent="0.25">
      <c r="A1740" s="19" t="s">
        <v>1995</v>
      </c>
      <c r="B1740" s="19" t="s">
        <v>1972</v>
      </c>
      <c r="C1740" s="19" t="s">
        <v>1973</v>
      </c>
      <c r="D1740" s="19">
        <v>0</v>
      </c>
      <c r="E1740" s="19" t="s">
        <v>112</v>
      </c>
      <c r="F1740" s="19" t="s">
        <v>113</v>
      </c>
      <c r="G1740" s="19" t="s">
        <v>32</v>
      </c>
      <c r="H1740" s="19" t="s">
        <v>114</v>
      </c>
      <c r="I1740" s="19" t="s">
        <v>115</v>
      </c>
      <c r="J1740" s="19">
        <v>30</v>
      </c>
      <c r="K1740" s="19">
        <v>2.1700000000000001E-2</v>
      </c>
      <c r="L1740" s="19" t="s">
        <v>35</v>
      </c>
      <c r="M1740" s="19" t="s">
        <v>103</v>
      </c>
      <c r="N1740" s="19">
        <v>0</v>
      </c>
      <c r="O1740" s="19">
        <v>0</v>
      </c>
      <c r="P1740" s="19">
        <v>0</v>
      </c>
      <c r="Q1740" s="19">
        <v>0</v>
      </c>
      <c r="S1740" s="19">
        <v>1</v>
      </c>
      <c r="T1740" s="19">
        <v>1</v>
      </c>
      <c r="U1740" s="19">
        <v>0</v>
      </c>
      <c r="V1740" s="19" t="s">
        <v>36</v>
      </c>
      <c r="W1740" s="19">
        <v>0</v>
      </c>
      <c r="Y1740" s="19" t="s">
        <v>103</v>
      </c>
      <c r="Z1740" s="19">
        <v>50</v>
      </c>
      <c r="AA1740" s="19">
        <v>0</v>
      </c>
    </row>
    <row r="1741" spans="1:27" x14ac:dyDescent="0.25">
      <c r="A1741" s="19" t="s">
        <v>1996</v>
      </c>
      <c r="B1741" s="19" t="s">
        <v>1972</v>
      </c>
      <c r="C1741" s="19" t="s">
        <v>1973</v>
      </c>
      <c r="D1741" s="19">
        <v>0</v>
      </c>
      <c r="E1741" s="19" t="s">
        <v>117</v>
      </c>
      <c r="F1741" s="19" t="s">
        <v>118</v>
      </c>
      <c r="G1741" s="19" t="s">
        <v>32</v>
      </c>
      <c r="H1741" s="19" t="s">
        <v>114</v>
      </c>
      <c r="I1741" s="19" t="s">
        <v>115</v>
      </c>
      <c r="J1741" s="19">
        <v>31</v>
      </c>
      <c r="K1741" s="19">
        <v>2.1700000000000001E-2</v>
      </c>
      <c r="L1741" s="19" t="s">
        <v>35</v>
      </c>
      <c r="M1741" s="19" t="s">
        <v>103</v>
      </c>
      <c r="N1741" s="19">
        <v>0</v>
      </c>
      <c r="O1741" s="19">
        <v>0</v>
      </c>
      <c r="P1741" s="19">
        <v>0</v>
      </c>
      <c r="Q1741" s="19">
        <v>0</v>
      </c>
      <c r="S1741" s="19">
        <v>1</v>
      </c>
      <c r="T1741" s="19">
        <v>1</v>
      </c>
      <c r="U1741" s="19">
        <v>0</v>
      </c>
      <c r="V1741" s="19" t="s">
        <v>36</v>
      </c>
      <c r="W1741" s="19">
        <v>0</v>
      </c>
      <c r="Y1741" s="19" t="s">
        <v>103</v>
      </c>
      <c r="Z1741" s="19">
        <v>50</v>
      </c>
      <c r="AA1741" s="19">
        <v>0</v>
      </c>
    </row>
    <row r="1742" spans="1:27" x14ac:dyDescent="0.25">
      <c r="A1742" s="19" t="s">
        <v>1997</v>
      </c>
      <c r="B1742" s="19" t="s">
        <v>1972</v>
      </c>
      <c r="C1742" s="19" t="s">
        <v>1973</v>
      </c>
      <c r="D1742" s="19">
        <v>0</v>
      </c>
      <c r="E1742" s="19" t="s">
        <v>120</v>
      </c>
      <c r="F1742" s="19" t="s">
        <v>121</v>
      </c>
      <c r="G1742" s="19" t="s">
        <v>32</v>
      </c>
      <c r="H1742" s="19" t="s">
        <v>114</v>
      </c>
      <c r="I1742" s="19" t="s">
        <v>115</v>
      </c>
      <c r="J1742" s="19">
        <v>28</v>
      </c>
      <c r="K1742" s="19">
        <v>2.1700000000000001E-2</v>
      </c>
      <c r="L1742" s="19" t="s">
        <v>35</v>
      </c>
      <c r="M1742" s="19" t="s">
        <v>103</v>
      </c>
      <c r="N1742" s="19">
        <v>0</v>
      </c>
      <c r="O1742" s="19">
        <v>0</v>
      </c>
      <c r="P1742" s="19">
        <v>0</v>
      </c>
      <c r="Q1742" s="19">
        <v>0</v>
      </c>
      <c r="S1742" s="19">
        <v>1</v>
      </c>
      <c r="T1742" s="19">
        <v>1</v>
      </c>
      <c r="U1742" s="19">
        <v>0</v>
      </c>
      <c r="V1742" s="19" t="s">
        <v>36</v>
      </c>
      <c r="W1742" s="19">
        <v>0</v>
      </c>
      <c r="Y1742" s="19" t="s">
        <v>103</v>
      </c>
      <c r="Z1742" s="19">
        <v>50</v>
      </c>
      <c r="AA1742" s="19">
        <v>0</v>
      </c>
    </row>
    <row r="1743" spans="1:27" x14ac:dyDescent="0.25">
      <c r="A1743" s="19" t="s">
        <v>1998</v>
      </c>
      <c r="B1743" s="19" t="s">
        <v>1972</v>
      </c>
      <c r="C1743" s="19" t="s">
        <v>1973</v>
      </c>
      <c r="D1743" s="19">
        <v>0</v>
      </c>
      <c r="E1743" s="19" t="s">
        <v>123</v>
      </c>
      <c r="F1743" s="19" t="s">
        <v>124</v>
      </c>
      <c r="G1743" s="19" t="s">
        <v>32</v>
      </c>
      <c r="H1743" s="19" t="s">
        <v>114</v>
      </c>
      <c r="I1743" s="19" t="s">
        <v>115</v>
      </c>
      <c r="J1743" s="19">
        <v>27</v>
      </c>
      <c r="K1743" s="19">
        <v>2.1700000000000001E-2</v>
      </c>
      <c r="L1743" s="19" t="s">
        <v>35</v>
      </c>
      <c r="M1743" s="19" t="s">
        <v>103</v>
      </c>
      <c r="N1743" s="19">
        <v>0</v>
      </c>
      <c r="O1743" s="19">
        <v>0</v>
      </c>
      <c r="P1743" s="19">
        <v>0</v>
      </c>
      <c r="Q1743" s="19">
        <v>0</v>
      </c>
      <c r="S1743" s="19">
        <v>1</v>
      </c>
      <c r="T1743" s="19">
        <v>1</v>
      </c>
      <c r="U1743" s="19">
        <v>0</v>
      </c>
      <c r="V1743" s="19" t="s">
        <v>36</v>
      </c>
      <c r="W1743" s="19">
        <v>0</v>
      </c>
      <c r="Y1743" s="19" t="s">
        <v>103</v>
      </c>
      <c r="Z1743" s="19">
        <v>50</v>
      </c>
      <c r="AA1743" s="19">
        <v>0</v>
      </c>
    </row>
    <row r="1744" spans="1:27" x14ac:dyDescent="0.25">
      <c r="A1744" s="19" t="s">
        <v>1999</v>
      </c>
      <c r="B1744" s="19" t="s">
        <v>1972</v>
      </c>
      <c r="C1744" s="19" t="s">
        <v>1973</v>
      </c>
      <c r="D1744" s="19">
        <v>0</v>
      </c>
      <c r="E1744" s="19" t="s">
        <v>126</v>
      </c>
      <c r="F1744" s="19" t="s">
        <v>127</v>
      </c>
      <c r="G1744" s="19" t="s">
        <v>32</v>
      </c>
      <c r="H1744" s="19" t="s">
        <v>114</v>
      </c>
      <c r="I1744" s="19" t="s">
        <v>115</v>
      </c>
      <c r="J1744" s="19">
        <v>29</v>
      </c>
      <c r="K1744" s="19">
        <v>2.1700000000000001E-2</v>
      </c>
      <c r="L1744" s="19" t="s">
        <v>35</v>
      </c>
      <c r="M1744" s="19" t="s">
        <v>103</v>
      </c>
      <c r="N1744" s="19">
        <v>0</v>
      </c>
      <c r="O1744" s="19">
        <v>0</v>
      </c>
      <c r="P1744" s="19">
        <v>0</v>
      </c>
      <c r="Q1744" s="19">
        <v>0</v>
      </c>
      <c r="S1744" s="19">
        <v>1</v>
      </c>
      <c r="T1744" s="19">
        <v>1</v>
      </c>
      <c r="U1744" s="19">
        <v>0</v>
      </c>
      <c r="V1744" s="19" t="s">
        <v>80</v>
      </c>
      <c r="W1744" s="19">
        <v>0</v>
      </c>
      <c r="Y1744" s="19" t="s">
        <v>103</v>
      </c>
      <c r="Z1744" s="19">
        <v>50</v>
      </c>
      <c r="AA1744" s="19">
        <v>0</v>
      </c>
    </row>
    <row r="1745" spans="1:27" x14ac:dyDescent="0.25">
      <c r="A1745" s="19" t="s">
        <v>2000</v>
      </c>
      <c r="B1745" s="19" t="s">
        <v>1972</v>
      </c>
      <c r="C1745" s="19" t="s">
        <v>1973</v>
      </c>
      <c r="D1745" s="19">
        <v>0</v>
      </c>
      <c r="E1745" s="19" t="s">
        <v>129</v>
      </c>
      <c r="F1745" s="19" t="s">
        <v>130</v>
      </c>
      <c r="G1745" s="19" t="s">
        <v>32</v>
      </c>
      <c r="H1745" s="19" t="s">
        <v>114</v>
      </c>
      <c r="I1745" s="19" t="s">
        <v>115</v>
      </c>
      <c r="J1745" s="19">
        <v>32</v>
      </c>
      <c r="K1745" s="19">
        <v>2.1700000000000001E-2</v>
      </c>
      <c r="L1745" s="19" t="s">
        <v>35</v>
      </c>
      <c r="M1745" s="19" t="s">
        <v>103</v>
      </c>
      <c r="N1745" s="19">
        <v>0</v>
      </c>
      <c r="O1745" s="19">
        <v>0</v>
      </c>
      <c r="P1745" s="19">
        <v>0</v>
      </c>
      <c r="Q1745" s="19">
        <v>0</v>
      </c>
      <c r="S1745" s="19">
        <v>1</v>
      </c>
      <c r="T1745" s="19">
        <v>1</v>
      </c>
      <c r="U1745" s="19">
        <v>0</v>
      </c>
      <c r="V1745" s="19" t="s">
        <v>36</v>
      </c>
      <c r="W1745" s="19">
        <v>0</v>
      </c>
      <c r="Y1745" s="19" t="s">
        <v>103</v>
      </c>
      <c r="Z1745" s="19">
        <v>50</v>
      </c>
      <c r="AA1745" s="19">
        <v>0</v>
      </c>
    </row>
    <row r="1746" spans="1:27" x14ac:dyDescent="0.25">
      <c r="A1746" s="19" t="s">
        <v>2001</v>
      </c>
      <c r="B1746" s="19" t="s">
        <v>1972</v>
      </c>
      <c r="C1746" s="19" t="s">
        <v>1973</v>
      </c>
      <c r="D1746" s="19">
        <v>0</v>
      </c>
      <c r="E1746" s="19" t="s">
        <v>132</v>
      </c>
      <c r="F1746" s="19" t="s">
        <v>133</v>
      </c>
      <c r="G1746" s="19" t="s">
        <v>134</v>
      </c>
      <c r="H1746" s="19" t="s">
        <v>87</v>
      </c>
      <c r="I1746" s="19" t="s">
        <v>135</v>
      </c>
      <c r="J1746" s="19">
        <v>11</v>
      </c>
      <c r="K1746" s="19">
        <v>4.1700000000000001E-2</v>
      </c>
      <c r="L1746" s="19" t="s">
        <v>35</v>
      </c>
      <c r="M1746" s="19" t="s">
        <v>103</v>
      </c>
      <c r="N1746" s="19">
        <v>0</v>
      </c>
      <c r="O1746" s="19">
        <v>0</v>
      </c>
      <c r="P1746" s="19">
        <v>0</v>
      </c>
      <c r="Q1746" s="19">
        <v>0</v>
      </c>
      <c r="S1746" s="19">
        <v>1</v>
      </c>
      <c r="T1746" s="19">
        <v>1</v>
      </c>
      <c r="U1746" s="19">
        <v>0</v>
      </c>
      <c r="V1746" s="19" t="s">
        <v>36</v>
      </c>
      <c r="W1746" s="19">
        <v>0</v>
      </c>
      <c r="Y1746" s="19" t="s">
        <v>103</v>
      </c>
      <c r="Z1746" s="19">
        <v>50</v>
      </c>
      <c r="AA1746" s="19">
        <v>0</v>
      </c>
    </row>
    <row r="1747" spans="1:27" x14ac:dyDescent="0.25">
      <c r="A1747" s="19" t="s">
        <v>2002</v>
      </c>
      <c r="B1747" s="19" t="s">
        <v>1972</v>
      </c>
      <c r="C1747" s="19" t="s">
        <v>1973</v>
      </c>
      <c r="D1747" s="19">
        <v>0</v>
      </c>
      <c r="E1747" s="19" t="s">
        <v>137</v>
      </c>
      <c r="F1747" s="19" t="s">
        <v>138</v>
      </c>
      <c r="G1747" s="19" t="s">
        <v>134</v>
      </c>
      <c r="H1747" s="19" t="s">
        <v>87</v>
      </c>
      <c r="I1747" s="19" t="s">
        <v>135</v>
      </c>
      <c r="J1747" s="19">
        <v>9</v>
      </c>
      <c r="K1747" s="19">
        <v>4.1700000000000001E-2</v>
      </c>
      <c r="L1747" s="19" t="s">
        <v>35</v>
      </c>
      <c r="N1747" s="19">
        <v>0</v>
      </c>
      <c r="O1747" s="19">
        <v>0</v>
      </c>
      <c r="P1747" s="19">
        <v>0</v>
      </c>
      <c r="Q1747" s="19">
        <v>0</v>
      </c>
      <c r="S1747" s="19">
        <v>1</v>
      </c>
      <c r="T1747" s="19">
        <v>1</v>
      </c>
      <c r="U1747" s="19">
        <v>0</v>
      </c>
      <c r="W1747" s="19">
        <v>0</v>
      </c>
      <c r="X1747" s="19">
        <v>0</v>
      </c>
      <c r="Z1747" s="19">
        <v>0</v>
      </c>
      <c r="AA1747" s="19">
        <v>0</v>
      </c>
    </row>
    <row r="1748" spans="1:27" x14ac:dyDescent="0.25">
      <c r="A1748" s="19" t="s">
        <v>2003</v>
      </c>
      <c r="B1748" s="19" t="s">
        <v>1972</v>
      </c>
      <c r="C1748" s="19" t="s">
        <v>1973</v>
      </c>
      <c r="D1748" s="19">
        <v>0</v>
      </c>
      <c r="E1748" s="19" t="s">
        <v>140</v>
      </c>
      <c r="F1748" s="19" t="s">
        <v>141</v>
      </c>
      <c r="G1748" s="19" t="s">
        <v>134</v>
      </c>
      <c r="H1748" s="19" t="s">
        <v>87</v>
      </c>
      <c r="I1748" s="19" t="s">
        <v>135</v>
      </c>
      <c r="J1748" s="19">
        <v>10</v>
      </c>
      <c r="K1748" s="19">
        <v>4.1700000000000001E-2</v>
      </c>
      <c r="L1748" s="19" t="s">
        <v>35</v>
      </c>
      <c r="N1748" s="19">
        <v>0</v>
      </c>
      <c r="O1748" s="19">
        <v>0</v>
      </c>
      <c r="P1748" s="19">
        <v>0</v>
      </c>
      <c r="Q1748" s="19">
        <v>0</v>
      </c>
      <c r="S1748" s="19">
        <v>1</v>
      </c>
      <c r="T1748" s="19">
        <v>1</v>
      </c>
      <c r="U1748" s="19">
        <v>0</v>
      </c>
      <c r="W1748" s="19">
        <v>0</v>
      </c>
      <c r="X1748" s="19">
        <v>0</v>
      </c>
      <c r="Z1748" s="19">
        <v>0</v>
      </c>
      <c r="AA1748" s="19">
        <v>0</v>
      </c>
    </row>
    <row r="1749" spans="1:27" x14ac:dyDescent="0.25">
      <c r="A1749" s="19" t="s">
        <v>2004</v>
      </c>
      <c r="B1749" s="19" t="s">
        <v>1972</v>
      </c>
      <c r="C1749" s="19" t="s">
        <v>1973</v>
      </c>
      <c r="D1749" s="19">
        <v>1.25</v>
      </c>
      <c r="E1749" s="19" t="s">
        <v>144</v>
      </c>
      <c r="F1749" s="19" t="s">
        <v>145</v>
      </c>
      <c r="G1749" s="19" t="s">
        <v>134</v>
      </c>
      <c r="H1749" s="19" t="s">
        <v>146</v>
      </c>
      <c r="I1749" s="19" t="s">
        <v>147</v>
      </c>
      <c r="J1749" s="19">
        <v>4</v>
      </c>
      <c r="K1749" s="19">
        <v>2.5000000000000001E-2</v>
      </c>
      <c r="L1749" s="19" t="s">
        <v>35</v>
      </c>
      <c r="M1749" s="19" t="s">
        <v>103</v>
      </c>
      <c r="N1749" s="19">
        <v>50</v>
      </c>
      <c r="O1749" s="19">
        <v>50</v>
      </c>
      <c r="P1749" s="19">
        <v>0</v>
      </c>
      <c r="Q1749" s="19">
        <v>0</v>
      </c>
      <c r="S1749" s="19">
        <v>1</v>
      </c>
      <c r="T1749" s="19">
        <v>1</v>
      </c>
      <c r="U1749" s="19">
        <v>0</v>
      </c>
      <c r="V1749" s="19" t="s">
        <v>41</v>
      </c>
      <c r="W1749" s="19">
        <v>1</v>
      </c>
      <c r="Y1749" s="19" t="s">
        <v>103</v>
      </c>
      <c r="Z1749" s="19">
        <v>50</v>
      </c>
      <c r="AA1749" s="19">
        <v>50</v>
      </c>
    </row>
    <row r="1750" spans="1:27" x14ac:dyDescent="0.25">
      <c r="A1750" s="19" t="s">
        <v>2005</v>
      </c>
      <c r="B1750" s="19" t="s">
        <v>1972</v>
      </c>
      <c r="C1750" s="19" t="s">
        <v>1973</v>
      </c>
      <c r="D1750" s="19">
        <v>0</v>
      </c>
      <c r="E1750" s="19" t="s">
        <v>149</v>
      </c>
      <c r="F1750" s="19" t="s">
        <v>150</v>
      </c>
      <c r="G1750" s="19" t="s">
        <v>134</v>
      </c>
      <c r="H1750" s="19" t="s">
        <v>146</v>
      </c>
      <c r="I1750" s="19" t="s">
        <v>147</v>
      </c>
      <c r="J1750" s="19">
        <v>5</v>
      </c>
      <c r="K1750" s="19">
        <v>2.5000000000000001E-2</v>
      </c>
      <c r="L1750" s="19" t="s">
        <v>35</v>
      </c>
      <c r="M1750" s="19" t="s">
        <v>103</v>
      </c>
      <c r="N1750" s="19">
        <v>0</v>
      </c>
      <c r="O1750" s="19">
        <v>0</v>
      </c>
      <c r="P1750" s="19">
        <v>0</v>
      </c>
      <c r="Q1750" s="19">
        <v>0</v>
      </c>
      <c r="S1750" s="19">
        <v>1</v>
      </c>
      <c r="T1750" s="19">
        <v>1</v>
      </c>
      <c r="U1750" s="19">
        <v>0</v>
      </c>
      <c r="V1750" s="19" t="s">
        <v>36</v>
      </c>
      <c r="W1750" s="19">
        <v>0</v>
      </c>
      <c r="Y1750" s="19" t="s">
        <v>103</v>
      </c>
      <c r="Z1750" s="19">
        <v>50</v>
      </c>
      <c r="AA1750" s="19">
        <v>0</v>
      </c>
    </row>
    <row r="1751" spans="1:27" x14ac:dyDescent="0.25">
      <c r="A1751" s="19" t="s">
        <v>2006</v>
      </c>
      <c r="B1751" s="19" t="s">
        <v>1972</v>
      </c>
      <c r="C1751" s="19" t="s">
        <v>1973</v>
      </c>
      <c r="D1751" s="19">
        <v>1.25</v>
      </c>
      <c r="E1751" s="19" t="s">
        <v>152</v>
      </c>
      <c r="F1751" s="19" t="s">
        <v>153</v>
      </c>
      <c r="G1751" s="19" t="s">
        <v>134</v>
      </c>
      <c r="H1751" s="19" t="s">
        <v>146</v>
      </c>
      <c r="I1751" s="19" t="s">
        <v>147</v>
      </c>
      <c r="J1751" s="19">
        <v>6</v>
      </c>
      <c r="K1751" s="19">
        <v>2.5000000000000001E-2</v>
      </c>
      <c r="L1751" s="19" t="s">
        <v>35</v>
      </c>
      <c r="M1751" s="19" t="s">
        <v>103</v>
      </c>
      <c r="N1751" s="19">
        <v>50</v>
      </c>
      <c r="O1751" s="19">
        <v>50</v>
      </c>
      <c r="P1751" s="19">
        <v>0</v>
      </c>
      <c r="Q1751" s="19">
        <v>0</v>
      </c>
      <c r="S1751" s="19">
        <v>1</v>
      </c>
      <c r="T1751" s="19">
        <v>1</v>
      </c>
      <c r="U1751" s="19">
        <v>0</v>
      </c>
      <c r="V1751" s="19" t="s">
        <v>41</v>
      </c>
      <c r="W1751" s="19">
        <v>1</v>
      </c>
      <c r="Y1751" s="19" t="s">
        <v>103</v>
      </c>
      <c r="Z1751" s="19">
        <v>50</v>
      </c>
      <c r="AA1751" s="19">
        <v>50</v>
      </c>
    </row>
    <row r="1752" spans="1:27" x14ac:dyDescent="0.25">
      <c r="A1752" s="19" t="s">
        <v>2007</v>
      </c>
      <c r="B1752" s="19" t="s">
        <v>1972</v>
      </c>
      <c r="C1752" s="19" t="s">
        <v>1973</v>
      </c>
      <c r="D1752" s="19">
        <v>0</v>
      </c>
      <c r="E1752" s="19" t="s">
        <v>155</v>
      </c>
      <c r="F1752" s="19" t="s">
        <v>156</v>
      </c>
      <c r="G1752" s="19" t="s">
        <v>134</v>
      </c>
      <c r="H1752" s="19" t="s">
        <v>146</v>
      </c>
      <c r="I1752" s="19" t="s">
        <v>147</v>
      </c>
      <c r="J1752" s="19">
        <v>7</v>
      </c>
      <c r="K1752" s="19">
        <v>2.5000000000000001E-2</v>
      </c>
      <c r="L1752" s="19" t="s">
        <v>35</v>
      </c>
      <c r="M1752" s="19" t="s">
        <v>103</v>
      </c>
      <c r="N1752" s="19">
        <v>0</v>
      </c>
      <c r="O1752" s="19">
        <v>0</v>
      </c>
      <c r="P1752" s="19">
        <v>0</v>
      </c>
      <c r="Q1752" s="19">
        <v>0</v>
      </c>
      <c r="S1752" s="19">
        <v>1</v>
      </c>
      <c r="T1752" s="19">
        <v>1</v>
      </c>
      <c r="U1752" s="19">
        <v>0</v>
      </c>
      <c r="V1752" s="19" t="s">
        <v>36</v>
      </c>
      <c r="W1752" s="19">
        <v>0</v>
      </c>
      <c r="Y1752" s="19" t="s">
        <v>103</v>
      </c>
      <c r="Z1752" s="19">
        <v>50</v>
      </c>
      <c r="AA1752" s="19">
        <v>0</v>
      </c>
    </row>
    <row r="1753" spans="1:27" x14ac:dyDescent="0.25">
      <c r="A1753" s="19" t="s">
        <v>2008</v>
      </c>
      <c r="B1753" s="19" t="s">
        <v>1972</v>
      </c>
      <c r="C1753" s="19" t="s">
        <v>1973</v>
      </c>
      <c r="D1753" s="19">
        <v>0</v>
      </c>
      <c r="E1753" s="19" t="s">
        <v>158</v>
      </c>
      <c r="F1753" s="19" t="s">
        <v>159</v>
      </c>
      <c r="G1753" s="19" t="s">
        <v>134</v>
      </c>
      <c r="H1753" s="19" t="s">
        <v>146</v>
      </c>
      <c r="I1753" s="19" t="s">
        <v>147</v>
      </c>
      <c r="J1753" s="19">
        <v>8</v>
      </c>
      <c r="K1753" s="19">
        <v>2.5000000000000001E-2</v>
      </c>
      <c r="L1753" s="19" t="s">
        <v>35</v>
      </c>
      <c r="M1753" s="19" t="s">
        <v>103</v>
      </c>
      <c r="N1753" s="19">
        <v>0</v>
      </c>
      <c r="O1753" s="19">
        <v>0</v>
      </c>
      <c r="P1753" s="19">
        <v>0</v>
      </c>
      <c r="Q1753" s="19">
        <v>0</v>
      </c>
      <c r="S1753" s="19">
        <v>1</v>
      </c>
      <c r="T1753" s="19">
        <v>1</v>
      </c>
      <c r="U1753" s="19">
        <v>0</v>
      </c>
      <c r="V1753" s="19" t="s">
        <v>36</v>
      </c>
      <c r="W1753" s="19">
        <v>0</v>
      </c>
      <c r="Y1753" s="19" t="s">
        <v>103</v>
      </c>
      <c r="Z1753" s="19">
        <v>50</v>
      </c>
      <c r="AA1753" s="19">
        <v>0</v>
      </c>
    </row>
    <row r="1754" spans="1:27" x14ac:dyDescent="0.25">
      <c r="A1754" s="19" t="s">
        <v>2009</v>
      </c>
      <c r="B1754" s="19" t="s">
        <v>1972</v>
      </c>
      <c r="C1754" s="19" t="s">
        <v>1973</v>
      </c>
      <c r="D1754" s="19">
        <v>0</v>
      </c>
      <c r="E1754" s="19" t="s">
        <v>161</v>
      </c>
      <c r="F1754" s="19" t="s">
        <v>162</v>
      </c>
      <c r="G1754" s="19" t="s">
        <v>163</v>
      </c>
      <c r="I1754" s="19" t="s">
        <v>164</v>
      </c>
      <c r="J1754" s="19">
        <v>1</v>
      </c>
      <c r="K1754" s="19">
        <v>3.3300000000000003E-2</v>
      </c>
      <c r="L1754" s="19" t="s">
        <v>35</v>
      </c>
      <c r="M1754" s="19" t="s">
        <v>165</v>
      </c>
      <c r="N1754" s="19">
        <v>0</v>
      </c>
      <c r="O1754" s="19">
        <v>0</v>
      </c>
      <c r="P1754" s="19">
        <v>0</v>
      </c>
      <c r="Q1754" s="19">
        <v>0</v>
      </c>
      <c r="S1754" s="19">
        <v>1</v>
      </c>
      <c r="T1754" s="19">
        <v>1</v>
      </c>
      <c r="U1754" s="19">
        <v>0</v>
      </c>
      <c r="W1754" s="19">
        <v>0</v>
      </c>
      <c r="X1754" s="19">
        <v>0</v>
      </c>
      <c r="Z1754" s="19">
        <v>0</v>
      </c>
      <c r="AA1754" s="19">
        <v>0</v>
      </c>
    </row>
    <row r="1755" spans="1:27" x14ac:dyDescent="0.25">
      <c r="A1755" s="19" t="s">
        <v>2010</v>
      </c>
      <c r="B1755" s="19" t="s">
        <v>1972</v>
      </c>
      <c r="C1755" s="19" t="s">
        <v>1973</v>
      </c>
      <c r="D1755" s="19">
        <v>0</v>
      </c>
      <c r="E1755" s="19" t="s">
        <v>167</v>
      </c>
      <c r="F1755" s="19" t="s">
        <v>168</v>
      </c>
      <c r="G1755" s="19" t="s">
        <v>163</v>
      </c>
      <c r="I1755" s="19" t="s">
        <v>164</v>
      </c>
      <c r="J1755" s="19">
        <v>3</v>
      </c>
      <c r="K1755" s="19">
        <v>3.3300000000000003E-2</v>
      </c>
      <c r="L1755" s="19" t="s">
        <v>35</v>
      </c>
      <c r="M1755" s="19" t="s">
        <v>165</v>
      </c>
      <c r="N1755" s="19">
        <v>0</v>
      </c>
      <c r="O1755" s="19">
        <v>0</v>
      </c>
      <c r="P1755" s="19">
        <v>0</v>
      </c>
      <c r="Q1755" s="19">
        <v>0</v>
      </c>
      <c r="S1755" s="19">
        <v>1</v>
      </c>
      <c r="T1755" s="19">
        <v>1</v>
      </c>
      <c r="U1755" s="19">
        <v>0</v>
      </c>
      <c r="W1755" s="19">
        <v>0</v>
      </c>
      <c r="X1755" s="19">
        <v>0</v>
      </c>
      <c r="Z1755" s="19">
        <v>0</v>
      </c>
      <c r="AA1755" s="19">
        <v>0</v>
      </c>
    </row>
    <row r="1756" spans="1:27" x14ac:dyDescent="0.25">
      <c r="A1756" s="19" t="s">
        <v>2011</v>
      </c>
      <c r="B1756" s="19" t="s">
        <v>1972</v>
      </c>
      <c r="C1756" s="19" t="s">
        <v>1973</v>
      </c>
      <c r="D1756" s="19">
        <v>0</v>
      </c>
      <c r="E1756" s="19" t="s">
        <v>170</v>
      </c>
      <c r="F1756" s="19" t="s">
        <v>171</v>
      </c>
      <c r="G1756" s="19" t="s">
        <v>163</v>
      </c>
      <c r="I1756" s="19" t="s">
        <v>164</v>
      </c>
      <c r="J1756" s="19">
        <v>2</v>
      </c>
      <c r="K1756" s="19">
        <v>3.3300000000000003E-2</v>
      </c>
      <c r="L1756" s="19" t="s">
        <v>35</v>
      </c>
      <c r="M1756" s="19" t="s">
        <v>165</v>
      </c>
      <c r="N1756" s="19">
        <v>0</v>
      </c>
      <c r="O1756" s="19">
        <v>0</v>
      </c>
      <c r="P1756" s="19">
        <v>0</v>
      </c>
      <c r="Q1756" s="19">
        <v>0</v>
      </c>
      <c r="S1756" s="19">
        <v>1</v>
      </c>
      <c r="T1756" s="19">
        <v>1</v>
      </c>
      <c r="U1756" s="19">
        <v>0</v>
      </c>
      <c r="W1756" s="19">
        <v>0</v>
      </c>
      <c r="X1756" s="19">
        <v>0</v>
      </c>
      <c r="Z1756" s="19">
        <v>0</v>
      </c>
      <c r="AA1756" s="19">
        <v>0</v>
      </c>
    </row>
    <row r="1757" spans="1:27" x14ac:dyDescent="0.25">
      <c r="A1757" s="19" t="s">
        <v>2012</v>
      </c>
      <c r="B1757" s="19" t="s">
        <v>2013</v>
      </c>
      <c r="C1757" s="19" t="s">
        <v>2014</v>
      </c>
      <c r="D1757" s="19">
        <v>0</v>
      </c>
      <c r="E1757" s="19" t="s">
        <v>30</v>
      </c>
      <c r="F1757" s="19" t="s">
        <v>31</v>
      </c>
      <c r="G1757" s="19" t="s">
        <v>32</v>
      </c>
      <c r="H1757" s="19" t="s">
        <v>33</v>
      </c>
      <c r="I1757" s="19" t="s">
        <v>34</v>
      </c>
      <c r="J1757" s="19">
        <v>17</v>
      </c>
      <c r="K1757" s="19">
        <v>1.6299999999999999E-2</v>
      </c>
      <c r="L1757" s="19" t="s">
        <v>35</v>
      </c>
      <c r="N1757" s="19">
        <v>0</v>
      </c>
      <c r="O1757" s="19">
        <v>0</v>
      </c>
      <c r="P1757" s="19">
        <v>0</v>
      </c>
      <c r="Q1757" s="19">
        <v>0</v>
      </c>
      <c r="S1757" s="19">
        <v>1</v>
      </c>
      <c r="T1757" s="19">
        <v>1</v>
      </c>
      <c r="U1757" s="19">
        <v>0</v>
      </c>
      <c r="V1757" s="19" t="s">
        <v>36</v>
      </c>
      <c r="W1757" s="19">
        <v>0</v>
      </c>
      <c r="Z1757" s="19">
        <v>0</v>
      </c>
      <c r="AA1757" s="19">
        <v>0</v>
      </c>
    </row>
    <row r="1758" spans="1:27" x14ac:dyDescent="0.25">
      <c r="A1758" s="19" t="s">
        <v>2015</v>
      </c>
      <c r="B1758" s="19" t="s">
        <v>2013</v>
      </c>
      <c r="C1758" s="19" t="s">
        <v>2014</v>
      </c>
      <c r="D1758" s="19">
        <v>0.54327899999999996</v>
      </c>
      <c r="E1758" s="19" t="s">
        <v>38</v>
      </c>
      <c r="F1758" s="19" t="s">
        <v>39</v>
      </c>
      <c r="G1758" s="19" t="s">
        <v>32</v>
      </c>
      <c r="H1758" s="19" t="s">
        <v>33</v>
      </c>
      <c r="I1758" s="19" t="s">
        <v>34</v>
      </c>
      <c r="J1758" s="19">
        <v>19</v>
      </c>
      <c r="K1758" s="19">
        <v>1.6299999999999999E-2</v>
      </c>
      <c r="L1758" s="19" t="s">
        <v>35</v>
      </c>
      <c r="M1758" s="19" t="s">
        <v>40</v>
      </c>
      <c r="N1758" s="19">
        <v>33.33</v>
      </c>
      <c r="O1758" s="19">
        <v>33.33</v>
      </c>
      <c r="P1758" s="19">
        <v>0</v>
      </c>
      <c r="Q1758" s="19">
        <v>0</v>
      </c>
      <c r="S1758" s="19">
        <v>1</v>
      </c>
      <c r="T1758" s="19">
        <v>1</v>
      </c>
      <c r="U1758" s="19">
        <v>0</v>
      </c>
      <c r="V1758" s="19" t="s">
        <v>41</v>
      </c>
      <c r="W1758" s="19">
        <v>1</v>
      </c>
      <c r="Y1758" s="19" t="s">
        <v>40</v>
      </c>
      <c r="Z1758" s="19">
        <v>33.33</v>
      </c>
      <c r="AA1758" s="19">
        <v>33.33</v>
      </c>
    </row>
    <row r="1759" spans="1:27" x14ac:dyDescent="0.25">
      <c r="A1759" s="19" t="s">
        <v>2016</v>
      </c>
      <c r="B1759" s="19" t="s">
        <v>2013</v>
      </c>
      <c r="C1759" s="19" t="s">
        <v>2014</v>
      </c>
      <c r="D1759" s="19">
        <v>0</v>
      </c>
      <c r="E1759" s="19" t="s">
        <v>43</v>
      </c>
      <c r="F1759" s="19" t="s">
        <v>44</v>
      </c>
      <c r="G1759" s="19" t="s">
        <v>32</v>
      </c>
      <c r="H1759" s="19" t="s">
        <v>33</v>
      </c>
      <c r="I1759" s="19" t="s">
        <v>34</v>
      </c>
      <c r="J1759" s="19">
        <v>18</v>
      </c>
      <c r="K1759" s="19">
        <v>1.6299999999999999E-2</v>
      </c>
      <c r="L1759" s="19" t="s">
        <v>35</v>
      </c>
      <c r="N1759" s="19">
        <v>0</v>
      </c>
      <c r="O1759" s="19">
        <v>0</v>
      </c>
      <c r="P1759" s="19">
        <v>0</v>
      </c>
      <c r="Q1759" s="19">
        <v>0</v>
      </c>
      <c r="S1759" s="19">
        <v>1</v>
      </c>
      <c r="T1759" s="19">
        <v>1</v>
      </c>
      <c r="U1759" s="19">
        <v>0</v>
      </c>
      <c r="V1759" s="19" t="s">
        <v>36</v>
      </c>
      <c r="W1759" s="19">
        <v>0</v>
      </c>
      <c r="Z1759" s="19">
        <v>0</v>
      </c>
      <c r="AA1759" s="19">
        <v>0</v>
      </c>
    </row>
    <row r="1760" spans="1:27" x14ac:dyDescent="0.25">
      <c r="A1760" s="19" t="s">
        <v>2017</v>
      </c>
      <c r="B1760" s="19" t="s">
        <v>2013</v>
      </c>
      <c r="C1760" s="19" t="s">
        <v>2014</v>
      </c>
      <c r="D1760" s="19">
        <v>0</v>
      </c>
      <c r="E1760" s="19" t="s">
        <v>46</v>
      </c>
      <c r="F1760" s="19" t="s">
        <v>47</v>
      </c>
      <c r="G1760" s="19" t="s">
        <v>32</v>
      </c>
      <c r="H1760" s="19" t="s">
        <v>33</v>
      </c>
      <c r="I1760" s="19" t="s">
        <v>34</v>
      </c>
      <c r="J1760" s="19">
        <v>15</v>
      </c>
      <c r="K1760" s="19">
        <v>1.6299999999999999E-2</v>
      </c>
      <c r="L1760" s="19" t="s">
        <v>35</v>
      </c>
      <c r="N1760" s="19">
        <v>0</v>
      </c>
      <c r="O1760" s="19">
        <v>0</v>
      </c>
      <c r="P1760" s="19">
        <v>0</v>
      </c>
      <c r="Q1760" s="19">
        <v>0</v>
      </c>
      <c r="S1760" s="19">
        <v>1</v>
      </c>
      <c r="T1760" s="19">
        <v>1</v>
      </c>
      <c r="U1760" s="19">
        <v>0</v>
      </c>
      <c r="V1760" s="19" t="s">
        <v>36</v>
      </c>
      <c r="W1760" s="19">
        <v>0</v>
      </c>
      <c r="Z1760" s="19">
        <v>0</v>
      </c>
      <c r="AA1760" s="19">
        <v>0</v>
      </c>
    </row>
    <row r="1761" spans="1:27" x14ac:dyDescent="0.25">
      <c r="A1761" s="19" t="s">
        <v>2018</v>
      </c>
      <c r="B1761" s="19" t="s">
        <v>2013</v>
      </c>
      <c r="C1761" s="19" t="s">
        <v>2014</v>
      </c>
      <c r="D1761" s="19">
        <v>0</v>
      </c>
      <c r="E1761" s="19" t="s">
        <v>49</v>
      </c>
      <c r="F1761" s="19" t="s">
        <v>50</v>
      </c>
      <c r="G1761" s="19" t="s">
        <v>32</v>
      </c>
      <c r="H1761" s="19" t="s">
        <v>33</v>
      </c>
      <c r="I1761" s="19" t="s">
        <v>34</v>
      </c>
      <c r="J1761" s="19">
        <v>12</v>
      </c>
      <c r="K1761" s="19">
        <v>1.6299999999999999E-2</v>
      </c>
      <c r="L1761" s="19" t="s">
        <v>35</v>
      </c>
      <c r="M1761" s="19" t="s">
        <v>40</v>
      </c>
      <c r="N1761" s="19">
        <v>0</v>
      </c>
      <c r="O1761" s="19">
        <v>0</v>
      </c>
      <c r="P1761" s="19">
        <v>0</v>
      </c>
      <c r="Q1761" s="19">
        <v>0</v>
      </c>
      <c r="S1761" s="19">
        <v>1</v>
      </c>
      <c r="T1761" s="19">
        <v>1</v>
      </c>
      <c r="U1761" s="19">
        <v>0</v>
      </c>
      <c r="V1761" s="19" t="s">
        <v>80</v>
      </c>
      <c r="W1761" s="19">
        <v>0</v>
      </c>
      <c r="Y1761" s="19" t="s">
        <v>40</v>
      </c>
      <c r="Z1761" s="19">
        <v>33.33</v>
      </c>
      <c r="AA1761" s="19">
        <v>0</v>
      </c>
    </row>
    <row r="1762" spans="1:27" x14ac:dyDescent="0.25">
      <c r="A1762" s="19" t="s">
        <v>2019</v>
      </c>
      <c r="B1762" s="19" t="s">
        <v>2013</v>
      </c>
      <c r="C1762" s="19" t="s">
        <v>2014</v>
      </c>
      <c r="D1762" s="19">
        <v>0</v>
      </c>
      <c r="E1762" s="19" t="s">
        <v>52</v>
      </c>
      <c r="F1762" s="19" t="s">
        <v>53</v>
      </c>
      <c r="G1762" s="19" t="s">
        <v>32</v>
      </c>
      <c r="H1762" s="19" t="s">
        <v>33</v>
      </c>
      <c r="I1762" s="19" t="s">
        <v>34</v>
      </c>
      <c r="J1762" s="19">
        <v>16</v>
      </c>
      <c r="K1762" s="19">
        <v>1.6299999999999999E-2</v>
      </c>
      <c r="L1762" s="19" t="s">
        <v>35</v>
      </c>
      <c r="N1762" s="19">
        <v>0</v>
      </c>
      <c r="O1762" s="19">
        <v>0</v>
      </c>
      <c r="P1762" s="19">
        <v>0</v>
      </c>
      <c r="Q1762" s="19">
        <v>0</v>
      </c>
      <c r="S1762" s="19">
        <v>1</v>
      </c>
      <c r="T1762" s="19">
        <v>1</v>
      </c>
      <c r="U1762" s="19">
        <v>0</v>
      </c>
      <c r="V1762" s="19" t="s">
        <v>36</v>
      </c>
      <c r="W1762" s="19">
        <v>0</v>
      </c>
      <c r="Z1762" s="19">
        <v>0</v>
      </c>
      <c r="AA1762" s="19">
        <v>0</v>
      </c>
    </row>
    <row r="1763" spans="1:27" x14ac:dyDescent="0.25">
      <c r="A1763" s="19" t="s">
        <v>2020</v>
      </c>
      <c r="B1763" s="19" t="s">
        <v>2013</v>
      </c>
      <c r="C1763" s="19" t="s">
        <v>2014</v>
      </c>
      <c r="D1763" s="19">
        <v>0</v>
      </c>
      <c r="E1763" s="19" t="s">
        <v>55</v>
      </c>
      <c r="F1763" s="19" t="s">
        <v>56</v>
      </c>
      <c r="G1763" s="19" t="s">
        <v>32</v>
      </c>
      <c r="H1763" s="19" t="s">
        <v>33</v>
      </c>
      <c r="I1763" s="19" t="s">
        <v>34</v>
      </c>
      <c r="J1763" s="19">
        <v>14</v>
      </c>
      <c r="K1763" s="19">
        <v>1.6299999999999999E-2</v>
      </c>
      <c r="L1763" s="19" t="s">
        <v>35</v>
      </c>
      <c r="M1763" s="19" t="s">
        <v>40</v>
      </c>
      <c r="N1763" s="19">
        <v>0</v>
      </c>
      <c r="O1763" s="19">
        <v>0</v>
      </c>
      <c r="P1763" s="19">
        <v>0</v>
      </c>
      <c r="Q1763" s="19">
        <v>0</v>
      </c>
      <c r="S1763" s="19">
        <v>1</v>
      </c>
      <c r="T1763" s="19">
        <v>1</v>
      </c>
      <c r="U1763" s="19">
        <v>0</v>
      </c>
      <c r="V1763" s="19" t="s">
        <v>80</v>
      </c>
      <c r="W1763" s="19">
        <v>0</v>
      </c>
      <c r="Y1763" s="19" t="s">
        <v>40</v>
      </c>
      <c r="Z1763" s="19">
        <v>33.33</v>
      </c>
      <c r="AA1763" s="19">
        <v>0</v>
      </c>
    </row>
    <row r="1764" spans="1:27" x14ac:dyDescent="0.25">
      <c r="A1764" s="19" t="s">
        <v>2021</v>
      </c>
      <c r="B1764" s="19" t="s">
        <v>2013</v>
      </c>
      <c r="C1764" s="19" t="s">
        <v>2014</v>
      </c>
      <c r="D1764" s="19">
        <v>0</v>
      </c>
      <c r="E1764" s="19" t="s">
        <v>58</v>
      </c>
      <c r="F1764" s="19" t="s">
        <v>59</v>
      </c>
      <c r="G1764" s="19" t="s">
        <v>32</v>
      </c>
      <c r="H1764" s="19" t="s">
        <v>33</v>
      </c>
      <c r="I1764" s="19" t="s">
        <v>34</v>
      </c>
      <c r="J1764" s="19">
        <v>13</v>
      </c>
      <c r="K1764" s="19">
        <v>1.6299999999999999E-2</v>
      </c>
      <c r="L1764" s="19" t="s">
        <v>35</v>
      </c>
      <c r="N1764" s="19">
        <v>0</v>
      </c>
      <c r="O1764" s="19">
        <v>0</v>
      </c>
      <c r="P1764" s="19">
        <v>0</v>
      </c>
      <c r="Q1764" s="19">
        <v>0</v>
      </c>
      <c r="S1764" s="19">
        <v>1</v>
      </c>
      <c r="T1764" s="19">
        <v>1</v>
      </c>
      <c r="U1764" s="19">
        <v>0</v>
      </c>
      <c r="V1764" s="19" t="s">
        <v>36</v>
      </c>
      <c r="W1764" s="19">
        <v>0</v>
      </c>
      <c r="Z1764" s="19">
        <v>0</v>
      </c>
      <c r="AA1764" s="19">
        <v>0</v>
      </c>
    </row>
    <row r="1765" spans="1:27" x14ac:dyDescent="0.25">
      <c r="A1765" s="19" t="s">
        <v>2022</v>
      </c>
      <c r="B1765" s="19" t="s">
        <v>2013</v>
      </c>
      <c r="C1765" s="19" t="s">
        <v>2014</v>
      </c>
      <c r="D1765" s="19">
        <v>0</v>
      </c>
      <c r="E1765" s="19" t="s">
        <v>61</v>
      </c>
      <c r="F1765" s="19" t="s">
        <v>62</v>
      </c>
      <c r="G1765" s="19" t="s">
        <v>32</v>
      </c>
      <c r="H1765" s="19" t="s">
        <v>63</v>
      </c>
      <c r="I1765" s="19" t="s">
        <v>64</v>
      </c>
      <c r="J1765" s="19">
        <v>22</v>
      </c>
      <c r="K1765" s="19">
        <v>1.8599999999999998E-2</v>
      </c>
      <c r="L1765" s="19" t="s">
        <v>35</v>
      </c>
      <c r="N1765" s="19">
        <v>0</v>
      </c>
      <c r="O1765" s="19">
        <v>0</v>
      </c>
      <c r="P1765" s="19">
        <v>0</v>
      </c>
      <c r="Q1765" s="19">
        <v>0</v>
      </c>
      <c r="S1765" s="19">
        <v>1</v>
      </c>
      <c r="T1765" s="19">
        <v>1</v>
      </c>
      <c r="U1765" s="19">
        <v>0</v>
      </c>
      <c r="V1765" s="19" t="s">
        <v>36</v>
      </c>
      <c r="W1765" s="19">
        <v>0</v>
      </c>
      <c r="Z1765" s="19">
        <v>0</v>
      </c>
      <c r="AA1765" s="19">
        <v>0</v>
      </c>
    </row>
    <row r="1766" spans="1:27" x14ac:dyDescent="0.25">
      <c r="A1766" s="19" t="s">
        <v>2023</v>
      </c>
      <c r="B1766" s="19" t="s">
        <v>2013</v>
      </c>
      <c r="C1766" s="19" t="s">
        <v>2014</v>
      </c>
      <c r="D1766" s="19">
        <v>0</v>
      </c>
      <c r="E1766" s="19" t="s">
        <v>66</v>
      </c>
      <c r="F1766" s="19" t="s">
        <v>67</v>
      </c>
      <c r="G1766" s="19" t="s">
        <v>32</v>
      </c>
      <c r="H1766" s="19" t="s">
        <v>63</v>
      </c>
      <c r="I1766" s="19" t="s">
        <v>64</v>
      </c>
      <c r="J1766" s="19">
        <v>20</v>
      </c>
      <c r="K1766" s="19">
        <v>1.8599999999999998E-2</v>
      </c>
      <c r="L1766" s="19" t="s">
        <v>35</v>
      </c>
      <c r="N1766" s="19">
        <v>0</v>
      </c>
      <c r="O1766" s="19">
        <v>0</v>
      </c>
      <c r="P1766" s="19">
        <v>0</v>
      </c>
      <c r="Q1766" s="19">
        <v>0</v>
      </c>
      <c r="S1766" s="19">
        <v>1</v>
      </c>
      <c r="T1766" s="19">
        <v>1</v>
      </c>
      <c r="U1766" s="19">
        <v>0</v>
      </c>
      <c r="V1766" s="19" t="s">
        <v>36</v>
      </c>
      <c r="W1766" s="19">
        <v>0</v>
      </c>
      <c r="Z1766" s="19">
        <v>0</v>
      </c>
      <c r="AA1766" s="19">
        <v>0</v>
      </c>
    </row>
    <row r="1767" spans="1:27" x14ac:dyDescent="0.25">
      <c r="A1767" s="19" t="s">
        <v>2024</v>
      </c>
      <c r="B1767" s="19" t="s">
        <v>2013</v>
      </c>
      <c r="C1767" s="19" t="s">
        <v>2014</v>
      </c>
      <c r="D1767" s="19">
        <v>0</v>
      </c>
      <c r="E1767" s="19" t="s">
        <v>69</v>
      </c>
      <c r="F1767" s="19" t="s">
        <v>70</v>
      </c>
      <c r="G1767" s="19" t="s">
        <v>32</v>
      </c>
      <c r="H1767" s="19" t="s">
        <v>63</v>
      </c>
      <c r="I1767" s="19" t="s">
        <v>64</v>
      </c>
      <c r="J1767" s="19">
        <v>23</v>
      </c>
      <c r="K1767" s="19">
        <v>1.8599999999999998E-2</v>
      </c>
      <c r="L1767" s="19" t="s">
        <v>35</v>
      </c>
      <c r="N1767" s="19">
        <v>0</v>
      </c>
      <c r="O1767" s="19">
        <v>0</v>
      </c>
      <c r="P1767" s="19">
        <v>0</v>
      </c>
      <c r="Q1767" s="19">
        <v>0</v>
      </c>
      <c r="S1767" s="19">
        <v>1</v>
      </c>
      <c r="T1767" s="19">
        <v>1</v>
      </c>
      <c r="U1767" s="19">
        <v>0</v>
      </c>
      <c r="V1767" s="19" t="s">
        <v>36</v>
      </c>
      <c r="W1767" s="19">
        <v>0</v>
      </c>
      <c r="Z1767" s="19">
        <v>0</v>
      </c>
      <c r="AA1767" s="19">
        <v>0</v>
      </c>
    </row>
    <row r="1768" spans="1:27" x14ac:dyDescent="0.25">
      <c r="A1768" s="19" t="s">
        <v>2025</v>
      </c>
      <c r="B1768" s="19" t="s">
        <v>2013</v>
      </c>
      <c r="C1768" s="19" t="s">
        <v>2014</v>
      </c>
      <c r="D1768" s="19">
        <v>0</v>
      </c>
      <c r="E1768" s="19" t="s">
        <v>72</v>
      </c>
      <c r="F1768" s="19" t="s">
        <v>73</v>
      </c>
      <c r="G1768" s="19" t="s">
        <v>32</v>
      </c>
      <c r="H1768" s="19" t="s">
        <v>63</v>
      </c>
      <c r="I1768" s="19" t="s">
        <v>64</v>
      </c>
      <c r="J1768" s="19">
        <v>21</v>
      </c>
      <c r="K1768" s="19">
        <v>1.8599999999999998E-2</v>
      </c>
      <c r="L1768" s="19" t="s">
        <v>35</v>
      </c>
      <c r="N1768" s="19">
        <v>0</v>
      </c>
      <c r="O1768" s="19">
        <v>0</v>
      </c>
      <c r="P1768" s="19">
        <v>0</v>
      </c>
      <c r="Q1768" s="19">
        <v>0</v>
      </c>
      <c r="S1768" s="19">
        <v>1</v>
      </c>
      <c r="T1768" s="19">
        <v>1</v>
      </c>
      <c r="U1768" s="19">
        <v>0</v>
      </c>
      <c r="V1768" s="19" t="s">
        <v>36</v>
      </c>
      <c r="W1768" s="19">
        <v>0</v>
      </c>
      <c r="Z1768" s="19">
        <v>0</v>
      </c>
      <c r="AA1768" s="19">
        <v>0</v>
      </c>
    </row>
    <row r="1769" spans="1:27" x14ac:dyDescent="0.25">
      <c r="A1769" s="19" t="s">
        <v>2026</v>
      </c>
      <c r="B1769" s="19" t="s">
        <v>2013</v>
      </c>
      <c r="C1769" s="19" t="s">
        <v>2014</v>
      </c>
      <c r="D1769" s="19">
        <v>0</v>
      </c>
      <c r="E1769" s="19" t="s">
        <v>75</v>
      </c>
      <c r="F1769" s="19" t="s">
        <v>76</v>
      </c>
      <c r="G1769" s="19" t="s">
        <v>32</v>
      </c>
      <c r="H1769" s="19" t="s">
        <v>63</v>
      </c>
      <c r="I1769" s="19" t="s">
        <v>64</v>
      </c>
      <c r="J1769" s="19">
        <v>24</v>
      </c>
      <c r="K1769" s="19">
        <v>1.8599999999999998E-2</v>
      </c>
      <c r="L1769" s="19" t="s">
        <v>35</v>
      </c>
      <c r="M1769" s="19" t="s">
        <v>40</v>
      </c>
      <c r="N1769" s="19">
        <v>0</v>
      </c>
      <c r="O1769" s="19">
        <v>0</v>
      </c>
      <c r="P1769" s="19">
        <v>0</v>
      </c>
      <c r="Q1769" s="19">
        <v>0</v>
      </c>
      <c r="S1769" s="19">
        <v>1</v>
      </c>
      <c r="T1769" s="19">
        <v>1</v>
      </c>
      <c r="U1769" s="19">
        <v>0</v>
      </c>
      <c r="V1769" s="19" t="s">
        <v>80</v>
      </c>
      <c r="W1769" s="19">
        <v>0</v>
      </c>
      <c r="Y1769" s="19" t="s">
        <v>40</v>
      </c>
      <c r="Z1769" s="19">
        <v>33.33</v>
      </c>
      <c r="AA1769" s="19">
        <v>0</v>
      </c>
    </row>
    <row r="1770" spans="1:27" x14ac:dyDescent="0.25">
      <c r="A1770" s="19" t="s">
        <v>2027</v>
      </c>
      <c r="B1770" s="19" t="s">
        <v>2013</v>
      </c>
      <c r="C1770" s="19" t="s">
        <v>2014</v>
      </c>
      <c r="D1770" s="19">
        <v>0</v>
      </c>
      <c r="E1770" s="19" t="s">
        <v>78</v>
      </c>
      <c r="F1770" s="19" t="s">
        <v>79</v>
      </c>
      <c r="G1770" s="19" t="s">
        <v>32</v>
      </c>
      <c r="H1770" s="19" t="s">
        <v>63</v>
      </c>
      <c r="I1770" s="19" t="s">
        <v>64</v>
      </c>
      <c r="J1770" s="19">
        <v>25</v>
      </c>
      <c r="K1770" s="19">
        <v>1.8599999999999998E-2</v>
      </c>
      <c r="L1770" s="19" t="s">
        <v>35</v>
      </c>
      <c r="M1770" s="19" t="s">
        <v>40</v>
      </c>
      <c r="N1770" s="19">
        <v>0</v>
      </c>
      <c r="O1770" s="19">
        <v>0</v>
      </c>
      <c r="P1770" s="19">
        <v>0</v>
      </c>
      <c r="Q1770" s="19">
        <v>0</v>
      </c>
      <c r="S1770" s="19">
        <v>1</v>
      </c>
      <c r="T1770" s="19">
        <v>1</v>
      </c>
      <c r="U1770" s="19">
        <v>0</v>
      </c>
      <c r="V1770" s="19" t="s">
        <v>80</v>
      </c>
      <c r="W1770" s="19">
        <v>0</v>
      </c>
      <c r="Y1770" s="19" t="s">
        <v>40</v>
      </c>
      <c r="Z1770" s="19">
        <v>33.33</v>
      </c>
      <c r="AA1770" s="19">
        <v>0</v>
      </c>
    </row>
    <row r="1771" spans="1:27" x14ac:dyDescent="0.25">
      <c r="A1771" s="19" t="s">
        <v>2028</v>
      </c>
      <c r="B1771" s="19" t="s">
        <v>2013</v>
      </c>
      <c r="C1771" s="19" t="s">
        <v>2014</v>
      </c>
      <c r="D1771" s="19">
        <v>0</v>
      </c>
      <c r="E1771" s="19" t="s">
        <v>82</v>
      </c>
      <c r="F1771" s="19" t="s">
        <v>83</v>
      </c>
      <c r="G1771" s="19" t="s">
        <v>32</v>
      </c>
      <c r="H1771" s="19" t="s">
        <v>63</v>
      </c>
      <c r="I1771" s="19" t="s">
        <v>64</v>
      </c>
      <c r="J1771" s="19">
        <v>26</v>
      </c>
      <c r="K1771" s="19">
        <v>1.8599999999999998E-2</v>
      </c>
      <c r="L1771" s="19" t="s">
        <v>35</v>
      </c>
      <c r="N1771" s="19">
        <v>0</v>
      </c>
      <c r="O1771" s="19">
        <v>0</v>
      </c>
      <c r="P1771" s="19">
        <v>0</v>
      </c>
      <c r="Q1771" s="19">
        <v>0</v>
      </c>
      <c r="S1771" s="19">
        <v>1</v>
      </c>
      <c r="T1771" s="19">
        <v>1</v>
      </c>
      <c r="U1771" s="19">
        <v>0</v>
      </c>
      <c r="V1771" s="19" t="s">
        <v>36</v>
      </c>
      <c r="W1771" s="19">
        <v>0</v>
      </c>
      <c r="Z1771" s="19">
        <v>0</v>
      </c>
      <c r="AA1771" s="19">
        <v>0</v>
      </c>
    </row>
    <row r="1772" spans="1:27" x14ac:dyDescent="0.25">
      <c r="A1772" s="19" t="s">
        <v>2029</v>
      </c>
      <c r="B1772" s="19" t="s">
        <v>2013</v>
      </c>
      <c r="C1772" s="19" t="s">
        <v>2014</v>
      </c>
      <c r="D1772" s="19">
        <v>0</v>
      </c>
      <c r="E1772" s="19" t="s">
        <v>85</v>
      </c>
      <c r="F1772" s="19" t="s">
        <v>86</v>
      </c>
      <c r="G1772" s="19" t="s">
        <v>32</v>
      </c>
      <c r="H1772" s="19" t="s">
        <v>87</v>
      </c>
      <c r="I1772" s="19" t="s">
        <v>88</v>
      </c>
      <c r="J1772" s="19">
        <v>35</v>
      </c>
      <c r="K1772" s="19">
        <v>3.2500000000000001E-2</v>
      </c>
      <c r="L1772" s="19" t="s">
        <v>35</v>
      </c>
      <c r="N1772" s="19">
        <v>0</v>
      </c>
      <c r="O1772" s="19">
        <v>0</v>
      </c>
      <c r="P1772" s="19">
        <v>0</v>
      </c>
      <c r="Q1772" s="19">
        <v>0</v>
      </c>
      <c r="S1772" s="19">
        <v>1</v>
      </c>
      <c r="T1772" s="19">
        <v>1</v>
      </c>
      <c r="U1772" s="19">
        <v>0</v>
      </c>
      <c r="V1772" s="19" t="s">
        <v>36</v>
      </c>
      <c r="W1772" s="19">
        <v>0</v>
      </c>
      <c r="Z1772" s="19">
        <v>0</v>
      </c>
      <c r="AA1772" s="19">
        <v>0</v>
      </c>
    </row>
    <row r="1773" spans="1:27" x14ac:dyDescent="0.25">
      <c r="A1773" s="19" t="s">
        <v>2030</v>
      </c>
      <c r="B1773" s="19" t="s">
        <v>2013</v>
      </c>
      <c r="C1773" s="19" t="s">
        <v>2014</v>
      </c>
      <c r="D1773" s="19">
        <v>0</v>
      </c>
      <c r="E1773" s="19" t="s">
        <v>90</v>
      </c>
      <c r="F1773" s="19" t="s">
        <v>91</v>
      </c>
      <c r="G1773" s="19" t="s">
        <v>32</v>
      </c>
      <c r="H1773" s="19" t="s">
        <v>87</v>
      </c>
      <c r="I1773" s="19" t="s">
        <v>88</v>
      </c>
      <c r="J1773" s="19">
        <v>33</v>
      </c>
      <c r="K1773" s="19">
        <v>3.2500000000000001E-2</v>
      </c>
      <c r="L1773" s="19" t="s">
        <v>35</v>
      </c>
      <c r="N1773" s="19">
        <v>0</v>
      </c>
      <c r="O1773" s="19">
        <v>0</v>
      </c>
      <c r="P1773" s="19">
        <v>0</v>
      </c>
      <c r="Q1773" s="19">
        <v>0</v>
      </c>
      <c r="S1773" s="19">
        <v>1</v>
      </c>
      <c r="T1773" s="19">
        <v>1</v>
      </c>
      <c r="U1773" s="19">
        <v>0</v>
      </c>
      <c r="V1773" s="19" t="s">
        <v>36</v>
      </c>
      <c r="W1773" s="19">
        <v>0</v>
      </c>
      <c r="Z1773" s="19">
        <v>0</v>
      </c>
      <c r="AA1773" s="19">
        <v>0</v>
      </c>
    </row>
    <row r="1774" spans="1:27" x14ac:dyDescent="0.25">
      <c r="A1774" s="19" t="s">
        <v>2031</v>
      </c>
      <c r="B1774" s="19" t="s">
        <v>2013</v>
      </c>
      <c r="C1774" s="19" t="s">
        <v>2014</v>
      </c>
      <c r="D1774" s="19">
        <v>0</v>
      </c>
      <c r="E1774" s="19" t="s">
        <v>93</v>
      </c>
      <c r="F1774" s="19" t="s">
        <v>94</v>
      </c>
      <c r="G1774" s="19" t="s">
        <v>32</v>
      </c>
      <c r="H1774" s="19" t="s">
        <v>87</v>
      </c>
      <c r="I1774" s="19" t="s">
        <v>88</v>
      </c>
      <c r="J1774" s="19">
        <v>34</v>
      </c>
      <c r="K1774" s="19">
        <v>3.2500000000000001E-2</v>
      </c>
      <c r="L1774" s="19" t="s">
        <v>35</v>
      </c>
      <c r="N1774" s="19">
        <v>0</v>
      </c>
      <c r="O1774" s="19">
        <v>0</v>
      </c>
      <c r="P1774" s="19">
        <v>0</v>
      </c>
      <c r="Q1774" s="19">
        <v>0</v>
      </c>
      <c r="S1774" s="19">
        <v>1</v>
      </c>
      <c r="T1774" s="19">
        <v>1</v>
      </c>
      <c r="U1774" s="19">
        <v>0</v>
      </c>
      <c r="V1774" s="19" t="s">
        <v>36</v>
      </c>
      <c r="W1774" s="19">
        <v>0</v>
      </c>
      <c r="Z1774" s="19">
        <v>0</v>
      </c>
      <c r="AA1774" s="19">
        <v>0</v>
      </c>
    </row>
    <row r="1775" spans="1:27" x14ac:dyDescent="0.25">
      <c r="A1775" s="19" t="s">
        <v>2032</v>
      </c>
      <c r="B1775" s="19" t="s">
        <v>2013</v>
      </c>
      <c r="C1775" s="19" t="s">
        <v>2014</v>
      </c>
      <c r="D1775" s="19">
        <v>0</v>
      </c>
      <c r="E1775" s="19" t="s">
        <v>96</v>
      </c>
      <c r="F1775" s="19" t="s">
        <v>97</v>
      </c>
      <c r="G1775" s="19" t="s">
        <v>32</v>
      </c>
      <c r="H1775" s="19" t="s">
        <v>87</v>
      </c>
      <c r="I1775" s="19" t="s">
        <v>88</v>
      </c>
      <c r="J1775" s="19">
        <v>36</v>
      </c>
      <c r="K1775" s="19">
        <v>3.2500000000000001E-2</v>
      </c>
      <c r="L1775" s="19" t="s">
        <v>35</v>
      </c>
      <c r="N1775" s="19">
        <v>0</v>
      </c>
      <c r="O1775" s="19">
        <v>0</v>
      </c>
      <c r="P1775" s="19">
        <v>0</v>
      </c>
      <c r="Q1775" s="19">
        <v>0</v>
      </c>
      <c r="S1775" s="19">
        <v>1</v>
      </c>
      <c r="T1775" s="19">
        <v>1</v>
      </c>
      <c r="U1775" s="19">
        <v>0</v>
      </c>
      <c r="V1775" s="19" t="s">
        <v>36</v>
      </c>
      <c r="W1775" s="19">
        <v>0</v>
      </c>
      <c r="Z1775" s="19">
        <v>0</v>
      </c>
      <c r="AA1775" s="19">
        <v>0</v>
      </c>
    </row>
    <row r="1776" spans="1:27" x14ac:dyDescent="0.25">
      <c r="A1776" s="19" t="s">
        <v>2033</v>
      </c>
      <c r="B1776" s="19" t="s">
        <v>2013</v>
      </c>
      <c r="C1776" s="19" t="s">
        <v>2014</v>
      </c>
      <c r="D1776" s="19">
        <v>0</v>
      </c>
      <c r="E1776" s="19" t="s">
        <v>99</v>
      </c>
      <c r="F1776" s="19" t="s">
        <v>100</v>
      </c>
      <c r="G1776" s="19" t="s">
        <v>32</v>
      </c>
      <c r="H1776" s="19" t="s">
        <v>101</v>
      </c>
      <c r="I1776" s="19" t="s">
        <v>102</v>
      </c>
      <c r="J1776" s="19">
        <v>39</v>
      </c>
      <c r="K1776" s="19">
        <v>4.3299999999999998E-2</v>
      </c>
      <c r="L1776" s="19" t="s">
        <v>35</v>
      </c>
      <c r="M1776" s="19" t="s">
        <v>103</v>
      </c>
      <c r="N1776" s="19">
        <v>0</v>
      </c>
      <c r="O1776" s="19">
        <v>0</v>
      </c>
      <c r="P1776" s="19">
        <v>0</v>
      </c>
      <c r="Q1776" s="19">
        <v>0</v>
      </c>
      <c r="S1776" s="19">
        <v>1</v>
      </c>
      <c r="T1776" s="19">
        <v>1</v>
      </c>
      <c r="U1776" s="19">
        <v>0</v>
      </c>
      <c r="V1776" s="19" t="s">
        <v>36</v>
      </c>
      <c r="W1776" s="19">
        <v>0</v>
      </c>
      <c r="Y1776" s="19" t="s">
        <v>103</v>
      </c>
      <c r="Z1776" s="19">
        <v>50</v>
      </c>
      <c r="AA1776" s="19">
        <v>0</v>
      </c>
    </row>
    <row r="1777" spans="1:27" x14ac:dyDescent="0.25">
      <c r="A1777" s="19" t="s">
        <v>2034</v>
      </c>
      <c r="B1777" s="19" t="s">
        <v>2013</v>
      </c>
      <c r="C1777" s="19" t="s">
        <v>2014</v>
      </c>
      <c r="D1777" s="19">
        <v>0</v>
      </c>
      <c r="E1777" s="19" t="s">
        <v>105</v>
      </c>
      <c r="F1777" s="19" t="s">
        <v>106</v>
      </c>
      <c r="G1777" s="19" t="s">
        <v>32</v>
      </c>
      <c r="H1777" s="19" t="s">
        <v>101</v>
      </c>
      <c r="I1777" s="19" t="s">
        <v>102</v>
      </c>
      <c r="J1777" s="19">
        <v>38</v>
      </c>
      <c r="K1777" s="19">
        <v>4.3299999999999998E-2</v>
      </c>
      <c r="L1777" s="19" t="s">
        <v>35</v>
      </c>
      <c r="M1777" s="19" t="s">
        <v>103</v>
      </c>
      <c r="N1777" s="19">
        <v>0</v>
      </c>
      <c r="O1777" s="19">
        <v>0</v>
      </c>
      <c r="P1777" s="19">
        <v>0</v>
      </c>
      <c r="Q1777" s="19">
        <v>0</v>
      </c>
      <c r="S1777" s="19">
        <v>1</v>
      </c>
      <c r="T1777" s="19">
        <v>1</v>
      </c>
      <c r="U1777" s="19">
        <v>0</v>
      </c>
      <c r="V1777" s="19" t="s">
        <v>36</v>
      </c>
      <c r="W1777" s="19">
        <v>0</v>
      </c>
      <c r="Y1777" s="19" t="s">
        <v>103</v>
      </c>
      <c r="Z1777" s="19">
        <v>50</v>
      </c>
      <c r="AA1777" s="19">
        <v>0</v>
      </c>
    </row>
    <row r="1778" spans="1:27" x14ac:dyDescent="0.25">
      <c r="A1778" s="19" t="s">
        <v>2035</v>
      </c>
      <c r="B1778" s="19" t="s">
        <v>2013</v>
      </c>
      <c r="C1778" s="19" t="s">
        <v>2014</v>
      </c>
      <c r="D1778" s="19">
        <v>0</v>
      </c>
      <c r="E1778" s="19" t="s">
        <v>108</v>
      </c>
      <c r="F1778" s="19" t="s">
        <v>109</v>
      </c>
      <c r="G1778" s="19" t="s">
        <v>32</v>
      </c>
      <c r="H1778" s="19" t="s">
        <v>101</v>
      </c>
      <c r="I1778" s="19" t="s">
        <v>102</v>
      </c>
      <c r="J1778" s="19">
        <v>37</v>
      </c>
      <c r="K1778" s="19">
        <v>4.3299999999999998E-2</v>
      </c>
      <c r="L1778" s="19" t="s">
        <v>35</v>
      </c>
      <c r="M1778" s="19" t="s">
        <v>110</v>
      </c>
      <c r="N1778" s="19">
        <v>0</v>
      </c>
      <c r="O1778" s="19">
        <v>0</v>
      </c>
      <c r="P1778" s="19">
        <v>0</v>
      </c>
      <c r="Q1778" s="19">
        <v>0</v>
      </c>
      <c r="S1778" s="19">
        <v>1</v>
      </c>
      <c r="T1778" s="19">
        <v>1</v>
      </c>
      <c r="U1778" s="19">
        <v>0</v>
      </c>
      <c r="V1778" s="19" t="s">
        <v>80</v>
      </c>
      <c r="W1778" s="19">
        <v>0</v>
      </c>
      <c r="Y1778" s="19" t="s">
        <v>110</v>
      </c>
      <c r="Z1778" s="19">
        <v>16.664999999999999</v>
      </c>
      <c r="AA1778" s="19">
        <v>0</v>
      </c>
    </row>
    <row r="1779" spans="1:27" x14ac:dyDescent="0.25">
      <c r="A1779" s="19" t="s">
        <v>2036</v>
      </c>
      <c r="B1779" s="19" t="s">
        <v>2013</v>
      </c>
      <c r="C1779" s="19" t="s">
        <v>2014</v>
      </c>
      <c r="D1779" s="19">
        <v>0</v>
      </c>
      <c r="E1779" s="19" t="s">
        <v>112</v>
      </c>
      <c r="F1779" s="19" t="s">
        <v>113</v>
      </c>
      <c r="G1779" s="19" t="s">
        <v>32</v>
      </c>
      <c r="H1779" s="19" t="s">
        <v>114</v>
      </c>
      <c r="I1779" s="19" t="s">
        <v>115</v>
      </c>
      <c r="J1779" s="19">
        <v>30</v>
      </c>
      <c r="K1779" s="19">
        <v>2.1700000000000001E-2</v>
      </c>
      <c r="L1779" s="19" t="s">
        <v>35</v>
      </c>
      <c r="M1779" s="19" t="s">
        <v>103</v>
      </c>
      <c r="N1779" s="19">
        <v>0</v>
      </c>
      <c r="O1779" s="19">
        <v>0</v>
      </c>
      <c r="P1779" s="19">
        <v>0</v>
      </c>
      <c r="Q1779" s="19">
        <v>0</v>
      </c>
      <c r="S1779" s="19">
        <v>1</v>
      </c>
      <c r="T1779" s="19">
        <v>1</v>
      </c>
      <c r="U1779" s="19">
        <v>0</v>
      </c>
      <c r="V1779" s="19" t="s">
        <v>36</v>
      </c>
      <c r="W1779" s="19">
        <v>0</v>
      </c>
      <c r="Y1779" s="19" t="s">
        <v>103</v>
      </c>
      <c r="Z1779" s="19">
        <v>50</v>
      </c>
      <c r="AA1779" s="19">
        <v>0</v>
      </c>
    </row>
    <row r="1780" spans="1:27" x14ac:dyDescent="0.25">
      <c r="A1780" s="19" t="s">
        <v>2037</v>
      </c>
      <c r="B1780" s="19" t="s">
        <v>2013</v>
      </c>
      <c r="C1780" s="19" t="s">
        <v>2014</v>
      </c>
      <c r="D1780" s="19">
        <v>0</v>
      </c>
      <c r="E1780" s="19" t="s">
        <v>117</v>
      </c>
      <c r="F1780" s="19" t="s">
        <v>118</v>
      </c>
      <c r="G1780" s="19" t="s">
        <v>32</v>
      </c>
      <c r="H1780" s="19" t="s">
        <v>114</v>
      </c>
      <c r="I1780" s="19" t="s">
        <v>115</v>
      </c>
      <c r="J1780" s="19">
        <v>31</v>
      </c>
      <c r="K1780" s="19">
        <v>2.1700000000000001E-2</v>
      </c>
      <c r="L1780" s="19" t="s">
        <v>35</v>
      </c>
      <c r="M1780" s="19" t="s">
        <v>103</v>
      </c>
      <c r="N1780" s="19">
        <v>0</v>
      </c>
      <c r="O1780" s="19">
        <v>0</v>
      </c>
      <c r="P1780" s="19">
        <v>0</v>
      </c>
      <c r="Q1780" s="19">
        <v>0</v>
      </c>
      <c r="S1780" s="19">
        <v>1</v>
      </c>
      <c r="T1780" s="19">
        <v>1</v>
      </c>
      <c r="U1780" s="19">
        <v>0</v>
      </c>
      <c r="V1780" s="19" t="s">
        <v>36</v>
      </c>
      <c r="W1780" s="19">
        <v>0</v>
      </c>
      <c r="Y1780" s="19" t="s">
        <v>103</v>
      </c>
      <c r="Z1780" s="19">
        <v>50</v>
      </c>
      <c r="AA1780" s="19">
        <v>0</v>
      </c>
    </row>
    <row r="1781" spans="1:27" x14ac:dyDescent="0.25">
      <c r="A1781" s="19" t="s">
        <v>2038</v>
      </c>
      <c r="B1781" s="19" t="s">
        <v>2013</v>
      </c>
      <c r="C1781" s="19" t="s">
        <v>2014</v>
      </c>
      <c r="D1781" s="19">
        <v>0</v>
      </c>
      <c r="E1781" s="19" t="s">
        <v>120</v>
      </c>
      <c r="F1781" s="19" t="s">
        <v>121</v>
      </c>
      <c r="G1781" s="19" t="s">
        <v>32</v>
      </c>
      <c r="H1781" s="19" t="s">
        <v>114</v>
      </c>
      <c r="I1781" s="19" t="s">
        <v>115</v>
      </c>
      <c r="J1781" s="19">
        <v>28</v>
      </c>
      <c r="K1781" s="19">
        <v>2.1700000000000001E-2</v>
      </c>
      <c r="L1781" s="19" t="s">
        <v>35</v>
      </c>
      <c r="M1781" s="19" t="s">
        <v>103</v>
      </c>
      <c r="N1781" s="19">
        <v>0</v>
      </c>
      <c r="O1781" s="19">
        <v>0</v>
      </c>
      <c r="P1781" s="19">
        <v>0</v>
      </c>
      <c r="Q1781" s="19">
        <v>0</v>
      </c>
      <c r="S1781" s="19">
        <v>1</v>
      </c>
      <c r="T1781" s="19">
        <v>1</v>
      </c>
      <c r="U1781" s="19">
        <v>0</v>
      </c>
      <c r="V1781" s="19" t="s">
        <v>36</v>
      </c>
      <c r="W1781" s="19">
        <v>0</v>
      </c>
      <c r="Y1781" s="19" t="s">
        <v>103</v>
      </c>
      <c r="Z1781" s="19">
        <v>50</v>
      </c>
      <c r="AA1781" s="19">
        <v>0</v>
      </c>
    </row>
    <row r="1782" spans="1:27" x14ac:dyDescent="0.25">
      <c r="A1782" s="19" t="s">
        <v>2039</v>
      </c>
      <c r="B1782" s="19" t="s">
        <v>2013</v>
      </c>
      <c r="C1782" s="19" t="s">
        <v>2014</v>
      </c>
      <c r="D1782" s="19">
        <v>0</v>
      </c>
      <c r="E1782" s="19" t="s">
        <v>123</v>
      </c>
      <c r="F1782" s="19" t="s">
        <v>124</v>
      </c>
      <c r="G1782" s="19" t="s">
        <v>32</v>
      </c>
      <c r="H1782" s="19" t="s">
        <v>114</v>
      </c>
      <c r="I1782" s="19" t="s">
        <v>115</v>
      </c>
      <c r="J1782" s="19">
        <v>27</v>
      </c>
      <c r="K1782" s="19">
        <v>2.1700000000000001E-2</v>
      </c>
      <c r="L1782" s="19" t="s">
        <v>35</v>
      </c>
      <c r="M1782" s="19" t="s">
        <v>103</v>
      </c>
      <c r="N1782" s="19">
        <v>0</v>
      </c>
      <c r="O1782" s="19">
        <v>0</v>
      </c>
      <c r="P1782" s="19">
        <v>0</v>
      </c>
      <c r="Q1782" s="19">
        <v>0</v>
      </c>
      <c r="S1782" s="19">
        <v>1</v>
      </c>
      <c r="T1782" s="19">
        <v>1</v>
      </c>
      <c r="U1782" s="19">
        <v>0</v>
      </c>
      <c r="V1782" s="19" t="s">
        <v>36</v>
      </c>
      <c r="W1782" s="19">
        <v>0</v>
      </c>
      <c r="Y1782" s="19" t="s">
        <v>103</v>
      </c>
      <c r="Z1782" s="19">
        <v>50</v>
      </c>
      <c r="AA1782" s="19">
        <v>0</v>
      </c>
    </row>
    <row r="1783" spans="1:27" x14ac:dyDescent="0.25">
      <c r="A1783" s="19" t="s">
        <v>2040</v>
      </c>
      <c r="B1783" s="19" t="s">
        <v>2013</v>
      </c>
      <c r="C1783" s="19" t="s">
        <v>2014</v>
      </c>
      <c r="D1783" s="19">
        <v>0</v>
      </c>
      <c r="E1783" s="19" t="s">
        <v>126</v>
      </c>
      <c r="F1783" s="19" t="s">
        <v>127</v>
      </c>
      <c r="G1783" s="19" t="s">
        <v>32</v>
      </c>
      <c r="H1783" s="19" t="s">
        <v>114</v>
      </c>
      <c r="I1783" s="19" t="s">
        <v>115</v>
      </c>
      <c r="J1783" s="19">
        <v>29</v>
      </c>
      <c r="K1783" s="19">
        <v>2.1700000000000001E-2</v>
      </c>
      <c r="L1783" s="19" t="s">
        <v>35</v>
      </c>
      <c r="M1783" s="19" t="s">
        <v>103</v>
      </c>
      <c r="N1783" s="19">
        <v>0</v>
      </c>
      <c r="O1783" s="19">
        <v>0</v>
      </c>
      <c r="P1783" s="19">
        <v>0</v>
      </c>
      <c r="Q1783" s="19">
        <v>0</v>
      </c>
      <c r="S1783" s="19">
        <v>1</v>
      </c>
      <c r="T1783" s="19">
        <v>1</v>
      </c>
      <c r="U1783" s="19">
        <v>0</v>
      </c>
      <c r="V1783" s="19" t="s">
        <v>36</v>
      </c>
      <c r="W1783" s="19">
        <v>0</v>
      </c>
      <c r="Y1783" s="19" t="s">
        <v>103</v>
      </c>
      <c r="Z1783" s="19">
        <v>50</v>
      </c>
      <c r="AA1783" s="19">
        <v>0</v>
      </c>
    </row>
    <row r="1784" spans="1:27" x14ac:dyDescent="0.25">
      <c r="A1784" s="19" t="s">
        <v>2041</v>
      </c>
      <c r="B1784" s="19" t="s">
        <v>2013</v>
      </c>
      <c r="C1784" s="19" t="s">
        <v>2014</v>
      </c>
      <c r="D1784" s="19">
        <v>0</v>
      </c>
      <c r="E1784" s="19" t="s">
        <v>129</v>
      </c>
      <c r="F1784" s="19" t="s">
        <v>130</v>
      </c>
      <c r="G1784" s="19" t="s">
        <v>32</v>
      </c>
      <c r="H1784" s="19" t="s">
        <v>114</v>
      </c>
      <c r="I1784" s="19" t="s">
        <v>115</v>
      </c>
      <c r="J1784" s="19">
        <v>32</v>
      </c>
      <c r="K1784" s="19">
        <v>2.1700000000000001E-2</v>
      </c>
      <c r="L1784" s="19" t="s">
        <v>35</v>
      </c>
      <c r="M1784" s="19" t="s">
        <v>103</v>
      </c>
      <c r="N1784" s="19">
        <v>0</v>
      </c>
      <c r="O1784" s="19">
        <v>0</v>
      </c>
      <c r="P1784" s="19">
        <v>0</v>
      </c>
      <c r="Q1784" s="19">
        <v>0</v>
      </c>
      <c r="S1784" s="19">
        <v>1</v>
      </c>
      <c r="T1784" s="19">
        <v>1</v>
      </c>
      <c r="U1784" s="19">
        <v>0</v>
      </c>
      <c r="V1784" s="19" t="s">
        <v>80</v>
      </c>
      <c r="W1784" s="19">
        <v>0</v>
      </c>
      <c r="Y1784" s="19" t="s">
        <v>103</v>
      </c>
      <c r="Z1784" s="19">
        <v>50</v>
      </c>
      <c r="AA1784" s="19">
        <v>0</v>
      </c>
    </row>
    <row r="1785" spans="1:27" x14ac:dyDescent="0.25">
      <c r="A1785" s="19" t="s">
        <v>2042</v>
      </c>
      <c r="B1785" s="19" t="s">
        <v>2013</v>
      </c>
      <c r="C1785" s="19" t="s">
        <v>2014</v>
      </c>
      <c r="D1785" s="19">
        <v>0</v>
      </c>
      <c r="E1785" s="19" t="s">
        <v>132</v>
      </c>
      <c r="F1785" s="19" t="s">
        <v>133</v>
      </c>
      <c r="G1785" s="19" t="s">
        <v>134</v>
      </c>
      <c r="H1785" s="19" t="s">
        <v>87</v>
      </c>
      <c r="I1785" s="19" t="s">
        <v>135</v>
      </c>
      <c r="J1785" s="19">
        <v>11</v>
      </c>
      <c r="K1785" s="19">
        <v>4.1700000000000001E-2</v>
      </c>
      <c r="L1785" s="19" t="s">
        <v>35</v>
      </c>
      <c r="M1785" s="19" t="s">
        <v>103</v>
      </c>
      <c r="N1785" s="19">
        <v>0</v>
      </c>
      <c r="O1785" s="19">
        <v>0</v>
      </c>
      <c r="P1785" s="19">
        <v>0</v>
      </c>
      <c r="Q1785" s="19">
        <v>0</v>
      </c>
      <c r="S1785" s="19">
        <v>1</v>
      </c>
      <c r="T1785" s="19">
        <v>1</v>
      </c>
      <c r="U1785" s="19">
        <v>0</v>
      </c>
      <c r="V1785" s="19" t="s">
        <v>80</v>
      </c>
      <c r="W1785" s="19">
        <v>0</v>
      </c>
      <c r="Y1785" s="19" t="s">
        <v>103</v>
      </c>
      <c r="Z1785" s="19">
        <v>50</v>
      </c>
      <c r="AA1785" s="19">
        <v>0</v>
      </c>
    </row>
    <row r="1786" spans="1:27" x14ac:dyDescent="0.25">
      <c r="A1786" s="19" t="s">
        <v>2043</v>
      </c>
      <c r="B1786" s="19" t="s">
        <v>2013</v>
      </c>
      <c r="C1786" s="19" t="s">
        <v>2014</v>
      </c>
      <c r="D1786" s="19">
        <v>0</v>
      </c>
      <c r="E1786" s="19" t="s">
        <v>137</v>
      </c>
      <c r="F1786" s="19" t="s">
        <v>138</v>
      </c>
      <c r="G1786" s="19" t="s">
        <v>134</v>
      </c>
      <c r="H1786" s="19" t="s">
        <v>87</v>
      </c>
      <c r="I1786" s="19" t="s">
        <v>135</v>
      </c>
      <c r="J1786" s="19">
        <v>9</v>
      </c>
      <c r="K1786" s="19">
        <v>4.1700000000000001E-2</v>
      </c>
      <c r="L1786" s="19" t="s">
        <v>35</v>
      </c>
      <c r="N1786" s="19">
        <v>0</v>
      </c>
      <c r="O1786" s="19">
        <v>0</v>
      </c>
      <c r="P1786" s="19">
        <v>0</v>
      </c>
      <c r="Q1786" s="19">
        <v>0</v>
      </c>
      <c r="S1786" s="19">
        <v>1</v>
      </c>
      <c r="T1786" s="19">
        <v>1</v>
      </c>
      <c r="U1786" s="19">
        <v>0</v>
      </c>
      <c r="W1786" s="19">
        <v>0</v>
      </c>
      <c r="X1786" s="19">
        <v>0</v>
      </c>
      <c r="Z1786" s="19">
        <v>0</v>
      </c>
      <c r="AA1786" s="19">
        <v>0</v>
      </c>
    </row>
    <row r="1787" spans="1:27" x14ac:dyDescent="0.25">
      <c r="A1787" s="19" t="s">
        <v>2044</v>
      </c>
      <c r="B1787" s="19" t="s">
        <v>2013</v>
      </c>
      <c r="C1787" s="19" t="s">
        <v>2014</v>
      </c>
      <c r="D1787" s="19">
        <v>0</v>
      </c>
      <c r="E1787" s="19" t="s">
        <v>140</v>
      </c>
      <c r="F1787" s="19" t="s">
        <v>141</v>
      </c>
      <c r="G1787" s="19" t="s">
        <v>134</v>
      </c>
      <c r="H1787" s="19" t="s">
        <v>87</v>
      </c>
      <c r="I1787" s="19" t="s">
        <v>135</v>
      </c>
      <c r="J1787" s="19">
        <v>10</v>
      </c>
      <c r="K1787" s="19">
        <v>4.1700000000000001E-2</v>
      </c>
      <c r="L1787" s="19" t="s">
        <v>35</v>
      </c>
      <c r="N1787" s="19">
        <v>0</v>
      </c>
      <c r="O1787" s="19">
        <v>0</v>
      </c>
      <c r="P1787" s="19">
        <v>0</v>
      </c>
      <c r="Q1787" s="19">
        <v>0</v>
      </c>
      <c r="S1787" s="19">
        <v>1</v>
      </c>
      <c r="T1787" s="19">
        <v>1</v>
      </c>
      <c r="U1787" s="19">
        <v>0</v>
      </c>
      <c r="W1787" s="19">
        <v>0</v>
      </c>
      <c r="X1787" s="19">
        <v>0</v>
      </c>
      <c r="Z1787" s="19">
        <v>0</v>
      </c>
      <c r="AA1787" s="19">
        <v>0</v>
      </c>
    </row>
    <row r="1788" spans="1:27" x14ac:dyDescent="0.25">
      <c r="A1788" s="19" t="s">
        <v>2045</v>
      </c>
      <c r="B1788" s="19" t="s">
        <v>2013</v>
      </c>
      <c r="C1788" s="19" t="s">
        <v>2014</v>
      </c>
      <c r="D1788" s="19">
        <v>1.25</v>
      </c>
      <c r="E1788" s="19" t="s">
        <v>144</v>
      </c>
      <c r="F1788" s="19" t="s">
        <v>145</v>
      </c>
      <c r="G1788" s="19" t="s">
        <v>134</v>
      </c>
      <c r="H1788" s="19" t="s">
        <v>146</v>
      </c>
      <c r="I1788" s="19" t="s">
        <v>147</v>
      </c>
      <c r="J1788" s="19">
        <v>4</v>
      </c>
      <c r="K1788" s="19">
        <v>2.5000000000000001E-2</v>
      </c>
      <c r="L1788" s="19" t="s">
        <v>35</v>
      </c>
      <c r="M1788" s="19" t="s">
        <v>103</v>
      </c>
      <c r="N1788" s="19">
        <v>50</v>
      </c>
      <c r="O1788" s="19">
        <v>50</v>
      </c>
      <c r="P1788" s="19">
        <v>0</v>
      </c>
      <c r="Q1788" s="19">
        <v>0</v>
      </c>
      <c r="S1788" s="19">
        <v>1</v>
      </c>
      <c r="T1788" s="19">
        <v>1</v>
      </c>
      <c r="U1788" s="19">
        <v>0</v>
      </c>
      <c r="V1788" s="19" t="s">
        <v>41</v>
      </c>
      <c r="W1788" s="19">
        <v>1</v>
      </c>
      <c r="Y1788" s="19" t="s">
        <v>103</v>
      </c>
      <c r="Z1788" s="19">
        <v>50</v>
      </c>
      <c r="AA1788" s="19">
        <v>50</v>
      </c>
    </row>
    <row r="1789" spans="1:27" x14ac:dyDescent="0.25">
      <c r="A1789" s="19" t="s">
        <v>2046</v>
      </c>
      <c r="B1789" s="19" t="s">
        <v>2013</v>
      </c>
      <c r="C1789" s="19" t="s">
        <v>2014</v>
      </c>
      <c r="D1789" s="19">
        <v>1.25</v>
      </c>
      <c r="E1789" s="19" t="s">
        <v>149</v>
      </c>
      <c r="F1789" s="19" t="s">
        <v>150</v>
      </c>
      <c r="G1789" s="19" t="s">
        <v>134</v>
      </c>
      <c r="H1789" s="19" t="s">
        <v>146</v>
      </c>
      <c r="I1789" s="19" t="s">
        <v>147</v>
      </c>
      <c r="J1789" s="19">
        <v>5</v>
      </c>
      <c r="K1789" s="19">
        <v>2.5000000000000001E-2</v>
      </c>
      <c r="L1789" s="19" t="s">
        <v>35</v>
      </c>
      <c r="M1789" s="19" t="s">
        <v>103</v>
      </c>
      <c r="N1789" s="19">
        <v>50</v>
      </c>
      <c r="O1789" s="19">
        <v>50</v>
      </c>
      <c r="P1789" s="19">
        <v>0</v>
      </c>
      <c r="Q1789" s="19">
        <v>0</v>
      </c>
      <c r="S1789" s="19">
        <v>1</v>
      </c>
      <c r="T1789" s="19">
        <v>1</v>
      </c>
      <c r="U1789" s="19">
        <v>0</v>
      </c>
      <c r="V1789" s="19" t="s">
        <v>41</v>
      </c>
      <c r="W1789" s="19">
        <v>1</v>
      </c>
      <c r="Y1789" s="19" t="s">
        <v>103</v>
      </c>
      <c r="Z1789" s="19">
        <v>50</v>
      </c>
      <c r="AA1789" s="19">
        <v>50</v>
      </c>
    </row>
    <row r="1790" spans="1:27" x14ac:dyDescent="0.25">
      <c r="A1790" s="19" t="s">
        <v>2047</v>
      </c>
      <c r="B1790" s="19" t="s">
        <v>2013</v>
      </c>
      <c r="C1790" s="19" t="s">
        <v>2014</v>
      </c>
      <c r="D1790" s="19">
        <v>1.25</v>
      </c>
      <c r="E1790" s="19" t="s">
        <v>152</v>
      </c>
      <c r="F1790" s="19" t="s">
        <v>153</v>
      </c>
      <c r="G1790" s="19" t="s">
        <v>134</v>
      </c>
      <c r="H1790" s="19" t="s">
        <v>146</v>
      </c>
      <c r="I1790" s="19" t="s">
        <v>147</v>
      </c>
      <c r="J1790" s="19">
        <v>6</v>
      </c>
      <c r="K1790" s="19">
        <v>2.5000000000000001E-2</v>
      </c>
      <c r="L1790" s="19" t="s">
        <v>35</v>
      </c>
      <c r="M1790" s="19" t="s">
        <v>103</v>
      </c>
      <c r="N1790" s="19">
        <v>50</v>
      </c>
      <c r="O1790" s="19">
        <v>50</v>
      </c>
      <c r="P1790" s="19">
        <v>0</v>
      </c>
      <c r="Q1790" s="19">
        <v>0</v>
      </c>
      <c r="S1790" s="19">
        <v>1</v>
      </c>
      <c r="T1790" s="19">
        <v>1</v>
      </c>
      <c r="U1790" s="19">
        <v>0</v>
      </c>
      <c r="V1790" s="19" t="s">
        <v>41</v>
      </c>
      <c r="W1790" s="19">
        <v>1</v>
      </c>
      <c r="Y1790" s="19" t="s">
        <v>103</v>
      </c>
      <c r="Z1790" s="19">
        <v>50</v>
      </c>
      <c r="AA1790" s="19">
        <v>50</v>
      </c>
    </row>
    <row r="1791" spans="1:27" x14ac:dyDescent="0.25">
      <c r="A1791" s="19" t="s">
        <v>2048</v>
      </c>
      <c r="B1791" s="19" t="s">
        <v>2013</v>
      </c>
      <c r="C1791" s="19" t="s">
        <v>2014</v>
      </c>
      <c r="D1791" s="19">
        <v>0</v>
      </c>
      <c r="E1791" s="19" t="s">
        <v>155</v>
      </c>
      <c r="F1791" s="19" t="s">
        <v>156</v>
      </c>
      <c r="G1791" s="19" t="s">
        <v>134</v>
      </c>
      <c r="H1791" s="19" t="s">
        <v>146</v>
      </c>
      <c r="I1791" s="19" t="s">
        <v>147</v>
      </c>
      <c r="J1791" s="19">
        <v>7</v>
      </c>
      <c r="K1791" s="19">
        <v>2.5000000000000001E-2</v>
      </c>
      <c r="L1791" s="19" t="s">
        <v>35</v>
      </c>
      <c r="M1791" s="19" t="s">
        <v>103</v>
      </c>
      <c r="N1791" s="19">
        <v>0</v>
      </c>
      <c r="O1791" s="19">
        <v>0</v>
      </c>
      <c r="P1791" s="19">
        <v>0</v>
      </c>
      <c r="Q1791" s="19">
        <v>0</v>
      </c>
      <c r="S1791" s="19">
        <v>1</v>
      </c>
      <c r="T1791" s="19">
        <v>1</v>
      </c>
      <c r="U1791" s="19">
        <v>0</v>
      </c>
      <c r="V1791" s="19" t="s">
        <v>80</v>
      </c>
      <c r="W1791" s="19">
        <v>0</v>
      </c>
      <c r="Y1791" s="19" t="s">
        <v>103</v>
      </c>
      <c r="Z1791" s="19">
        <v>50</v>
      </c>
      <c r="AA1791" s="19">
        <v>0</v>
      </c>
    </row>
    <row r="1792" spans="1:27" x14ac:dyDescent="0.25">
      <c r="A1792" s="19" t="s">
        <v>2049</v>
      </c>
      <c r="B1792" s="19" t="s">
        <v>2013</v>
      </c>
      <c r="C1792" s="19" t="s">
        <v>2014</v>
      </c>
      <c r="D1792" s="19">
        <v>0</v>
      </c>
      <c r="E1792" s="19" t="s">
        <v>158</v>
      </c>
      <c r="F1792" s="19" t="s">
        <v>159</v>
      </c>
      <c r="G1792" s="19" t="s">
        <v>134</v>
      </c>
      <c r="H1792" s="19" t="s">
        <v>146</v>
      </c>
      <c r="I1792" s="19" t="s">
        <v>147</v>
      </c>
      <c r="J1792" s="19">
        <v>8</v>
      </c>
      <c r="K1792" s="19">
        <v>2.5000000000000001E-2</v>
      </c>
      <c r="L1792" s="19" t="s">
        <v>35</v>
      </c>
      <c r="M1792" s="19" t="s">
        <v>103</v>
      </c>
      <c r="N1792" s="19">
        <v>0</v>
      </c>
      <c r="O1792" s="19">
        <v>0</v>
      </c>
      <c r="P1792" s="19">
        <v>0</v>
      </c>
      <c r="Q1792" s="19">
        <v>0</v>
      </c>
      <c r="S1792" s="19">
        <v>1</v>
      </c>
      <c r="T1792" s="19">
        <v>1</v>
      </c>
      <c r="U1792" s="19">
        <v>0</v>
      </c>
      <c r="V1792" s="19" t="s">
        <v>36</v>
      </c>
      <c r="W1792" s="19">
        <v>0</v>
      </c>
      <c r="Y1792" s="19" t="s">
        <v>103</v>
      </c>
      <c r="Z1792" s="19">
        <v>50</v>
      </c>
      <c r="AA1792" s="19">
        <v>0</v>
      </c>
    </row>
    <row r="1793" spans="1:27" x14ac:dyDescent="0.25">
      <c r="A1793" s="19" t="s">
        <v>2050</v>
      </c>
      <c r="B1793" s="19" t="s">
        <v>2013</v>
      </c>
      <c r="C1793" s="19" t="s">
        <v>2014</v>
      </c>
      <c r="D1793" s="19">
        <v>2.2197779999999998</v>
      </c>
      <c r="E1793" s="19" t="s">
        <v>161</v>
      </c>
      <c r="F1793" s="19" t="s">
        <v>162</v>
      </c>
      <c r="G1793" s="19" t="s">
        <v>163</v>
      </c>
      <c r="I1793" s="19" t="s">
        <v>164</v>
      </c>
      <c r="J1793" s="19">
        <v>1</v>
      </c>
      <c r="K1793" s="19">
        <v>3.3300000000000003E-2</v>
      </c>
      <c r="L1793" s="19" t="s">
        <v>35</v>
      </c>
      <c r="M1793" s="19" t="s">
        <v>165</v>
      </c>
      <c r="N1793" s="19">
        <v>66.66</v>
      </c>
      <c r="O1793" s="19">
        <v>66.66</v>
      </c>
      <c r="P1793" s="19">
        <v>0</v>
      </c>
      <c r="Q1793" s="19">
        <v>0</v>
      </c>
      <c r="S1793" s="19">
        <v>1</v>
      </c>
      <c r="T1793" s="19">
        <v>1</v>
      </c>
      <c r="U1793" s="19">
        <v>0</v>
      </c>
      <c r="W1793" s="19">
        <v>0</v>
      </c>
      <c r="X1793" s="19">
        <v>66.66</v>
      </c>
      <c r="Z1793" s="19">
        <v>0</v>
      </c>
      <c r="AA1793" s="19">
        <v>66.66</v>
      </c>
    </row>
    <row r="1794" spans="1:27" x14ac:dyDescent="0.25">
      <c r="A1794" s="19" t="s">
        <v>2051</v>
      </c>
      <c r="B1794" s="19" t="s">
        <v>2013</v>
      </c>
      <c r="C1794" s="19" t="s">
        <v>2014</v>
      </c>
      <c r="D1794" s="19">
        <v>0</v>
      </c>
      <c r="E1794" s="19" t="s">
        <v>167</v>
      </c>
      <c r="F1794" s="19" t="s">
        <v>168</v>
      </c>
      <c r="G1794" s="19" t="s">
        <v>163</v>
      </c>
      <c r="I1794" s="19" t="s">
        <v>164</v>
      </c>
      <c r="J1794" s="19">
        <v>3</v>
      </c>
      <c r="K1794" s="19">
        <v>3.3300000000000003E-2</v>
      </c>
      <c r="L1794" s="19" t="s">
        <v>35</v>
      </c>
      <c r="M1794" s="19" t="s">
        <v>165</v>
      </c>
      <c r="N1794" s="19">
        <v>0</v>
      </c>
      <c r="O1794" s="19">
        <v>0</v>
      </c>
      <c r="P1794" s="19">
        <v>0</v>
      </c>
      <c r="Q1794" s="19">
        <v>0</v>
      </c>
      <c r="S1794" s="19">
        <v>1</v>
      </c>
      <c r="T1794" s="19">
        <v>1</v>
      </c>
      <c r="U1794" s="19">
        <v>0</v>
      </c>
      <c r="W1794" s="19">
        <v>0</v>
      </c>
      <c r="X1794" s="19">
        <v>0</v>
      </c>
      <c r="Z1794" s="19">
        <v>0</v>
      </c>
      <c r="AA1794" s="19">
        <v>0</v>
      </c>
    </row>
    <row r="1795" spans="1:27" x14ac:dyDescent="0.25">
      <c r="A1795" s="19" t="s">
        <v>2052</v>
      </c>
      <c r="B1795" s="19" t="s">
        <v>2013</v>
      </c>
      <c r="C1795" s="19" t="s">
        <v>2014</v>
      </c>
      <c r="D1795" s="19">
        <v>0</v>
      </c>
      <c r="E1795" s="19" t="s">
        <v>170</v>
      </c>
      <c r="F1795" s="19" t="s">
        <v>171</v>
      </c>
      <c r="G1795" s="19" t="s">
        <v>163</v>
      </c>
      <c r="I1795" s="19" t="s">
        <v>164</v>
      </c>
      <c r="J1795" s="19">
        <v>2</v>
      </c>
      <c r="K1795" s="19">
        <v>3.3300000000000003E-2</v>
      </c>
      <c r="L1795" s="19" t="s">
        <v>35</v>
      </c>
      <c r="M1795" s="19" t="s">
        <v>165</v>
      </c>
      <c r="N1795" s="19">
        <v>0</v>
      </c>
      <c r="O1795" s="19">
        <v>0</v>
      </c>
      <c r="P1795" s="19">
        <v>0</v>
      </c>
      <c r="Q1795" s="19">
        <v>0</v>
      </c>
      <c r="S1795" s="19">
        <v>1</v>
      </c>
      <c r="T1795" s="19">
        <v>1</v>
      </c>
      <c r="U1795" s="19">
        <v>0</v>
      </c>
      <c r="W1795" s="19">
        <v>0</v>
      </c>
      <c r="X1795" s="19">
        <v>0</v>
      </c>
      <c r="Z1795" s="19">
        <v>0</v>
      </c>
      <c r="AA1795" s="19">
        <v>0</v>
      </c>
    </row>
    <row r="1796" spans="1:27" x14ac:dyDescent="0.25">
      <c r="A1796" s="19" t="s">
        <v>2438</v>
      </c>
      <c r="B1796" s="19" t="s">
        <v>2421</v>
      </c>
      <c r="C1796" s="19" t="s">
        <v>2422</v>
      </c>
      <c r="D1796" s="19">
        <v>4.17</v>
      </c>
      <c r="E1796" s="19" t="s">
        <v>132</v>
      </c>
      <c r="F1796" s="19" t="s">
        <v>133</v>
      </c>
      <c r="G1796" s="19" t="s">
        <v>134</v>
      </c>
      <c r="H1796" s="19" t="s">
        <v>87</v>
      </c>
      <c r="I1796" s="19" t="s">
        <v>135</v>
      </c>
      <c r="J1796" s="19">
        <v>11</v>
      </c>
      <c r="K1796" s="19">
        <v>4.1700000000000001E-2</v>
      </c>
      <c r="L1796" s="19" t="s">
        <v>541</v>
      </c>
      <c r="M1796" s="19" t="s">
        <v>541</v>
      </c>
      <c r="N1796" s="19">
        <v>50</v>
      </c>
      <c r="O1796" s="19">
        <v>100</v>
      </c>
      <c r="P1796" s="19">
        <v>100</v>
      </c>
      <c r="Q1796" s="19">
        <v>50</v>
      </c>
      <c r="R1796" s="19" t="s">
        <v>870</v>
      </c>
      <c r="S1796" s="19">
        <v>0.9</v>
      </c>
      <c r="T1796" s="19">
        <v>1</v>
      </c>
      <c r="U1796" s="19">
        <v>50</v>
      </c>
      <c r="AA1796" s="19">
        <v>0</v>
      </c>
    </row>
    <row r="1797" spans="1:27" x14ac:dyDescent="0.25">
      <c r="A1797" s="19" t="s">
        <v>2441</v>
      </c>
      <c r="B1797" s="19" t="s">
        <v>2421</v>
      </c>
      <c r="C1797" s="19" t="s">
        <v>2422</v>
      </c>
      <c r="D1797" s="19">
        <v>2.5</v>
      </c>
      <c r="E1797" s="19" t="s">
        <v>144</v>
      </c>
      <c r="F1797" s="19" t="s">
        <v>145</v>
      </c>
      <c r="G1797" s="19" t="s">
        <v>134</v>
      </c>
      <c r="H1797" s="19" t="s">
        <v>146</v>
      </c>
      <c r="I1797" s="19" t="s">
        <v>147</v>
      </c>
      <c r="J1797" s="19">
        <v>4</v>
      </c>
      <c r="K1797" s="19">
        <v>2.5000000000000001E-2</v>
      </c>
      <c r="L1797" s="19" t="s">
        <v>541</v>
      </c>
      <c r="M1797" s="19" t="s">
        <v>541</v>
      </c>
      <c r="N1797" s="19">
        <v>50</v>
      </c>
      <c r="O1797" s="19">
        <v>100</v>
      </c>
      <c r="P1797" s="19">
        <v>100</v>
      </c>
      <c r="Q1797" s="19">
        <v>50</v>
      </c>
      <c r="R1797" s="19" t="s">
        <v>870</v>
      </c>
      <c r="S1797" s="19">
        <v>0.9</v>
      </c>
      <c r="T1797" s="19">
        <v>1</v>
      </c>
      <c r="U1797" s="19">
        <v>50</v>
      </c>
      <c r="AA1797" s="19">
        <v>0</v>
      </c>
    </row>
    <row r="1798" spans="1:27" x14ac:dyDescent="0.25">
      <c r="A1798" s="19" t="s">
        <v>2420</v>
      </c>
      <c r="B1798" s="19" t="s">
        <v>2421</v>
      </c>
      <c r="C1798" s="19" t="s">
        <v>2422</v>
      </c>
      <c r="D1798" s="19">
        <v>1.24460792525773</v>
      </c>
      <c r="E1798" s="19" t="s">
        <v>30</v>
      </c>
      <c r="F1798" s="19" t="s">
        <v>31</v>
      </c>
      <c r="G1798" s="19" t="s">
        <v>32</v>
      </c>
      <c r="H1798" s="19" t="s">
        <v>33</v>
      </c>
      <c r="I1798" s="19" t="s">
        <v>34</v>
      </c>
      <c r="J1798" s="19">
        <v>17</v>
      </c>
      <c r="K1798" s="19">
        <v>1.6299999999999999E-2</v>
      </c>
      <c r="L1798" s="19" t="s">
        <v>541</v>
      </c>
      <c r="M1798" s="19" t="s">
        <v>541</v>
      </c>
      <c r="N1798" s="19">
        <v>50</v>
      </c>
      <c r="O1798" s="19">
        <v>76.356314432999994</v>
      </c>
      <c r="P1798" s="19">
        <v>58.569587628900003</v>
      </c>
      <c r="Q1798" s="19">
        <v>29.2847938144</v>
      </c>
      <c r="R1798" s="19" t="s">
        <v>870</v>
      </c>
      <c r="S1798" s="19">
        <v>0.9</v>
      </c>
      <c r="T1798" s="19">
        <v>0.9</v>
      </c>
      <c r="U1798" s="19">
        <v>26.356314433000001</v>
      </c>
      <c r="AA1798" s="19">
        <v>0</v>
      </c>
    </row>
    <row r="1799" spans="1:27" x14ac:dyDescent="0.25">
      <c r="A1799" s="19" t="s">
        <v>2423</v>
      </c>
      <c r="B1799" s="19" t="s">
        <v>2421</v>
      </c>
      <c r="C1799" s="19" t="s">
        <v>2422</v>
      </c>
      <c r="D1799" s="19">
        <v>1.54849999999999</v>
      </c>
      <c r="E1799" s="19" t="s">
        <v>38</v>
      </c>
      <c r="F1799" s="19" t="s">
        <v>39</v>
      </c>
      <c r="G1799" s="19" t="s">
        <v>32</v>
      </c>
      <c r="H1799" s="19" t="s">
        <v>33</v>
      </c>
      <c r="I1799" s="19" t="s">
        <v>34</v>
      </c>
      <c r="J1799" s="19">
        <v>19</v>
      </c>
      <c r="K1799" s="19">
        <v>1.6299999999999999E-2</v>
      </c>
      <c r="L1799" s="19" t="s">
        <v>541</v>
      </c>
      <c r="M1799" s="19" t="s">
        <v>541</v>
      </c>
      <c r="N1799" s="19">
        <v>50</v>
      </c>
      <c r="O1799" s="19">
        <v>95</v>
      </c>
      <c r="P1799" s="19">
        <v>100</v>
      </c>
      <c r="Q1799" s="19">
        <v>50</v>
      </c>
      <c r="R1799" s="19" t="s">
        <v>870</v>
      </c>
      <c r="S1799" s="19">
        <v>0.9</v>
      </c>
      <c r="T1799" s="19">
        <v>0.9</v>
      </c>
      <c r="U1799" s="19">
        <v>45</v>
      </c>
      <c r="AA1799" s="19">
        <v>0</v>
      </c>
    </row>
    <row r="1800" spans="1:27" x14ac:dyDescent="0.25">
      <c r="A1800" s="19" t="s">
        <v>2444</v>
      </c>
      <c r="B1800" s="19" t="s">
        <v>2421</v>
      </c>
      <c r="C1800" s="19" t="s">
        <v>2422</v>
      </c>
      <c r="D1800" s="19">
        <v>2.5</v>
      </c>
      <c r="E1800" s="19" t="s">
        <v>155</v>
      </c>
      <c r="F1800" s="19" t="s">
        <v>156</v>
      </c>
      <c r="G1800" s="19" t="s">
        <v>134</v>
      </c>
      <c r="H1800" s="19" t="s">
        <v>146</v>
      </c>
      <c r="I1800" s="19" t="s">
        <v>147</v>
      </c>
      <c r="J1800" s="19">
        <v>7</v>
      </c>
      <c r="K1800" s="19">
        <v>2.5000000000000001E-2</v>
      </c>
      <c r="L1800" s="19" t="s">
        <v>541</v>
      </c>
      <c r="M1800" s="19" t="s">
        <v>541</v>
      </c>
      <c r="N1800" s="19">
        <v>50</v>
      </c>
      <c r="O1800" s="19">
        <v>100</v>
      </c>
      <c r="P1800" s="19">
        <v>100</v>
      </c>
      <c r="Q1800" s="19">
        <v>50</v>
      </c>
      <c r="R1800" s="19" t="s">
        <v>870</v>
      </c>
      <c r="S1800" s="19">
        <v>0.9</v>
      </c>
      <c r="T1800" s="19">
        <v>1</v>
      </c>
      <c r="U1800" s="19">
        <v>50</v>
      </c>
      <c r="AA1800" s="19">
        <v>0</v>
      </c>
    </row>
    <row r="1801" spans="1:27" x14ac:dyDescent="0.25">
      <c r="A1801" s="19" t="s">
        <v>2425</v>
      </c>
      <c r="B1801" s="19" t="s">
        <v>2421</v>
      </c>
      <c r="C1801" s="19" t="s">
        <v>2422</v>
      </c>
      <c r="D1801" s="19">
        <v>1.51588949742268</v>
      </c>
      <c r="E1801" s="19" t="s">
        <v>46</v>
      </c>
      <c r="F1801" s="19" t="s">
        <v>47</v>
      </c>
      <c r="G1801" s="19" t="s">
        <v>32</v>
      </c>
      <c r="H1801" s="19" t="s">
        <v>33</v>
      </c>
      <c r="I1801" s="19" t="s">
        <v>34</v>
      </c>
      <c r="J1801" s="19">
        <v>15</v>
      </c>
      <c r="K1801" s="19">
        <v>1.6299999999999999E-2</v>
      </c>
      <c r="L1801" s="19" t="s">
        <v>541</v>
      </c>
      <c r="M1801" s="19" t="s">
        <v>541</v>
      </c>
      <c r="N1801" s="19">
        <v>50</v>
      </c>
      <c r="O1801" s="19">
        <v>92.999355670100002</v>
      </c>
      <c r="P1801" s="19">
        <v>95.554123711299994</v>
      </c>
      <c r="Q1801" s="19">
        <v>47.777061855699998</v>
      </c>
      <c r="R1801" s="19" t="s">
        <v>870</v>
      </c>
      <c r="S1801" s="19">
        <v>0.9</v>
      </c>
      <c r="T1801" s="19">
        <v>0.9</v>
      </c>
      <c r="U1801" s="19">
        <v>42.999355670100002</v>
      </c>
      <c r="AA1801" s="19">
        <v>0</v>
      </c>
    </row>
    <row r="1802" spans="1:27" x14ac:dyDescent="0.25">
      <c r="A1802" s="19" t="s">
        <v>2426</v>
      </c>
      <c r="B1802" s="19" t="s">
        <v>2421</v>
      </c>
      <c r="C1802" s="19" t="s">
        <v>2422</v>
      </c>
      <c r="D1802" s="19">
        <v>1.54849999999999</v>
      </c>
      <c r="E1802" s="19" t="s">
        <v>49</v>
      </c>
      <c r="F1802" s="19" t="s">
        <v>50</v>
      </c>
      <c r="G1802" s="19" t="s">
        <v>32</v>
      </c>
      <c r="H1802" s="19" t="s">
        <v>33</v>
      </c>
      <c r="I1802" s="19" t="s">
        <v>34</v>
      </c>
      <c r="J1802" s="19">
        <v>12</v>
      </c>
      <c r="K1802" s="19">
        <v>1.6299999999999999E-2</v>
      </c>
      <c r="L1802" s="19" t="s">
        <v>541</v>
      </c>
      <c r="M1802" s="19" t="s">
        <v>541</v>
      </c>
      <c r="N1802" s="19">
        <v>50</v>
      </c>
      <c r="O1802" s="19">
        <v>95</v>
      </c>
      <c r="P1802" s="19">
        <v>100</v>
      </c>
      <c r="Q1802" s="19">
        <v>50</v>
      </c>
      <c r="R1802" s="19" t="s">
        <v>870</v>
      </c>
      <c r="S1802" s="19">
        <v>0.9</v>
      </c>
      <c r="T1802" s="19">
        <v>0.9</v>
      </c>
      <c r="U1802" s="19">
        <v>45</v>
      </c>
      <c r="AA1802" s="19">
        <v>0</v>
      </c>
    </row>
    <row r="1803" spans="1:27" x14ac:dyDescent="0.25">
      <c r="A1803" s="19" t="s">
        <v>2427</v>
      </c>
      <c r="B1803" s="19" t="s">
        <v>2421</v>
      </c>
      <c r="C1803" s="19" t="s">
        <v>2422</v>
      </c>
      <c r="D1803" s="19">
        <v>1.5371572164948399</v>
      </c>
      <c r="E1803" s="19" t="s">
        <v>52</v>
      </c>
      <c r="F1803" s="19" t="s">
        <v>53</v>
      </c>
      <c r="G1803" s="19" t="s">
        <v>32</v>
      </c>
      <c r="H1803" s="19" t="s">
        <v>33</v>
      </c>
      <c r="I1803" s="19" t="s">
        <v>34</v>
      </c>
      <c r="J1803" s="19">
        <v>16</v>
      </c>
      <c r="K1803" s="19">
        <v>1.6299999999999999E-2</v>
      </c>
      <c r="L1803" s="19" t="s">
        <v>541</v>
      </c>
      <c r="M1803" s="19" t="s">
        <v>541</v>
      </c>
      <c r="N1803" s="19">
        <v>50</v>
      </c>
      <c r="O1803" s="19">
        <v>94.304123711299994</v>
      </c>
      <c r="P1803" s="19">
        <v>98.453608247399998</v>
      </c>
      <c r="Q1803" s="19">
        <v>49.226804123699999</v>
      </c>
      <c r="R1803" s="19" t="s">
        <v>870</v>
      </c>
      <c r="S1803" s="19">
        <v>0.9</v>
      </c>
      <c r="T1803" s="19">
        <v>0.9</v>
      </c>
      <c r="U1803" s="19">
        <v>44.304123711300001</v>
      </c>
      <c r="AA1803" s="19">
        <v>0</v>
      </c>
    </row>
    <row r="1804" spans="1:27" x14ac:dyDescent="0.25">
      <c r="A1804" s="19" t="s">
        <v>2428</v>
      </c>
      <c r="B1804" s="19" t="s">
        <v>2421</v>
      </c>
      <c r="C1804" s="19" t="s">
        <v>2422</v>
      </c>
      <c r="D1804" s="19">
        <v>1.54849999999999</v>
      </c>
      <c r="E1804" s="19" t="s">
        <v>55</v>
      </c>
      <c r="F1804" s="19" t="s">
        <v>56</v>
      </c>
      <c r="G1804" s="19" t="s">
        <v>32</v>
      </c>
      <c r="H1804" s="19" t="s">
        <v>33</v>
      </c>
      <c r="I1804" s="19" t="s">
        <v>34</v>
      </c>
      <c r="J1804" s="19">
        <v>14</v>
      </c>
      <c r="K1804" s="19">
        <v>1.6299999999999999E-2</v>
      </c>
      <c r="L1804" s="19" t="s">
        <v>541</v>
      </c>
      <c r="M1804" s="19" t="s">
        <v>541</v>
      </c>
      <c r="N1804" s="19">
        <v>50</v>
      </c>
      <c r="O1804" s="19">
        <v>95</v>
      </c>
      <c r="P1804" s="19">
        <v>100</v>
      </c>
      <c r="Q1804" s="19">
        <v>50</v>
      </c>
      <c r="R1804" s="19" t="s">
        <v>870</v>
      </c>
      <c r="S1804" s="19">
        <v>0.9</v>
      </c>
      <c r="T1804" s="19">
        <v>0.9</v>
      </c>
      <c r="U1804" s="19">
        <v>45</v>
      </c>
      <c r="AA1804" s="19">
        <v>0</v>
      </c>
    </row>
    <row r="1805" spans="1:27" x14ac:dyDescent="0.25">
      <c r="A1805" s="19" t="s">
        <v>2429</v>
      </c>
      <c r="B1805" s="19" t="s">
        <v>2421</v>
      </c>
      <c r="C1805" s="19" t="s">
        <v>2422</v>
      </c>
      <c r="D1805" s="19">
        <v>1.54849999999999</v>
      </c>
      <c r="E1805" s="19" t="s">
        <v>58</v>
      </c>
      <c r="F1805" s="19" t="s">
        <v>59</v>
      </c>
      <c r="G1805" s="19" t="s">
        <v>32</v>
      </c>
      <c r="H1805" s="19" t="s">
        <v>33</v>
      </c>
      <c r="I1805" s="19" t="s">
        <v>34</v>
      </c>
      <c r="J1805" s="19">
        <v>13</v>
      </c>
      <c r="K1805" s="19">
        <v>1.6299999999999999E-2</v>
      </c>
      <c r="L1805" s="19" t="s">
        <v>541</v>
      </c>
      <c r="M1805" s="19" t="s">
        <v>541</v>
      </c>
      <c r="N1805" s="19">
        <v>50</v>
      </c>
      <c r="O1805" s="19">
        <v>95</v>
      </c>
      <c r="P1805" s="19">
        <v>100</v>
      </c>
      <c r="Q1805" s="19">
        <v>50</v>
      </c>
      <c r="R1805" s="19" t="s">
        <v>870</v>
      </c>
      <c r="S1805" s="19">
        <v>0.9</v>
      </c>
      <c r="T1805" s="19">
        <v>0.9</v>
      </c>
      <c r="U1805" s="19">
        <v>45</v>
      </c>
      <c r="AA1805" s="19">
        <v>0</v>
      </c>
    </row>
    <row r="1806" spans="1:27" x14ac:dyDescent="0.25">
      <c r="A1806" s="19" t="s">
        <v>2430</v>
      </c>
      <c r="B1806" s="19" t="s">
        <v>2421</v>
      </c>
      <c r="C1806" s="19" t="s">
        <v>2422</v>
      </c>
      <c r="D1806" s="19">
        <v>1.75405670103092</v>
      </c>
      <c r="E1806" s="19" t="s">
        <v>61</v>
      </c>
      <c r="F1806" s="19" t="s">
        <v>62</v>
      </c>
      <c r="G1806" s="19" t="s">
        <v>32</v>
      </c>
      <c r="H1806" s="19" t="s">
        <v>63</v>
      </c>
      <c r="I1806" s="19" t="s">
        <v>64</v>
      </c>
      <c r="J1806" s="19">
        <v>22</v>
      </c>
      <c r="K1806" s="19">
        <v>1.8599999999999998E-2</v>
      </c>
      <c r="L1806" s="19" t="s">
        <v>541</v>
      </c>
      <c r="M1806" s="19" t="s">
        <v>541</v>
      </c>
      <c r="N1806" s="19">
        <v>50</v>
      </c>
      <c r="O1806" s="19">
        <v>94.304123711299994</v>
      </c>
      <c r="P1806" s="19">
        <v>98.453608247399998</v>
      </c>
      <c r="Q1806" s="19">
        <v>49.226804123699999</v>
      </c>
      <c r="R1806" s="19" t="s">
        <v>870</v>
      </c>
      <c r="S1806" s="19">
        <v>0.9</v>
      </c>
      <c r="T1806" s="19">
        <v>0.9</v>
      </c>
      <c r="U1806" s="19">
        <v>44.304123711300001</v>
      </c>
      <c r="AA1806" s="19">
        <v>0</v>
      </c>
    </row>
    <row r="1807" spans="1:27" x14ac:dyDescent="0.25">
      <c r="A1807" s="19" t="s">
        <v>2431</v>
      </c>
      <c r="B1807" s="19" t="s">
        <v>2421</v>
      </c>
      <c r="C1807" s="19" t="s">
        <v>2422</v>
      </c>
      <c r="D1807" s="19">
        <v>1.7669999999999999</v>
      </c>
      <c r="E1807" s="19" t="s">
        <v>66</v>
      </c>
      <c r="F1807" s="19" t="s">
        <v>67</v>
      </c>
      <c r="G1807" s="19" t="s">
        <v>32</v>
      </c>
      <c r="H1807" s="19" t="s">
        <v>63</v>
      </c>
      <c r="I1807" s="19" t="s">
        <v>64</v>
      </c>
      <c r="J1807" s="19">
        <v>20</v>
      </c>
      <c r="K1807" s="19">
        <v>1.8599999999999998E-2</v>
      </c>
      <c r="L1807" s="19" t="s">
        <v>541</v>
      </c>
      <c r="M1807" s="19" t="s">
        <v>541</v>
      </c>
      <c r="N1807" s="19">
        <v>50</v>
      </c>
      <c r="O1807" s="19">
        <v>95</v>
      </c>
      <c r="P1807" s="19">
        <v>100</v>
      </c>
      <c r="Q1807" s="19">
        <v>50</v>
      </c>
      <c r="R1807" s="19" t="s">
        <v>870</v>
      </c>
      <c r="S1807" s="19">
        <v>0.9</v>
      </c>
      <c r="T1807" s="19">
        <v>0.9</v>
      </c>
      <c r="U1807" s="19">
        <v>45</v>
      </c>
      <c r="AA1807" s="19">
        <v>0</v>
      </c>
    </row>
    <row r="1808" spans="1:27" x14ac:dyDescent="0.25">
      <c r="A1808" s="19" t="s">
        <v>2432</v>
      </c>
      <c r="B1808" s="19" t="s">
        <v>2421</v>
      </c>
      <c r="C1808" s="19" t="s">
        <v>2422</v>
      </c>
      <c r="D1808" s="19">
        <v>1.7669999999999999</v>
      </c>
      <c r="E1808" s="19" t="s">
        <v>69</v>
      </c>
      <c r="F1808" s="19" t="s">
        <v>70</v>
      </c>
      <c r="G1808" s="19" t="s">
        <v>32</v>
      </c>
      <c r="H1808" s="19" t="s">
        <v>63</v>
      </c>
      <c r="I1808" s="19" t="s">
        <v>64</v>
      </c>
      <c r="J1808" s="19">
        <v>23</v>
      </c>
      <c r="K1808" s="19">
        <v>1.8599999999999998E-2</v>
      </c>
      <c r="L1808" s="19" t="s">
        <v>541</v>
      </c>
      <c r="M1808" s="19" t="s">
        <v>541</v>
      </c>
      <c r="N1808" s="19">
        <v>50</v>
      </c>
      <c r="O1808" s="19">
        <v>95</v>
      </c>
      <c r="P1808" s="19">
        <v>100</v>
      </c>
      <c r="Q1808" s="19">
        <v>50</v>
      </c>
      <c r="R1808" s="19" t="s">
        <v>870</v>
      </c>
      <c r="S1808" s="19">
        <v>0.9</v>
      </c>
      <c r="T1808" s="19">
        <v>0.9</v>
      </c>
      <c r="U1808" s="19">
        <v>45</v>
      </c>
      <c r="AA1808" s="19">
        <v>0</v>
      </c>
    </row>
    <row r="1809" spans="1:27" x14ac:dyDescent="0.25">
      <c r="A1809" s="19" t="s">
        <v>2433</v>
      </c>
      <c r="B1809" s="19" t="s">
        <v>2421</v>
      </c>
      <c r="C1809" s="19" t="s">
        <v>2422</v>
      </c>
      <c r="D1809" s="19">
        <v>1.7669999999999999</v>
      </c>
      <c r="E1809" s="19" t="s">
        <v>72</v>
      </c>
      <c r="F1809" s="19" t="s">
        <v>73</v>
      </c>
      <c r="G1809" s="19" t="s">
        <v>32</v>
      </c>
      <c r="H1809" s="19" t="s">
        <v>63</v>
      </c>
      <c r="I1809" s="19" t="s">
        <v>64</v>
      </c>
      <c r="J1809" s="19">
        <v>21</v>
      </c>
      <c r="K1809" s="19">
        <v>1.8599999999999998E-2</v>
      </c>
      <c r="L1809" s="19" t="s">
        <v>541</v>
      </c>
      <c r="M1809" s="19" t="s">
        <v>541</v>
      </c>
      <c r="N1809" s="19">
        <v>50</v>
      </c>
      <c r="O1809" s="19">
        <v>95</v>
      </c>
      <c r="P1809" s="19">
        <v>100</v>
      </c>
      <c r="Q1809" s="19">
        <v>50</v>
      </c>
      <c r="R1809" s="19" t="s">
        <v>870</v>
      </c>
      <c r="S1809" s="19">
        <v>0.9</v>
      </c>
      <c r="T1809" s="19">
        <v>0.9</v>
      </c>
      <c r="U1809" s="19">
        <v>45</v>
      </c>
      <c r="AA1809" s="19">
        <v>0</v>
      </c>
    </row>
    <row r="1810" spans="1:27" x14ac:dyDescent="0.25">
      <c r="A1810" s="19" t="s">
        <v>2434</v>
      </c>
      <c r="B1810" s="19" t="s">
        <v>2421</v>
      </c>
      <c r="C1810" s="19" t="s">
        <v>2422</v>
      </c>
      <c r="D1810" s="19">
        <v>1.7669999999999999</v>
      </c>
      <c r="E1810" s="19" t="s">
        <v>75</v>
      </c>
      <c r="F1810" s="19" t="s">
        <v>76</v>
      </c>
      <c r="G1810" s="19" t="s">
        <v>32</v>
      </c>
      <c r="H1810" s="19" t="s">
        <v>63</v>
      </c>
      <c r="I1810" s="19" t="s">
        <v>64</v>
      </c>
      <c r="J1810" s="19">
        <v>24</v>
      </c>
      <c r="K1810" s="19">
        <v>1.8599999999999998E-2</v>
      </c>
      <c r="L1810" s="19" t="s">
        <v>541</v>
      </c>
      <c r="M1810" s="19" t="s">
        <v>541</v>
      </c>
      <c r="N1810" s="19">
        <v>50</v>
      </c>
      <c r="O1810" s="19">
        <v>95</v>
      </c>
      <c r="P1810" s="19">
        <v>100</v>
      </c>
      <c r="Q1810" s="19">
        <v>50</v>
      </c>
      <c r="R1810" s="19" t="s">
        <v>870</v>
      </c>
      <c r="S1810" s="19">
        <v>0.9</v>
      </c>
      <c r="T1810" s="19">
        <v>0.9</v>
      </c>
      <c r="U1810" s="19">
        <v>45</v>
      </c>
      <c r="AA1810" s="19">
        <v>0</v>
      </c>
    </row>
    <row r="1811" spans="1:27" x14ac:dyDescent="0.25">
      <c r="A1811" s="19" t="s">
        <v>2435</v>
      </c>
      <c r="B1811" s="19" t="s">
        <v>2421</v>
      </c>
      <c r="C1811" s="19" t="s">
        <v>2422</v>
      </c>
      <c r="D1811" s="19">
        <v>3.0874999999999999</v>
      </c>
      <c r="E1811" s="19" t="s">
        <v>85</v>
      </c>
      <c r="F1811" s="19" t="s">
        <v>86</v>
      </c>
      <c r="G1811" s="19" t="s">
        <v>32</v>
      </c>
      <c r="H1811" s="19" t="s">
        <v>87</v>
      </c>
      <c r="I1811" s="19" t="s">
        <v>88</v>
      </c>
      <c r="J1811" s="19">
        <v>35</v>
      </c>
      <c r="K1811" s="19">
        <v>3.2500000000000001E-2</v>
      </c>
      <c r="L1811" s="19" t="s">
        <v>541</v>
      </c>
      <c r="M1811" s="19" t="s">
        <v>541</v>
      </c>
      <c r="N1811" s="19">
        <v>50</v>
      </c>
      <c r="O1811" s="19">
        <v>95</v>
      </c>
      <c r="P1811" s="19">
        <v>100</v>
      </c>
      <c r="Q1811" s="19">
        <v>50</v>
      </c>
      <c r="R1811" s="19" t="s">
        <v>870</v>
      </c>
      <c r="S1811" s="19">
        <v>0.9</v>
      </c>
      <c r="T1811" s="19">
        <v>0.9</v>
      </c>
      <c r="U1811" s="19">
        <v>45</v>
      </c>
      <c r="AA1811" s="19">
        <v>0</v>
      </c>
    </row>
    <row r="1812" spans="1:27" x14ac:dyDescent="0.25">
      <c r="A1812" s="19" t="s">
        <v>2436</v>
      </c>
      <c r="B1812" s="19" t="s">
        <v>2421</v>
      </c>
      <c r="C1812" s="19" t="s">
        <v>2422</v>
      </c>
      <c r="D1812" s="19">
        <v>3.0874999999999999</v>
      </c>
      <c r="E1812" s="19" t="s">
        <v>93</v>
      </c>
      <c r="F1812" s="19" t="s">
        <v>94</v>
      </c>
      <c r="G1812" s="19" t="s">
        <v>32</v>
      </c>
      <c r="H1812" s="19" t="s">
        <v>87</v>
      </c>
      <c r="I1812" s="19" t="s">
        <v>88</v>
      </c>
      <c r="J1812" s="19">
        <v>34</v>
      </c>
      <c r="K1812" s="19">
        <v>3.2500000000000001E-2</v>
      </c>
      <c r="L1812" s="19" t="s">
        <v>541</v>
      </c>
      <c r="M1812" s="19" t="s">
        <v>541</v>
      </c>
      <c r="N1812" s="19">
        <v>50</v>
      </c>
      <c r="O1812" s="19">
        <v>95</v>
      </c>
      <c r="P1812" s="19">
        <v>100</v>
      </c>
      <c r="Q1812" s="19">
        <v>50</v>
      </c>
      <c r="R1812" s="19" t="s">
        <v>870</v>
      </c>
      <c r="S1812" s="19">
        <v>0.9</v>
      </c>
      <c r="T1812" s="19">
        <v>0.9</v>
      </c>
      <c r="U1812" s="19">
        <v>45</v>
      </c>
      <c r="AA1812" s="19">
        <v>0</v>
      </c>
    </row>
    <row r="1813" spans="1:27" x14ac:dyDescent="0.25">
      <c r="A1813" s="19" t="s">
        <v>2437</v>
      </c>
      <c r="B1813" s="19" t="s">
        <v>2421</v>
      </c>
      <c r="C1813" s="19" t="s">
        <v>2422</v>
      </c>
      <c r="D1813" s="19">
        <v>2.1712773840206099</v>
      </c>
      <c r="E1813" s="19" t="s">
        <v>99</v>
      </c>
      <c r="F1813" s="19" t="s">
        <v>100</v>
      </c>
      <c r="G1813" s="19" t="s">
        <v>32</v>
      </c>
      <c r="H1813" s="19" t="s">
        <v>101</v>
      </c>
      <c r="I1813" s="19" t="s">
        <v>102</v>
      </c>
      <c r="J1813" s="19">
        <v>39</v>
      </c>
      <c r="K1813" s="19">
        <v>4.3299999999999998E-2</v>
      </c>
      <c r="L1813" s="19" t="s">
        <v>541</v>
      </c>
      <c r="M1813" s="19" t="s">
        <v>541</v>
      </c>
      <c r="N1813" s="19">
        <v>50</v>
      </c>
      <c r="O1813" s="19">
        <v>50.144974226800002</v>
      </c>
      <c r="P1813" s="19">
        <v>0.32216494845400001</v>
      </c>
      <c r="Q1813" s="19">
        <v>0.16108247422700001</v>
      </c>
      <c r="R1813" s="19" t="s">
        <v>870</v>
      </c>
      <c r="S1813" s="19">
        <v>0.9</v>
      </c>
      <c r="T1813" s="19">
        <v>0.9</v>
      </c>
      <c r="U1813" s="19">
        <v>0.14497422680399999</v>
      </c>
      <c r="AA1813" s="19">
        <v>0</v>
      </c>
    </row>
    <row r="1814" spans="1:27" x14ac:dyDescent="0.25">
      <c r="A1814" s="19" t="s">
        <v>2442</v>
      </c>
      <c r="B1814" s="19" t="s">
        <v>2421</v>
      </c>
      <c r="C1814" s="19" t="s">
        <v>2422</v>
      </c>
      <c r="D1814" s="19">
        <v>2.5</v>
      </c>
      <c r="E1814" s="19" t="s">
        <v>149</v>
      </c>
      <c r="F1814" s="19" t="s">
        <v>150</v>
      </c>
      <c r="G1814" s="19" t="s">
        <v>134</v>
      </c>
      <c r="H1814" s="19" t="s">
        <v>146</v>
      </c>
      <c r="I1814" s="19" t="s">
        <v>147</v>
      </c>
      <c r="J1814" s="19">
        <v>5</v>
      </c>
      <c r="K1814" s="19">
        <v>2.5000000000000001E-2</v>
      </c>
      <c r="L1814" s="19" t="s">
        <v>541</v>
      </c>
      <c r="M1814" s="19" t="s">
        <v>541</v>
      </c>
      <c r="N1814" s="19">
        <v>50</v>
      </c>
      <c r="O1814" s="19">
        <v>100</v>
      </c>
      <c r="P1814" s="19">
        <v>100</v>
      </c>
      <c r="Q1814" s="19">
        <v>50</v>
      </c>
      <c r="R1814" s="19" t="s">
        <v>870</v>
      </c>
      <c r="S1814" s="19">
        <v>0.9</v>
      </c>
      <c r="T1814" s="19">
        <v>1</v>
      </c>
      <c r="U1814" s="19">
        <v>50</v>
      </c>
      <c r="AA1814" s="19">
        <v>0</v>
      </c>
    </row>
    <row r="1815" spans="1:27" x14ac:dyDescent="0.25">
      <c r="A1815" s="19" t="s">
        <v>2445</v>
      </c>
      <c r="B1815" s="19" t="s">
        <v>2421</v>
      </c>
      <c r="C1815" s="19" t="s">
        <v>2422</v>
      </c>
      <c r="D1815" s="19">
        <v>1.30040322580645</v>
      </c>
      <c r="E1815" s="19" t="s">
        <v>158</v>
      </c>
      <c r="F1815" s="19" t="s">
        <v>159</v>
      </c>
      <c r="G1815" s="19" t="s">
        <v>134</v>
      </c>
      <c r="H1815" s="19" t="s">
        <v>146</v>
      </c>
      <c r="I1815" s="19" t="s">
        <v>147</v>
      </c>
      <c r="J1815" s="19">
        <v>8</v>
      </c>
      <c r="K1815" s="19">
        <v>2.5000000000000001E-2</v>
      </c>
      <c r="L1815" s="19" t="s">
        <v>541</v>
      </c>
      <c r="M1815" s="19" t="s">
        <v>541</v>
      </c>
      <c r="N1815" s="19">
        <v>50</v>
      </c>
      <c r="O1815" s="19">
        <v>52.0161290323</v>
      </c>
      <c r="P1815" s="19">
        <v>4.0322580645199997</v>
      </c>
      <c r="Q1815" s="19">
        <v>2.0161290322599998</v>
      </c>
      <c r="R1815" s="19" t="s">
        <v>870</v>
      </c>
      <c r="S1815" s="19">
        <v>0.9</v>
      </c>
      <c r="T1815" s="19">
        <v>1</v>
      </c>
      <c r="U1815" s="19">
        <v>2.0161290322599998</v>
      </c>
      <c r="AA1815" s="19">
        <v>0</v>
      </c>
    </row>
    <row r="1816" spans="1:27" x14ac:dyDescent="0.25">
      <c r="A1816" s="19" t="s">
        <v>2439</v>
      </c>
      <c r="B1816" s="19" t="s">
        <v>2421</v>
      </c>
      <c r="C1816" s="19" t="s">
        <v>2422</v>
      </c>
      <c r="D1816" s="19">
        <v>0.69493050000000001</v>
      </c>
      <c r="E1816" s="19" t="s">
        <v>137</v>
      </c>
      <c r="F1816" s="19" t="s">
        <v>138</v>
      </c>
      <c r="G1816" s="19" t="s">
        <v>134</v>
      </c>
      <c r="H1816" s="19" t="s">
        <v>87</v>
      </c>
      <c r="I1816" s="19" t="s">
        <v>135</v>
      </c>
      <c r="J1816" s="19">
        <v>9</v>
      </c>
      <c r="K1816" s="19">
        <v>4.1700000000000001E-2</v>
      </c>
      <c r="L1816" s="19" t="s">
        <v>35</v>
      </c>
      <c r="M1816" s="19" t="s">
        <v>110</v>
      </c>
      <c r="N1816" s="19">
        <v>16.664999999999999</v>
      </c>
      <c r="O1816" s="19">
        <v>16.664999999999999</v>
      </c>
      <c r="P1816" s="19">
        <v>0</v>
      </c>
      <c r="Q1816" s="19">
        <v>0</v>
      </c>
      <c r="R1816" s="19" t="s">
        <v>870</v>
      </c>
      <c r="S1816" s="19">
        <v>0.9</v>
      </c>
      <c r="T1816" s="19">
        <v>1</v>
      </c>
      <c r="U1816" s="19">
        <v>0</v>
      </c>
      <c r="W1816" s="19">
        <v>0</v>
      </c>
      <c r="X1816" s="19">
        <v>3</v>
      </c>
      <c r="Y1816" s="19" t="s">
        <v>110</v>
      </c>
      <c r="Z1816" s="19">
        <v>16.664999999999999</v>
      </c>
      <c r="AA1816" s="19">
        <v>16.664999999999999</v>
      </c>
    </row>
    <row r="1817" spans="1:27" x14ac:dyDescent="0.25">
      <c r="A1817" s="19" t="s">
        <v>2440</v>
      </c>
      <c r="B1817" s="19" t="s">
        <v>2421</v>
      </c>
      <c r="C1817" s="19" t="s">
        <v>2422</v>
      </c>
      <c r="D1817" s="19">
        <v>2.085</v>
      </c>
      <c r="E1817" s="19" t="s">
        <v>140</v>
      </c>
      <c r="F1817" s="19" t="s">
        <v>141</v>
      </c>
      <c r="G1817" s="19" t="s">
        <v>134</v>
      </c>
      <c r="H1817" s="19" t="s">
        <v>87</v>
      </c>
      <c r="I1817" s="19" t="s">
        <v>135</v>
      </c>
      <c r="J1817" s="19">
        <v>10</v>
      </c>
      <c r="K1817" s="19">
        <v>4.1700000000000001E-2</v>
      </c>
      <c r="L1817" s="19" t="s">
        <v>35</v>
      </c>
      <c r="M1817" s="19" t="s">
        <v>142</v>
      </c>
      <c r="N1817" s="19">
        <v>50</v>
      </c>
      <c r="O1817" s="19">
        <v>50</v>
      </c>
      <c r="P1817" s="19">
        <v>0</v>
      </c>
      <c r="Q1817" s="19">
        <v>0</v>
      </c>
      <c r="R1817" s="19" t="s">
        <v>870</v>
      </c>
      <c r="S1817" s="19">
        <v>0.9</v>
      </c>
      <c r="T1817" s="19">
        <v>1</v>
      </c>
      <c r="U1817" s="19">
        <v>0</v>
      </c>
      <c r="W1817" s="19">
        <v>0</v>
      </c>
      <c r="X1817" s="19">
        <v>3</v>
      </c>
      <c r="Y1817" s="19" t="s">
        <v>142</v>
      </c>
      <c r="Z1817" s="19">
        <v>50</v>
      </c>
      <c r="AA1817" s="19">
        <v>50</v>
      </c>
    </row>
    <row r="1818" spans="1:27" x14ac:dyDescent="0.25">
      <c r="A1818" s="19" t="s">
        <v>2443</v>
      </c>
      <c r="B1818" s="19" t="s">
        <v>2421</v>
      </c>
      <c r="C1818" s="19" t="s">
        <v>2422</v>
      </c>
      <c r="D1818" s="19">
        <v>1.25</v>
      </c>
      <c r="E1818" s="19" t="s">
        <v>152</v>
      </c>
      <c r="F1818" s="19" t="s">
        <v>153</v>
      </c>
      <c r="G1818" s="19" t="s">
        <v>134</v>
      </c>
      <c r="H1818" s="19" t="s">
        <v>146</v>
      </c>
      <c r="I1818" s="19" t="s">
        <v>147</v>
      </c>
      <c r="J1818" s="19">
        <v>6</v>
      </c>
      <c r="K1818" s="19">
        <v>2.5000000000000001E-2</v>
      </c>
      <c r="L1818" s="19" t="s">
        <v>35</v>
      </c>
      <c r="M1818" s="19" t="s">
        <v>103</v>
      </c>
      <c r="N1818" s="19">
        <v>50</v>
      </c>
      <c r="O1818" s="19">
        <v>50</v>
      </c>
      <c r="P1818" s="19">
        <v>0</v>
      </c>
      <c r="Q1818" s="19">
        <v>0</v>
      </c>
      <c r="R1818" s="19" t="s">
        <v>870</v>
      </c>
      <c r="S1818" s="19">
        <v>0.9</v>
      </c>
      <c r="T1818" s="19">
        <v>1</v>
      </c>
      <c r="U1818" s="19">
        <v>0</v>
      </c>
      <c r="V1818" s="19" t="s">
        <v>41</v>
      </c>
      <c r="W1818" s="19">
        <v>1</v>
      </c>
      <c r="Y1818" s="19" t="s">
        <v>103</v>
      </c>
      <c r="Z1818" s="19">
        <v>50</v>
      </c>
      <c r="AA1818" s="19">
        <v>50</v>
      </c>
    </row>
    <row r="1819" spans="1:27" x14ac:dyDescent="0.25">
      <c r="A1819" s="19" t="s">
        <v>2424</v>
      </c>
      <c r="B1819" s="19" t="s">
        <v>2421</v>
      </c>
      <c r="C1819" s="19" t="s">
        <v>2422</v>
      </c>
      <c r="D1819" s="19">
        <v>0.81499999999999995</v>
      </c>
      <c r="E1819" s="19" t="s">
        <v>43</v>
      </c>
      <c r="F1819" s="19" t="s">
        <v>44</v>
      </c>
      <c r="G1819" s="19" t="s">
        <v>32</v>
      </c>
      <c r="H1819" s="19" t="s">
        <v>33</v>
      </c>
      <c r="I1819" s="19" t="s">
        <v>34</v>
      </c>
      <c r="J1819" s="19">
        <v>18</v>
      </c>
      <c r="K1819" s="19">
        <v>1.6299999999999999E-2</v>
      </c>
      <c r="L1819" s="19" t="s">
        <v>35</v>
      </c>
      <c r="M1819" s="19" t="s">
        <v>142</v>
      </c>
      <c r="N1819" s="19">
        <v>50</v>
      </c>
      <c r="O1819" s="19">
        <v>50</v>
      </c>
      <c r="P1819" s="19">
        <v>0</v>
      </c>
      <c r="Q1819" s="19">
        <v>0</v>
      </c>
      <c r="R1819" s="19" t="s">
        <v>870</v>
      </c>
      <c r="S1819" s="19">
        <v>0.9</v>
      </c>
      <c r="T1819" s="19">
        <v>1</v>
      </c>
      <c r="U1819" s="19">
        <v>0</v>
      </c>
      <c r="V1819" s="19" t="s">
        <v>41</v>
      </c>
      <c r="W1819" s="19">
        <v>1</v>
      </c>
      <c r="Y1819" s="19" t="s">
        <v>142</v>
      </c>
      <c r="Z1819" s="19">
        <v>50</v>
      </c>
      <c r="AA1819" s="19">
        <v>50</v>
      </c>
    </row>
    <row r="1820" spans="1:27" x14ac:dyDescent="0.25">
      <c r="A1820" s="19" t="s">
        <v>2446</v>
      </c>
      <c r="B1820" s="19" t="s">
        <v>2421</v>
      </c>
      <c r="C1820" s="19" t="s">
        <v>2422</v>
      </c>
      <c r="D1820" s="19">
        <v>0</v>
      </c>
      <c r="E1820" s="19" t="s">
        <v>78</v>
      </c>
      <c r="F1820" s="19" t="s">
        <v>79</v>
      </c>
      <c r="G1820" s="19" t="s">
        <v>32</v>
      </c>
      <c r="H1820" s="19" t="s">
        <v>63</v>
      </c>
      <c r="I1820" s="19" t="s">
        <v>64</v>
      </c>
      <c r="J1820" s="19">
        <v>25</v>
      </c>
      <c r="K1820" s="19">
        <v>1.8599999999999998E-2</v>
      </c>
      <c r="L1820" s="19" t="s">
        <v>35</v>
      </c>
      <c r="M1820" s="19" t="s">
        <v>40</v>
      </c>
      <c r="N1820" s="19">
        <v>0</v>
      </c>
      <c r="O1820" s="19">
        <v>0</v>
      </c>
      <c r="P1820" s="19">
        <v>0</v>
      </c>
      <c r="Q1820" s="19">
        <v>0</v>
      </c>
      <c r="R1820" s="19" t="s">
        <v>870</v>
      </c>
      <c r="S1820" s="19">
        <v>0.9</v>
      </c>
      <c r="T1820" s="19">
        <v>1</v>
      </c>
      <c r="U1820" s="19">
        <v>0</v>
      </c>
      <c r="V1820" s="19" t="s">
        <v>80</v>
      </c>
      <c r="W1820" s="19">
        <v>0</v>
      </c>
      <c r="Y1820" s="19" t="s">
        <v>40</v>
      </c>
      <c r="Z1820" s="19">
        <v>33.33</v>
      </c>
      <c r="AA1820" s="19">
        <v>0</v>
      </c>
    </row>
    <row r="1821" spans="1:27" x14ac:dyDescent="0.25">
      <c r="A1821" s="19" t="s">
        <v>2447</v>
      </c>
      <c r="B1821" s="19" t="s">
        <v>2421</v>
      </c>
      <c r="C1821" s="19" t="s">
        <v>2422</v>
      </c>
      <c r="D1821" s="19">
        <v>0.92999999999999905</v>
      </c>
      <c r="E1821" s="19" t="s">
        <v>82</v>
      </c>
      <c r="F1821" s="19" t="s">
        <v>83</v>
      </c>
      <c r="G1821" s="19" t="s">
        <v>32</v>
      </c>
      <c r="H1821" s="19" t="s">
        <v>63</v>
      </c>
      <c r="I1821" s="19" t="s">
        <v>64</v>
      </c>
      <c r="J1821" s="19">
        <v>26</v>
      </c>
      <c r="K1821" s="19">
        <v>1.8599999999999998E-2</v>
      </c>
      <c r="L1821" s="19" t="s">
        <v>35</v>
      </c>
      <c r="M1821" s="19" t="s">
        <v>142</v>
      </c>
      <c r="N1821" s="19">
        <v>50</v>
      </c>
      <c r="O1821" s="19">
        <v>50</v>
      </c>
      <c r="P1821" s="19">
        <v>0</v>
      </c>
      <c r="Q1821" s="19">
        <v>0</v>
      </c>
      <c r="R1821" s="19" t="s">
        <v>870</v>
      </c>
      <c r="S1821" s="19">
        <v>0.9</v>
      </c>
      <c r="T1821" s="19">
        <v>1</v>
      </c>
      <c r="U1821" s="19">
        <v>0</v>
      </c>
      <c r="V1821" s="19" t="s">
        <v>41</v>
      </c>
      <c r="W1821" s="19">
        <v>1</v>
      </c>
      <c r="Y1821" s="19" t="s">
        <v>142</v>
      </c>
      <c r="Z1821" s="19">
        <v>50</v>
      </c>
      <c r="AA1821" s="19">
        <v>50</v>
      </c>
    </row>
    <row r="1822" spans="1:27" x14ac:dyDescent="0.25">
      <c r="A1822" s="19" t="s">
        <v>2448</v>
      </c>
      <c r="B1822" s="19" t="s">
        <v>2421</v>
      </c>
      <c r="C1822" s="19" t="s">
        <v>2422</v>
      </c>
      <c r="D1822" s="19">
        <v>0</v>
      </c>
      <c r="E1822" s="19" t="s">
        <v>90</v>
      </c>
      <c r="F1822" s="19" t="s">
        <v>91</v>
      </c>
      <c r="G1822" s="19" t="s">
        <v>32</v>
      </c>
      <c r="H1822" s="19" t="s">
        <v>87</v>
      </c>
      <c r="I1822" s="19" t="s">
        <v>88</v>
      </c>
      <c r="J1822" s="19">
        <v>33</v>
      </c>
      <c r="K1822" s="19">
        <v>3.2500000000000001E-2</v>
      </c>
      <c r="L1822" s="19" t="s">
        <v>35</v>
      </c>
      <c r="N1822" s="19">
        <v>0</v>
      </c>
      <c r="O1822" s="19">
        <v>0</v>
      </c>
      <c r="P1822" s="19">
        <v>0</v>
      </c>
      <c r="Q1822" s="19">
        <v>0</v>
      </c>
      <c r="R1822" s="19" t="s">
        <v>870</v>
      </c>
      <c r="S1822" s="19">
        <v>0.9</v>
      </c>
      <c r="T1822" s="19">
        <v>1</v>
      </c>
      <c r="U1822" s="19">
        <v>0</v>
      </c>
      <c r="V1822" s="19" t="s">
        <v>36</v>
      </c>
      <c r="W1822" s="19">
        <v>0</v>
      </c>
      <c r="Z1822" s="19">
        <v>0</v>
      </c>
      <c r="AA1822" s="19">
        <v>0</v>
      </c>
    </row>
    <row r="1823" spans="1:27" x14ac:dyDescent="0.25">
      <c r="A1823" s="19" t="s">
        <v>2449</v>
      </c>
      <c r="B1823" s="19" t="s">
        <v>2421</v>
      </c>
      <c r="C1823" s="19" t="s">
        <v>2422</v>
      </c>
      <c r="D1823" s="19">
        <v>0</v>
      </c>
      <c r="E1823" s="19" t="s">
        <v>96</v>
      </c>
      <c r="F1823" s="19" t="s">
        <v>97</v>
      </c>
      <c r="G1823" s="19" t="s">
        <v>32</v>
      </c>
      <c r="H1823" s="19" t="s">
        <v>87</v>
      </c>
      <c r="I1823" s="19" t="s">
        <v>88</v>
      </c>
      <c r="J1823" s="19">
        <v>36</v>
      </c>
      <c r="K1823" s="19">
        <v>3.2500000000000001E-2</v>
      </c>
      <c r="L1823" s="19" t="s">
        <v>35</v>
      </c>
      <c r="N1823" s="19">
        <v>0</v>
      </c>
      <c r="O1823" s="19">
        <v>0</v>
      </c>
      <c r="P1823" s="19">
        <v>0</v>
      </c>
      <c r="Q1823" s="19">
        <v>0</v>
      </c>
      <c r="R1823" s="19" t="s">
        <v>870</v>
      </c>
      <c r="S1823" s="19">
        <v>0.9</v>
      </c>
      <c r="T1823" s="19">
        <v>1</v>
      </c>
      <c r="U1823" s="19">
        <v>0</v>
      </c>
      <c r="V1823" s="19" t="s">
        <v>36</v>
      </c>
      <c r="W1823" s="19">
        <v>0</v>
      </c>
      <c r="Z1823" s="19">
        <v>0</v>
      </c>
      <c r="AA1823" s="19">
        <v>0</v>
      </c>
    </row>
    <row r="1824" spans="1:27" x14ac:dyDescent="0.25">
      <c r="A1824" s="19" t="s">
        <v>2450</v>
      </c>
      <c r="B1824" s="19" t="s">
        <v>2421</v>
      </c>
      <c r="C1824" s="19" t="s">
        <v>2422</v>
      </c>
      <c r="D1824" s="19">
        <v>0</v>
      </c>
      <c r="E1824" s="19" t="s">
        <v>105</v>
      </c>
      <c r="F1824" s="19" t="s">
        <v>106</v>
      </c>
      <c r="G1824" s="19" t="s">
        <v>32</v>
      </c>
      <c r="H1824" s="19" t="s">
        <v>101</v>
      </c>
      <c r="I1824" s="19" t="s">
        <v>102</v>
      </c>
      <c r="J1824" s="19">
        <v>38</v>
      </c>
      <c r="K1824" s="19">
        <v>4.3299999999999998E-2</v>
      </c>
      <c r="L1824" s="19" t="s">
        <v>35</v>
      </c>
      <c r="M1824" s="19" t="s">
        <v>103</v>
      </c>
      <c r="N1824" s="19">
        <v>0</v>
      </c>
      <c r="O1824" s="19">
        <v>0</v>
      </c>
      <c r="P1824" s="19">
        <v>0</v>
      </c>
      <c r="Q1824" s="19">
        <v>0</v>
      </c>
      <c r="R1824" s="19" t="s">
        <v>870</v>
      </c>
      <c r="S1824" s="19">
        <v>0.9</v>
      </c>
      <c r="T1824" s="19">
        <v>1</v>
      </c>
      <c r="U1824" s="19">
        <v>0</v>
      </c>
      <c r="V1824" s="19" t="s">
        <v>36</v>
      </c>
      <c r="W1824" s="19">
        <v>0</v>
      </c>
      <c r="Y1824" s="19" t="s">
        <v>103</v>
      </c>
      <c r="Z1824" s="19">
        <v>50</v>
      </c>
      <c r="AA1824" s="19">
        <v>0</v>
      </c>
    </row>
    <row r="1825" spans="1:27" x14ac:dyDescent="0.25">
      <c r="A1825" s="19" t="s">
        <v>2451</v>
      </c>
      <c r="B1825" s="19" t="s">
        <v>2421</v>
      </c>
      <c r="C1825" s="19" t="s">
        <v>2422</v>
      </c>
      <c r="D1825" s="19">
        <v>0</v>
      </c>
      <c r="E1825" s="19" t="s">
        <v>108</v>
      </c>
      <c r="F1825" s="19" t="s">
        <v>109</v>
      </c>
      <c r="G1825" s="19" t="s">
        <v>32</v>
      </c>
      <c r="H1825" s="19" t="s">
        <v>101</v>
      </c>
      <c r="I1825" s="19" t="s">
        <v>102</v>
      </c>
      <c r="J1825" s="19">
        <v>37</v>
      </c>
      <c r="K1825" s="19">
        <v>4.3299999999999998E-2</v>
      </c>
      <c r="L1825" s="19" t="s">
        <v>35</v>
      </c>
      <c r="M1825" s="19" t="s">
        <v>40</v>
      </c>
      <c r="N1825" s="19">
        <v>0</v>
      </c>
      <c r="O1825" s="19">
        <v>0</v>
      </c>
      <c r="P1825" s="19">
        <v>0</v>
      </c>
      <c r="Q1825" s="19">
        <v>0</v>
      </c>
      <c r="R1825" s="19" t="s">
        <v>870</v>
      </c>
      <c r="S1825" s="19">
        <v>0.9</v>
      </c>
      <c r="T1825" s="19">
        <v>1</v>
      </c>
      <c r="U1825" s="19">
        <v>0</v>
      </c>
      <c r="V1825" s="19" t="s">
        <v>80</v>
      </c>
      <c r="W1825" s="19">
        <v>0</v>
      </c>
      <c r="Y1825" s="19" t="s">
        <v>40</v>
      </c>
      <c r="Z1825" s="19">
        <v>33.33</v>
      </c>
      <c r="AA1825" s="19">
        <v>0</v>
      </c>
    </row>
    <row r="1826" spans="1:27" x14ac:dyDescent="0.25">
      <c r="A1826" s="19" t="s">
        <v>2452</v>
      </c>
      <c r="B1826" s="19" t="s">
        <v>2421</v>
      </c>
      <c r="C1826" s="19" t="s">
        <v>2422</v>
      </c>
      <c r="D1826" s="19">
        <v>0</v>
      </c>
      <c r="E1826" s="19" t="s">
        <v>112</v>
      </c>
      <c r="F1826" s="19" t="s">
        <v>113</v>
      </c>
      <c r="G1826" s="19" t="s">
        <v>32</v>
      </c>
      <c r="H1826" s="19" t="s">
        <v>114</v>
      </c>
      <c r="I1826" s="19" t="s">
        <v>115</v>
      </c>
      <c r="J1826" s="19">
        <v>30</v>
      </c>
      <c r="K1826" s="19">
        <v>2.1700000000000001E-2</v>
      </c>
      <c r="L1826" s="19" t="s">
        <v>35</v>
      </c>
      <c r="M1826" s="19" t="s">
        <v>103</v>
      </c>
      <c r="N1826" s="19">
        <v>0</v>
      </c>
      <c r="O1826" s="19">
        <v>0</v>
      </c>
      <c r="P1826" s="19">
        <v>0</v>
      </c>
      <c r="Q1826" s="19">
        <v>0</v>
      </c>
      <c r="R1826" s="19" t="s">
        <v>870</v>
      </c>
      <c r="S1826" s="19">
        <v>0.9</v>
      </c>
      <c r="T1826" s="19">
        <v>1</v>
      </c>
      <c r="U1826" s="19">
        <v>0</v>
      </c>
      <c r="V1826" s="19" t="s">
        <v>36</v>
      </c>
      <c r="W1826" s="19">
        <v>0</v>
      </c>
      <c r="Y1826" s="19" t="s">
        <v>103</v>
      </c>
      <c r="Z1826" s="19">
        <v>50</v>
      </c>
      <c r="AA1826" s="19">
        <v>0</v>
      </c>
    </row>
    <row r="1827" spans="1:27" x14ac:dyDescent="0.25">
      <c r="A1827" s="19" t="s">
        <v>2453</v>
      </c>
      <c r="B1827" s="19" t="s">
        <v>2421</v>
      </c>
      <c r="C1827" s="19" t="s">
        <v>2422</v>
      </c>
      <c r="D1827" s="19">
        <v>1.085</v>
      </c>
      <c r="E1827" s="19" t="s">
        <v>117</v>
      </c>
      <c r="F1827" s="19" t="s">
        <v>118</v>
      </c>
      <c r="G1827" s="19" t="s">
        <v>32</v>
      </c>
      <c r="H1827" s="19" t="s">
        <v>114</v>
      </c>
      <c r="I1827" s="19" t="s">
        <v>115</v>
      </c>
      <c r="J1827" s="19">
        <v>31</v>
      </c>
      <c r="K1827" s="19">
        <v>2.1700000000000001E-2</v>
      </c>
      <c r="L1827" s="19" t="s">
        <v>35</v>
      </c>
      <c r="M1827" s="19" t="s">
        <v>103</v>
      </c>
      <c r="N1827" s="19">
        <v>50</v>
      </c>
      <c r="O1827" s="19">
        <v>50</v>
      </c>
      <c r="P1827" s="19">
        <v>0</v>
      </c>
      <c r="Q1827" s="19">
        <v>0</v>
      </c>
      <c r="R1827" s="19" t="s">
        <v>870</v>
      </c>
      <c r="S1827" s="19">
        <v>0.9</v>
      </c>
      <c r="T1827" s="19">
        <v>1</v>
      </c>
      <c r="U1827" s="19">
        <v>0</v>
      </c>
      <c r="V1827" s="19" t="s">
        <v>41</v>
      </c>
      <c r="W1827" s="19">
        <v>1</v>
      </c>
      <c r="Y1827" s="19" t="s">
        <v>103</v>
      </c>
      <c r="Z1827" s="19">
        <v>50</v>
      </c>
      <c r="AA1827" s="19">
        <v>50</v>
      </c>
    </row>
    <row r="1828" spans="1:27" x14ac:dyDescent="0.25">
      <c r="A1828" s="19" t="s">
        <v>2454</v>
      </c>
      <c r="B1828" s="19" t="s">
        <v>2421</v>
      </c>
      <c r="C1828" s="19" t="s">
        <v>2422</v>
      </c>
      <c r="D1828" s="19">
        <v>0</v>
      </c>
      <c r="E1828" s="19" t="s">
        <v>120</v>
      </c>
      <c r="F1828" s="19" t="s">
        <v>121</v>
      </c>
      <c r="G1828" s="19" t="s">
        <v>32</v>
      </c>
      <c r="H1828" s="19" t="s">
        <v>114</v>
      </c>
      <c r="I1828" s="19" t="s">
        <v>115</v>
      </c>
      <c r="J1828" s="19">
        <v>28</v>
      </c>
      <c r="K1828" s="19">
        <v>2.1700000000000001E-2</v>
      </c>
      <c r="L1828" s="19" t="s">
        <v>35</v>
      </c>
      <c r="M1828" s="19" t="s">
        <v>103</v>
      </c>
      <c r="N1828" s="19">
        <v>0</v>
      </c>
      <c r="O1828" s="19">
        <v>0</v>
      </c>
      <c r="P1828" s="19">
        <v>0</v>
      </c>
      <c r="Q1828" s="19">
        <v>0</v>
      </c>
      <c r="R1828" s="19" t="s">
        <v>870</v>
      </c>
      <c r="S1828" s="19">
        <v>0.9</v>
      </c>
      <c r="T1828" s="19">
        <v>1</v>
      </c>
      <c r="U1828" s="19">
        <v>0</v>
      </c>
      <c r="V1828" s="19" t="s">
        <v>80</v>
      </c>
      <c r="W1828" s="19">
        <v>0</v>
      </c>
      <c r="Y1828" s="19" t="s">
        <v>103</v>
      </c>
      <c r="Z1828" s="19">
        <v>50</v>
      </c>
      <c r="AA1828" s="19">
        <v>0</v>
      </c>
    </row>
    <row r="1829" spans="1:27" x14ac:dyDescent="0.25">
      <c r="A1829" s="19" t="s">
        <v>2455</v>
      </c>
      <c r="B1829" s="19" t="s">
        <v>2421</v>
      </c>
      <c r="C1829" s="19" t="s">
        <v>2422</v>
      </c>
      <c r="D1829" s="19">
        <v>0</v>
      </c>
      <c r="E1829" s="19" t="s">
        <v>123</v>
      </c>
      <c r="F1829" s="19" t="s">
        <v>124</v>
      </c>
      <c r="G1829" s="19" t="s">
        <v>32</v>
      </c>
      <c r="H1829" s="19" t="s">
        <v>114</v>
      </c>
      <c r="I1829" s="19" t="s">
        <v>115</v>
      </c>
      <c r="J1829" s="19">
        <v>27</v>
      </c>
      <c r="K1829" s="19">
        <v>2.1700000000000001E-2</v>
      </c>
      <c r="L1829" s="19" t="s">
        <v>35</v>
      </c>
      <c r="M1829" s="19" t="s">
        <v>103</v>
      </c>
      <c r="N1829" s="19">
        <v>0</v>
      </c>
      <c r="O1829" s="19">
        <v>0</v>
      </c>
      <c r="P1829" s="19">
        <v>0</v>
      </c>
      <c r="Q1829" s="19">
        <v>0</v>
      </c>
      <c r="R1829" s="19" t="s">
        <v>870</v>
      </c>
      <c r="S1829" s="19">
        <v>0.9</v>
      </c>
      <c r="T1829" s="19">
        <v>1</v>
      </c>
      <c r="U1829" s="19">
        <v>0</v>
      </c>
      <c r="V1829" s="19" t="s">
        <v>36</v>
      </c>
      <c r="W1829" s="19">
        <v>0</v>
      </c>
      <c r="Y1829" s="19" t="s">
        <v>103</v>
      </c>
      <c r="Z1829" s="19">
        <v>50</v>
      </c>
      <c r="AA1829" s="19">
        <v>0</v>
      </c>
    </row>
    <row r="1830" spans="1:27" x14ac:dyDescent="0.25">
      <c r="A1830" s="19" t="s">
        <v>2456</v>
      </c>
      <c r="B1830" s="19" t="s">
        <v>2421</v>
      </c>
      <c r="C1830" s="19" t="s">
        <v>2422</v>
      </c>
      <c r="D1830" s="19">
        <v>1.085</v>
      </c>
      <c r="E1830" s="19" t="s">
        <v>126</v>
      </c>
      <c r="F1830" s="19" t="s">
        <v>127</v>
      </c>
      <c r="G1830" s="19" t="s">
        <v>32</v>
      </c>
      <c r="H1830" s="19" t="s">
        <v>114</v>
      </c>
      <c r="I1830" s="19" t="s">
        <v>115</v>
      </c>
      <c r="J1830" s="19">
        <v>29</v>
      </c>
      <c r="K1830" s="19">
        <v>2.1700000000000001E-2</v>
      </c>
      <c r="L1830" s="19" t="s">
        <v>35</v>
      </c>
      <c r="M1830" s="19" t="s">
        <v>103</v>
      </c>
      <c r="N1830" s="19">
        <v>50</v>
      </c>
      <c r="O1830" s="19">
        <v>50</v>
      </c>
      <c r="P1830" s="19">
        <v>0</v>
      </c>
      <c r="Q1830" s="19">
        <v>0</v>
      </c>
      <c r="R1830" s="19" t="s">
        <v>870</v>
      </c>
      <c r="S1830" s="19">
        <v>0.9</v>
      </c>
      <c r="T1830" s="19">
        <v>1</v>
      </c>
      <c r="U1830" s="19">
        <v>0</v>
      </c>
      <c r="V1830" s="19" t="s">
        <v>41</v>
      </c>
      <c r="W1830" s="19">
        <v>1</v>
      </c>
      <c r="Y1830" s="19" t="s">
        <v>103</v>
      </c>
      <c r="Z1830" s="19">
        <v>50</v>
      </c>
      <c r="AA1830" s="19">
        <v>50</v>
      </c>
    </row>
    <row r="1831" spans="1:27" x14ac:dyDescent="0.25">
      <c r="A1831" s="19" t="s">
        <v>2457</v>
      </c>
      <c r="B1831" s="19" t="s">
        <v>2421</v>
      </c>
      <c r="C1831" s="19" t="s">
        <v>2422</v>
      </c>
      <c r="D1831" s="19">
        <v>1.085</v>
      </c>
      <c r="E1831" s="19" t="s">
        <v>129</v>
      </c>
      <c r="F1831" s="19" t="s">
        <v>130</v>
      </c>
      <c r="G1831" s="19" t="s">
        <v>32</v>
      </c>
      <c r="H1831" s="19" t="s">
        <v>114</v>
      </c>
      <c r="I1831" s="19" t="s">
        <v>115</v>
      </c>
      <c r="J1831" s="19">
        <v>32</v>
      </c>
      <c r="K1831" s="19">
        <v>2.1700000000000001E-2</v>
      </c>
      <c r="L1831" s="19" t="s">
        <v>35</v>
      </c>
      <c r="M1831" s="19" t="s">
        <v>103</v>
      </c>
      <c r="N1831" s="19">
        <v>50</v>
      </c>
      <c r="O1831" s="19">
        <v>50</v>
      </c>
      <c r="P1831" s="19">
        <v>0</v>
      </c>
      <c r="Q1831" s="19">
        <v>0</v>
      </c>
      <c r="R1831" s="19" t="s">
        <v>870</v>
      </c>
      <c r="S1831" s="19">
        <v>0.9</v>
      </c>
      <c r="T1831" s="19">
        <v>1</v>
      </c>
      <c r="U1831" s="19">
        <v>0</v>
      </c>
      <c r="V1831" s="19" t="s">
        <v>41</v>
      </c>
      <c r="W1831" s="19">
        <v>1</v>
      </c>
      <c r="Y1831" s="19" t="s">
        <v>103</v>
      </c>
      <c r="Z1831" s="19">
        <v>50</v>
      </c>
      <c r="AA1831" s="19">
        <v>50</v>
      </c>
    </row>
    <row r="1832" spans="1:27" x14ac:dyDescent="0.25">
      <c r="A1832" s="19" t="s">
        <v>2458</v>
      </c>
      <c r="B1832" s="19" t="s">
        <v>2421</v>
      </c>
      <c r="C1832" s="19" t="s">
        <v>2422</v>
      </c>
      <c r="D1832" s="19">
        <v>1.1098889999999999</v>
      </c>
      <c r="E1832" s="19" t="s">
        <v>161</v>
      </c>
      <c r="F1832" s="19" t="s">
        <v>162</v>
      </c>
      <c r="G1832" s="19" t="s">
        <v>163</v>
      </c>
      <c r="I1832" s="19" t="s">
        <v>164</v>
      </c>
      <c r="J1832" s="19">
        <v>1</v>
      </c>
      <c r="K1832" s="19">
        <v>3.3300000000000003E-2</v>
      </c>
      <c r="L1832" s="19" t="s">
        <v>35</v>
      </c>
      <c r="M1832" s="19" t="s">
        <v>165</v>
      </c>
      <c r="N1832" s="19">
        <v>33.33</v>
      </c>
      <c r="O1832" s="19">
        <v>33.33</v>
      </c>
      <c r="P1832" s="19">
        <v>0</v>
      </c>
      <c r="Q1832" s="19">
        <v>0</v>
      </c>
      <c r="R1832" s="19" t="s">
        <v>870</v>
      </c>
      <c r="S1832" s="19">
        <v>0.9</v>
      </c>
      <c r="T1832" s="19">
        <v>1</v>
      </c>
      <c r="U1832" s="19">
        <v>0</v>
      </c>
      <c r="W1832" s="19">
        <v>0</v>
      </c>
      <c r="X1832" s="19">
        <v>33.33</v>
      </c>
      <c r="Z1832" s="19">
        <v>0</v>
      </c>
      <c r="AA1832" s="19">
        <v>33.33</v>
      </c>
    </row>
    <row r="1833" spans="1:27" x14ac:dyDescent="0.25">
      <c r="A1833" s="19" t="s">
        <v>2459</v>
      </c>
      <c r="B1833" s="19" t="s">
        <v>2421</v>
      </c>
      <c r="C1833" s="19" t="s">
        <v>2422</v>
      </c>
      <c r="D1833" s="19">
        <v>2.2197779999999998</v>
      </c>
      <c r="E1833" s="19" t="s">
        <v>167</v>
      </c>
      <c r="F1833" s="19" t="s">
        <v>168</v>
      </c>
      <c r="G1833" s="19" t="s">
        <v>163</v>
      </c>
      <c r="I1833" s="19" t="s">
        <v>164</v>
      </c>
      <c r="J1833" s="19">
        <v>3</v>
      </c>
      <c r="K1833" s="19">
        <v>3.3300000000000003E-2</v>
      </c>
      <c r="L1833" s="19" t="s">
        <v>35</v>
      </c>
      <c r="M1833" s="19" t="s">
        <v>165</v>
      </c>
      <c r="N1833" s="19">
        <v>66.66</v>
      </c>
      <c r="O1833" s="19">
        <v>66.66</v>
      </c>
      <c r="P1833" s="19">
        <v>0</v>
      </c>
      <c r="Q1833" s="19">
        <v>0</v>
      </c>
      <c r="R1833" s="19" t="s">
        <v>870</v>
      </c>
      <c r="S1833" s="19">
        <v>0.9</v>
      </c>
      <c r="T1833" s="19">
        <v>1</v>
      </c>
      <c r="U1833" s="19">
        <v>0</v>
      </c>
      <c r="W1833" s="19">
        <v>0</v>
      </c>
      <c r="X1833" s="19">
        <v>66.66</v>
      </c>
      <c r="Z1833" s="19">
        <v>0</v>
      </c>
      <c r="AA1833" s="19">
        <v>66.66</v>
      </c>
    </row>
    <row r="1834" spans="1:27" x14ac:dyDescent="0.25">
      <c r="A1834" s="19" t="s">
        <v>2460</v>
      </c>
      <c r="B1834" s="19" t="s">
        <v>2421</v>
      </c>
      <c r="C1834" s="19" t="s">
        <v>2422</v>
      </c>
      <c r="D1834" s="19">
        <v>0.93240000000000001</v>
      </c>
      <c r="E1834" s="19" t="s">
        <v>170</v>
      </c>
      <c r="F1834" s="19" t="s">
        <v>171</v>
      </c>
      <c r="G1834" s="19" t="s">
        <v>163</v>
      </c>
      <c r="I1834" s="19" t="s">
        <v>164</v>
      </c>
      <c r="J1834" s="19">
        <v>2</v>
      </c>
      <c r="K1834" s="19">
        <v>3.3300000000000003E-2</v>
      </c>
      <c r="L1834" s="19" t="s">
        <v>35</v>
      </c>
      <c r="M1834" s="19" t="s">
        <v>165</v>
      </c>
      <c r="N1834" s="19">
        <v>28</v>
      </c>
      <c r="O1834" s="19">
        <v>28</v>
      </c>
      <c r="P1834" s="19">
        <v>0</v>
      </c>
      <c r="Q1834" s="19">
        <v>0</v>
      </c>
      <c r="R1834" s="19" t="s">
        <v>870</v>
      </c>
      <c r="S1834" s="19">
        <v>0.9</v>
      </c>
      <c r="T1834" s="19">
        <v>1</v>
      </c>
      <c r="U1834" s="19">
        <v>0</v>
      </c>
      <c r="W1834" s="19">
        <v>0</v>
      </c>
      <c r="X1834" s="19">
        <v>28</v>
      </c>
      <c r="Z1834" s="19">
        <v>0</v>
      </c>
      <c r="AA1834" s="19">
        <v>28</v>
      </c>
    </row>
    <row r="1835" spans="1:27" x14ac:dyDescent="0.25">
      <c r="A1835" s="19" t="s">
        <v>2114</v>
      </c>
      <c r="B1835" s="19" t="s">
        <v>2095</v>
      </c>
      <c r="C1835" s="19">
        <v>41122</v>
      </c>
      <c r="D1835" s="19">
        <v>2.1646815286624199</v>
      </c>
      <c r="E1835" s="19" t="s">
        <v>132</v>
      </c>
      <c r="F1835" s="19" t="s">
        <v>133</v>
      </c>
      <c r="G1835" s="19" t="s">
        <v>134</v>
      </c>
      <c r="H1835" s="19" t="s">
        <v>87</v>
      </c>
      <c r="I1835" s="19" t="s">
        <v>135</v>
      </c>
      <c r="J1835" s="19">
        <v>11</v>
      </c>
      <c r="K1835" s="19">
        <v>4.1700000000000001E-2</v>
      </c>
      <c r="L1835" s="19" t="s">
        <v>541</v>
      </c>
      <c r="M1835" s="19" t="s">
        <v>541</v>
      </c>
      <c r="N1835" s="19">
        <v>50</v>
      </c>
      <c r="O1835" s="19">
        <v>51.910828025500003</v>
      </c>
      <c r="P1835" s="19">
        <v>3.8216560509600002</v>
      </c>
      <c r="Q1835" s="19">
        <v>1.9108280254800001</v>
      </c>
      <c r="R1835" s="19" t="s">
        <v>870</v>
      </c>
      <c r="S1835" s="19">
        <v>0.9</v>
      </c>
      <c r="T1835" s="19">
        <v>1</v>
      </c>
      <c r="U1835" s="19">
        <v>1.9108280254800001</v>
      </c>
      <c r="AA1835" s="19">
        <v>0</v>
      </c>
    </row>
    <row r="1836" spans="1:27" x14ac:dyDescent="0.25">
      <c r="A1836" s="19" t="s">
        <v>2115</v>
      </c>
      <c r="B1836" s="19" t="s">
        <v>2095</v>
      </c>
      <c r="C1836" s="19">
        <v>41122</v>
      </c>
      <c r="D1836" s="19">
        <v>4.17</v>
      </c>
      <c r="E1836" s="19" t="s">
        <v>137</v>
      </c>
      <c r="F1836" s="19" t="s">
        <v>138</v>
      </c>
      <c r="G1836" s="19" t="s">
        <v>134</v>
      </c>
      <c r="H1836" s="19" t="s">
        <v>87</v>
      </c>
      <c r="I1836" s="19" t="s">
        <v>135</v>
      </c>
      <c r="J1836" s="19">
        <v>9</v>
      </c>
      <c r="K1836" s="19">
        <v>4.1700000000000001E-2</v>
      </c>
      <c r="L1836" s="19" t="s">
        <v>541</v>
      </c>
      <c r="M1836" s="19" t="s">
        <v>541</v>
      </c>
      <c r="N1836" s="19">
        <v>50</v>
      </c>
      <c r="O1836" s="19">
        <v>100</v>
      </c>
      <c r="P1836" s="19">
        <v>100</v>
      </c>
      <c r="Q1836" s="19">
        <v>50</v>
      </c>
      <c r="R1836" s="19" t="s">
        <v>870</v>
      </c>
      <c r="S1836" s="19">
        <v>0.9</v>
      </c>
      <c r="T1836" s="19">
        <v>1</v>
      </c>
      <c r="U1836" s="19">
        <v>50</v>
      </c>
      <c r="AA1836" s="19">
        <v>0</v>
      </c>
    </row>
    <row r="1837" spans="1:27" x14ac:dyDescent="0.25">
      <c r="A1837" s="19" t="s">
        <v>2116</v>
      </c>
      <c r="B1837" s="19" t="s">
        <v>2095</v>
      </c>
      <c r="C1837" s="19">
        <v>41122</v>
      </c>
      <c r="D1837" s="19">
        <v>4.17</v>
      </c>
      <c r="E1837" s="19" t="s">
        <v>140</v>
      </c>
      <c r="F1837" s="19" t="s">
        <v>141</v>
      </c>
      <c r="G1837" s="19" t="s">
        <v>134</v>
      </c>
      <c r="H1837" s="19" t="s">
        <v>87</v>
      </c>
      <c r="I1837" s="19" t="s">
        <v>135</v>
      </c>
      <c r="J1837" s="19">
        <v>10</v>
      </c>
      <c r="K1837" s="19">
        <v>4.1700000000000001E-2</v>
      </c>
      <c r="L1837" s="19" t="s">
        <v>541</v>
      </c>
      <c r="M1837" s="19" t="s">
        <v>541</v>
      </c>
      <c r="N1837" s="19">
        <v>50</v>
      </c>
      <c r="O1837" s="19">
        <v>100</v>
      </c>
      <c r="P1837" s="19">
        <v>100</v>
      </c>
      <c r="Q1837" s="19">
        <v>50</v>
      </c>
      <c r="R1837" s="19" t="s">
        <v>870</v>
      </c>
      <c r="S1837" s="19">
        <v>0.9</v>
      </c>
      <c r="T1837" s="19">
        <v>1</v>
      </c>
      <c r="U1837" s="19">
        <v>50</v>
      </c>
      <c r="AA1837" s="19">
        <v>0</v>
      </c>
    </row>
    <row r="1838" spans="1:27" x14ac:dyDescent="0.25">
      <c r="A1838" s="19" t="s">
        <v>2094</v>
      </c>
      <c r="B1838" s="19" t="s">
        <v>2095</v>
      </c>
      <c r="C1838" s="19">
        <v>41122</v>
      </c>
      <c r="D1838" s="19">
        <v>1.54849999999999</v>
      </c>
      <c r="E1838" s="19" t="s">
        <v>30</v>
      </c>
      <c r="F1838" s="19" t="s">
        <v>31</v>
      </c>
      <c r="G1838" s="19" t="s">
        <v>32</v>
      </c>
      <c r="H1838" s="19" t="s">
        <v>33</v>
      </c>
      <c r="I1838" s="19" t="s">
        <v>34</v>
      </c>
      <c r="J1838" s="19">
        <v>17</v>
      </c>
      <c r="K1838" s="19">
        <v>1.6299999999999999E-2</v>
      </c>
      <c r="L1838" s="19" t="s">
        <v>541</v>
      </c>
      <c r="M1838" s="19" t="s">
        <v>541</v>
      </c>
      <c r="N1838" s="19">
        <v>50</v>
      </c>
      <c r="O1838" s="19">
        <v>95</v>
      </c>
      <c r="P1838" s="19">
        <v>100</v>
      </c>
      <c r="Q1838" s="19">
        <v>50</v>
      </c>
      <c r="R1838" s="19" t="s">
        <v>870</v>
      </c>
      <c r="S1838" s="19">
        <v>0.9</v>
      </c>
      <c r="T1838" s="19">
        <v>0.9</v>
      </c>
      <c r="U1838" s="19">
        <v>45</v>
      </c>
      <c r="AA1838" s="19">
        <v>0</v>
      </c>
    </row>
    <row r="1839" spans="1:27" x14ac:dyDescent="0.25">
      <c r="A1839" s="19" t="s">
        <v>2096</v>
      </c>
      <c r="B1839" s="19" t="s">
        <v>2095</v>
      </c>
      <c r="C1839" s="19">
        <v>41122</v>
      </c>
      <c r="D1839" s="19">
        <v>1.54849999999999</v>
      </c>
      <c r="E1839" s="19" t="s">
        <v>38</v>
      </c>
      <c r="F1839" s="19" t="s">
        <v>39</v>
      </c>
      <c r="G1839" s="19" t="s">
        <v>32</v>
      </c>
      <c r="H1839" s="19" t="s">
        <v>33</v>
      </c>
      <c r="I1839" s="19" t="s">
        <v>34</v>
      </c>
      <c r="J1839" s="19">
        <v>19</v>
      </c>
      <c r="K1839" s="19">
        <v>1.6299999999999999E-2</v>
      </c>
      <c r="L1839" s="19" t="s">
        <v>541</v>
      </c>
      <c r="M1839" s="19" t="s">
        <v>541</v>
      </c>
      <c r="N1839" s="19">
        <v>50</v>
      </c>
      <c r="O1839" s="19">
        <v>95</v>
      </c>
      <c r="P1839" s="19">
        <v>100</v>
      </c>
      <c r="Q1839" s="19">
        <v>50</v>
      </c>
      <c r="R1839" s="19" t="s">
        <v>870</v>
      </c>
      <c r="S1839" s="19">
        <v>0.9</v>
      </c>
      <c r="T1839" s="19">
        <v>0.9</v>
      </c>
      <c r="U1839" s="19">
        <v>45</v>
      </c>
      <c r="AA1839" s="19">
        <v>0</v>
      </c>
    </row>
    <row r="1840" spans="1:27" x14ac:dyDescent="0.25">
      <c r="A1840" s="19" t="s">
        <v>2097</v>
      </c>
      <c r="B1840" s="19" t="s">
        <v>2095</v>
      </c>
      <c r="C1840" s="19">
        <v>41122</v>
      </c>
      <c r="D1840" s="19">
        <v>1.54849999999999</v>
      </c>
      <c r="E1840" s="19" t="s">
        <v>43</v>
      </c>
      <c r="F1840" s="19" t="s">
        <v>44</v>
      </c>
      <c r="G1840" s="19" t="s">
        <v>32</v>
      </c>
      <c r="H1840" s="19" t="s">
        <v>33</v>
      </c>
      <c r="I1840" s="19" t="s">
        <v>34</v>
      </c>
      <c r="J1840" s="19">
        <v>18</v>
      </c>
      <c r="K1840" s="19">
        <v>1.6299999999999999E-2</v>
      </c>
      <c r="L1840" s="19" t="s">
        <v>541</v>
      </c>
      <c r="M1840" s="19" t="s">
        <v>541</v>
      </c>
      <c r="N1840" s="19">
        <v>50</v>
      </c>
      <c r="O1840" s="19">
        <v>95</v>
      </c>
      <c r="P1840" s="19">
        <v>100</v>
      </c>
      <c r="Q1840" s="19">
        <v>50</v>
      </c>
      <c r="R1840" s="19" t="s">
        <v>870</v>
      </c>
      <c r="S1840" s="19">
        <v>0.9</v>
      </c>
      <c r="T1840" s="19">
        <v>0.9</v>
      </c>
      <c r="U1840" s="19">
        <v>45</v>
      </c>
      <c r="AA1840" s="19">
        <v>0</v>
      </c>
    </row>
    <row r="1841" spans="1:27" x14ac:dyDescent="0.25">
      <c r="A1841" s="19" t="s">
        <v>2098</v>
      </c>
      <c r="B1841" s="19" t="s">
        <v>2095</v>
      </c>
      <c r="C1841" s="19">
        <v>41122</v>
      </c>
      <c r="D1841" s="19">
        <v>1.5117321127057799</v>
      </c>
      <c r="E1841" s="19" t="s">
        <v>46</v>
      </c>
      <c r="F1841" s="19" t="s">
        <v>47</v>
      </c>
      <c r="G1841" s="19" t="s">
        <v>32</v>
      </c>
      <c r="H1841" s="19" t="s">
        <v>33</v>
      </c>
      <c r="I1841" s="19" t="s">
        <v>34</v>
      </c>
      <c r="J1841" s="19">
        <v>15</v>
      </c>
      <c r="K1841" s="19">
        <v>1.6299999999999999E-2</v>
      </c>
      <c r="L1841" s="19" t="s">
        <v>541</v>
      </c>
      <c r="M1841" s="19" t="s">
        <v>541</v>
      </c>
      <c r="N1841" s="19">
        <v>50</v>
      </c>
      <c r="O1841" s="19">
        <v>92.744301393000001</v>
      </c>
      <c r="P1841" s="19">
        <v>94.987336428899994</v>
      </c>
      <c r="Q1841" s="19">
        <v>47.493668214400003</v>
      </c>
      <c r="R1841" s="19" t="s">
        <v>870</v>
      </c>
      <c r="S1841" s="19">
        <v>0.9</v>
      </c>
      <c r="T1841" s="19">
        <v>0.9</v>
      </c>
      <c r="U1841" s="19">
        <v>42.744301393000001</v>
      </c>
      <c r="AA1841" s="19">
        <v>0</v>
      </c>
    </row>
    <row r="1842" spans="1:27" x14ac:dyDescent="0.25">
      <c r="A1842" s="19" t="s">
        <v>2099</v>
      </c>
      <c r="B1842" s="19" t="s">
        <v>2095</v>
      </c>
      <c r="C1842" s="19">
        <v>41122</v>
      </c>
      <c r="D1842" s="19">
        <v>1.5397531131279001</v>
      </c>
      <c r="E1842" s="19" t="s">
        <v>55</v>
      </c>
      <c r="F1842" s="19" t="s">
        <v>56</v>
      </c>
      <c r="G1842" s="19" t="s">
        <v>32</v>
      </c>
      <c r="H1842" s="19" t="s">
        <v>33</v>
      </c>
      <c r="I1842" s="19" t="s">
        <v>34</v>
      </c>
      <c r="J1842" s="19">
        <v>14</v>
      </c>
      <c r="K1842" s="19">
        <v>1.6299999999999999E-2</v>
      </c>
      <c r="L1842" s="19" t="s">
        <v>541</v>
      </c>
      <c r="M1842" s="19" t="s">
        <v>541</v>
      </c>
      <c r="N1842" s="19">
        <v>50</v>
      </c>
      <c r="O1842" s="19">
        <v>94.463381173499997</v>
      </c>
      <c r="P1842" s="19">
        <v>98.807513718899997</v>
      </c>
      <c r="Q1842" s="19">
        <v>49.403756859399998</v>
      </c>
      <c r="R1842" s="19" t="s">
        <v>870</v>
      </c>
      <c r="S1842" s="19">
        <v>0.9</v>
      </c>
      <c r="T1842" s="19">
        <v>0.9</v>
      </c>
      <c r="U1842" s="19">
        <v>44.463381173499997</v>
      </c>
      <c r="AA1842" s="19">
        <v>0</v>
      </c>
    </row>
    <row r="1843" spans="1:27" x14ac:dyDescent="0.25">
      <c r="A1843" s="19" t="s">
        <v>2100</v>
      </c>
      <c r="B1843" s="19" t="s">
        <v>2095</v>
      </c>
      <c r="C1843" s="19">
        <v>41122</v>
      </c>
      <c r="D1843" s="19">
        <v>1.54849999999999</v>
      </c>
      <c r="E1843" s="19" t="s">
        <v>58</v>
      </c>
      <c r="F1843" s="19" t="s">
        <v>59</v>
      </c>
      <c r="G1843" s="19" t="s">
        <v>32</v>
      </c>
      <c r="H1843" s="19" t="s">
        <v>33</v>
      </c>
      <c r="I1843" s="19" t="s">
        <v>34</v>
      </c>
      <c r="J1843" s="19">
        <v>13</v>
      </c>
      <c r="K1843" s="19">
        <v>1.6299999999999999E-2</v>
      </c>
      <c r="L1843" s="19" t="s">
        <v>541</v>
      </c>
      <c r="M1843" s="19" t="s">
        <v>541</v>
      </c>
      <c r="N1843" s="19">
        <v>50</v>
      </c>
      <c r="O1843" s="19">
        <v>95</v>
      </c>
      <c r="P1843" s="19">
        <v>100</v>
      </c>
      <c r="Q1843" s="19">
        <v>50</v>
      </c>
      <c r="R1843" s="19" t="s">
        <v>870</v>
      </c>
      <c r="S1843" s="19">
        <v>0.9</v>
      </c>
      <c r="T1843" s="19">
        <v>0.9</v>
      </c>
      <c r="U1843" s="19">
        <v>45</v>
      </c>
      <c r="AA1843" s="19">
        <v>0</v>
      </c>
    </row>
    <row r="1844" spans="1:27" x14ac:dyDescent="0.25">
      <c r="A1844" s="19" t="s">
        <v>2101</v>
      </c>
      <c r="B1844" s="19" t="s">
        <v>2095</v>
      </c>
      <c r="C1844" s="19">
        <v>41122</v>
      </c>
      <c r="D1844" s="19">
        <v>1.7669999999999999</v>
      </c>
      <c r="E1844" s="19" t="s">
        <v>61</v>
      </c>
      <c r="F1844" s="19" t="s">
        <v>62</v>
      </c>
      <c r="G1844" s="19" t="s">
        <v>32</v>
      </c>
      <c r="H1844" s="19" t="s">
        <v>63</v>
      </c>
      <c r="I1844" s="19" t="s">
        <v>64</v>
      </c>
      <c r="J1844" s="19">
        <v>22</v>
      </c>
      <c r="K1844" s="19">
        <v>1.8599999999999998E-2</v>
      </c>
      <c r="L1844" s="19" t="s">
        <v>541</v>
      </c>
      <c r="M1844" s="19" t="s">
        <v>541</v>
      </c>
      <c r="N1844" s="19">
        <v>50</v>
      </c>
      <c r="O1844" s="19">
        <v>95</v>
      </c>
      <c r="P1844" s="19">
        <v>100</v>
      </c>
      <c r="Q1844" s="19">
        <v>50</v>
      </c>
      <c r="R1844" s="19" t="s">
        <v>870</v>
      </c>
      <c r="S1844" s="19">
        <v>0.9</v>
      </c>
      <c r="T1844" s="19">
        <v>0.9</v>
      </c>
      <c r="U1844" s="19">
        <v>45</v>
      </c>
      <c r="AA1844" s="19">
        <v>0</v>
      </c>
    </row>
    <row r="1845" spans="1:27" x14ac:dyDescent="0.25">
      <c r="A1845" s="19" t="s">
        <v>2102</v>
      </c>
      <c r="B1845" s="19" t="s">
        <v>2095</v>
      </c>
      <c r="C1845" s="19">
        <v>41122</v>
      </c>
      <c r="D1845" s="19">
        <v>1.7669999999999999</v>
      </c>
      <c r="E1845" s="19" t="s">
        <v>66</v>
      </c>
      <c r="F1845" s="19" t="s">
        <v>67</v>
      </c>
      <c r="G1845" s="19" t="s">
        <v>32</v>
      </c>
      <c r="H1845" s="19" t="s">
        <v>63</v>
      </c>
      <c r="I1845" s="19" t="s">
        <v>64</v>
      </c>
      <c r="J1845" s="19">
        <v>20</v>
      </c>
      <c r="K1845" s="19">
        <v>1.8599999999999998E-2</v>
      </c>
      <c r="L1845" s="19" t="s">
        <v>541</v>
      </c>
      <c r="M1845" s="19" t="s">
        <v>541</v>
      </c>
      <c r="N1845" s="19">
        <v>50</v>
      </c>
      <c r="O1845" s="19">
        <v>95</v>
      </c>
      <c r="P1845" s="19">
        <v>100</v>
      </c>
      <c r="Q1845" s="19">
        <v>50</v>
      </c>
      <c r="R1845" s="19" t="s">
        <v>870</v>
      </c>
      <c r="S1845" s="19">
        <v>0.9</v>
      </c>
      <c r="T1845" s="19">
        <v>0.9</v>
      </c>
      <c r="U1845" s="19">
        <v>45</v>
      </c>
      <c r="AA1845" s="19">
        <v>0</v>
      </c>
    </row>
    <row r="1846" spans="1:27" x14ac:dyDescent="0.25">
      <c r="A1846" s="19" t="s">
        <v>2103</v>
      </c>
      <c r="B1846" s="19" t="s">
        <v>2095</v>
      </c>
      <c r="C1846" s="19">
        <v>41122</v>
      </c>
      <c r="D1846" s="19">
        <v>1.7669999999999999</v>
      </c>
      <c r="E1846" s="19" t="s">
        <v>69</v>
      </c>
      <c r="F1846" s="19" t="s">
        <v>70</v>
      </c>
      <c r="G1846" s="19" t="s">
        <v>32</v>
      </c>
      <c r="H1846" s="19" t="s">
        <v>63</v>
      </c>
      <c r="I1846" s="19" t="s">
        <v>64</v>
      </c>
      <c r="J1846" s="19">
        <v>23</v>
      </c>
      <c r="K1846" s="19">
        <v>1.8599999999999998E-2</v>
      </c>
      <c r="L1846" s="19" t="s">
        <v>541</v>
      </c>
      <c r="M1846" s="19" t="s">
        <v>541</v>
      </c>
      <c r="N1846" s="19">
        <v>50</v>
      </c>
      <c r="O1846" s="19">
        <v>95</v>
      </c>
      <c r="P1846" s="19">
        <v>100</v>
      </c>
      <c r="Q1846" s="19">
        <v>50</v>
      </c>
      <c r="R1846" s="19" t="s">
        <v>870</v>
      </c>
      <c r="S1846" s="19">
        <v>0.9</v>
      </c>
      <c r="T1846" s="19">
        <v>0.9</v>
      </c>
      <c r="U1846" s="19">
        <v>45</v>
      </c>
      <c r="AA1846" s="19">
        <v>0</v>
      </c>
    </row>
    <row r="1847" spans="1:27" x14ac:dyDescent="0.25">
      <c r="A1847" s="19" t="s">
        <v>2104</v>
      </c>
      <c r="B1847" s="19" t="s">
        <v>2095</v>
      </c>
      <c r="C1847" s="19">
        <v>41122</v>
      </c>
      <c r="D1847" s="19">
        <v>1.7669999999999999</v>
      </c>
      <c r="E1847" s="19" t="s">
        <v>72</v>
      </c>
      <c r="F1847" s="19" t="s">
        <v>73</v>
      </c>
      <c r="G1847" s="19" t="s">
        <v>32</v>
      </c>
      <c r="H1847" s="19" t="s">
        <v>63</v>
      </c>
      <c r="I1847" s="19" t="s">
        <v>64</v>
      </c>
      <c r="J1847" s="19">
        <v>21</v>
      </c>
      <c r="K1847" s="19">
        <v>1.8599999999999998E-2</v>
      </c>
      <c r="L1847" s="19" t="s">
        <v>541</v>
      </c>
      <c r="M1847" s="19" t="s">
        <v>541</v>
      </c>
      <c r="N1847" s="19">
        <v>50</v>
      </c>
      <c r="O1847" s="19">
        <v>95</v>
      </c>
      <c r="P1847" s="19">
        <v>100</v>
      </c>
      <c r="Q1847" s="19">
        <v>50</v>
      </c>
      <c r="R1847" s="19" t="s">
        <v>870</v>
      </c>
      <c r="S1847" s="19">
        <v>0.9</v>
      </c>
      <c r="T1847" s="19">
        <v>0.9</v>
      </c>
      <c r="U1847" s="19">
        <v>45</v>
      </c>
      <c r="AA1847" s="19">
        <v>0</v>
      </c>
    </row>
    <row r="1848" spans="1:27" x14ac:dyDescent="0.25">
      <c r="A1848" s="19" t="s">
        <v>2105</v>
      </c>
      <c r="B1848" s="19" t="s">
        <v>2095</v>
      </c>
      <c r="C1848" s="19">
        <v>41122</v>
      </c>
      <c r="D1848" s="19">
        <v>1.74986428872942</v>
      </c>
      <c r="E1848" s="19" t="s">
        <v>75</v>
      </c>
      <c r="F1848" s="19" t="s">
        <v>76</v>
      </c>
      <c r="G1848" s="19" t="s">
        <v>32</v>
      </c>
      <c r="H1848" s="19" t="s">
        <v>63</v>
      </c>
      <c r="I1848" s="19" t="s">
        <v>64</v>
      </c>
      <c r="J1848" s="19">
        <v>24</v>
      </c>
      <c r="K1848" s="19">
        <v>1.8599999999999998E-2</v>
      </c>
      <c r="L1848" s="19" t="s">
        <v>541</v>
      </c>
      <c r="M1848" s="19" t="s">
        <v>541</v>
      </c>
      <c r="N1848" s="19">
        <v>50</v>
      </c>
      <c r="O1848" s="19">
        <v>94.078725200500003</v>
      </c>
      <c r="P1848" s="19">
        <v>97.952722667800003</v>
      </c>
      <c r="Q1848" s="19">
        <v>48.976361333900002</v>
      </c>
      <c r="R1848" s="19" t="s">
        <v>870</v>
      </c>
      <c r="S1848" s="19">
        <v>0.9</v>
      </c>
      <c r="T1848" s="19">
        <v>0.9</v>
      </c>
      <c r="U1848" s="19">
        <v>44.078725200500003</v>
      </c>
      <c r="AA1848" s="19">
        <v>0</v>
      </c>
    </row>
    <row r="1849" spans="1:27" x14ac:dyDescent="0.25">
      <c r="A1849" s="19" t="s">
        <v>2106</v>
      </c>
      <c r="B1849" s="19" t="s">
        <v>2095</v>
      </c>
      <c r="C1849" s="19">
        <v>41122</v>
      </c>
      <c r="D1849" s="19">
        <v>1.7669999999999999</v>
      </c>
      <c r="E1849" s="19" t="s">
        <v>78</v>
      </c>
      <c r="F1849" s="19" t="s">
        <v>79</v>
      </c>
      <c r="G1849" s="19" t="s">
        <v>32</v>
      </c>
      <c r="H1849" s="19" t="s">
        <v>63</v>
      </c>
      <c r="I1849" s="19" t="s">
        <v>64</v>
      </c>
      <c r="J1849" s="19">
        <v>25</v>
      </c>
      <c r="K1849" s="19">
        <v>1.8599999999999998E-2</v>
      </c>
      <c r="L1849" s="19" t="s">
        <v>541</v>
      </c>
      <c r="M1849" s="19" t="s">
        <v>541</v>
      </c>
      <c r="N1849" s="19">
        <v>50</v>
      </c>
      <c r="O1849" s="19">
        <v>95</v>
      </c>
      <c r="P1849" s="19">
        <v>100</v>
      </c>
      <c r="Q1849" s="19">
        <v>50</v>
      </c>
      <c r="R1849" s="19" t="s">
        <v>870</v>
      </c>
      <c r="S1849" s="19">
        <v>0.9</v>
      </c>
      <c r="T1849" s="19">
        <v>0.9</v>
      </c>
      <c r="U1849" s="19">
        <v>45</v>
      </c>
      <c r="AA1849" s="19">
        <v>0</v>
      </c>
    </row>
    <row r="1850" spans="1:27" x14ac:dyDescent="0.25">
      <c r="A1850" s="19" t="s">
        <v>2107</v>
      </c>
      <c r="B1850" s="19" t="s">
        <v>2095</v>
      </c>
      <c r="C1850" s="19">
        <v>41122</v>
      </c>
      <c r="D1850" s="19">
        <v>1.7669999999999999</v>
      </c>
      <c r="E1850" s="19" t="s">
        <v>82</v>
      </c>
      <c r="F1850" s="19" t="s">
        <v>83</v>
      </c>
      <c r="G1850" s="19" t="s">
        <v>32</v>
      </c>
      <c r="H1850" s="19" t="s">
        <v>63</v>
      </c>
      <c r="I1850" s="19" t="s">
        <v>64</v>
      </c>
      <c r="J1850" s="19">
        <v>26</v>
      </c>
      <c r="K1850" s="19">
        <v>1.8599999999999998E-2</v>
      </c>
      <c r="L1850" s="19" t="s">
        <v>541</v>
      </c>
      <c r="M1850" s="19" t="s">
        <v>541</v>
      </c>
      <c r="N1850" s="19">
        <v>50</v>
      </c>
      <c r="O1850" s="19">
        <v>95</v>
      </c>
      <c r="P1850" s="19">
        <v>100</v>
      </c>
      <c r="Q1850" s="19">
        <v>50</v>
      </c>
      <c r="R1850" s="19" t="s">
        <v>870</v>
      </c>
      <c r="S1850" s="19">
        <v>0.9</v>
      </c>
      <c r="T1850" s="19">
        <v>0.9</v>
      </c>
      <c r="U1850" s="19">
        <v>45</v>
      </c>
      <c r="AA1850" s="19">
        <v>0</v>
      </c>
    </row>
    <row r="1851" spans="1:27" x14ac:dyDescent="0.25">
      <c r="A1851" s="19" t="s">
        <v>2108</v>
      </c>
      <c r="B1851" s="19" t="s">
        <v>2095</v>
      </c>
      <c r="C1851" s="19">
        <v>41122</v>
      </c>
      <c r="D1851" s="19">
        <v>3.0874999999999999</v>
      </c>
      <c r="E1851" s="19" t="s">
        <v>85</v>
      </c>
      <c r="F1851" s="19" t="s">
        <v>86</v>
      </c>
      <c r="G1851" s="19" t="s">
        <v>32</v>
      </c>
      <c r="H1851" s="19" t="s">
        <v>87</v>
      </c>
      <c r="I1851" s="19" t="s">
        <v>88</v>
      </c>
      <c r="J1851" s="19">
        <v>35</v>
      </c>
      <c r="K1851" s="19">
        <v>3.2500000000000001E-2</v>
      </c>
      <c r="L1851" s="19" t="s">
        <v>541</v>
      </c>
      <c r="M1851" s="19" t="s">
        <v>541</v>
      </c>
      <c r="N1851" s="19">
        <v>50</v>
      </c>
      <c r="O1851" s="19">
        <v>95</v>
      </c>
      <c r="P1851" s="19">
        <v>100</v>
      </c>
      <c r="Q1851" s="19">
        <v>50</v>
      </c>
      <c r="R1851" s="19" t="s">
        <v>870</v>
      </c>
      <c r="S1851" s="19">
        <v>0.9</v>
      </c>
      <c r="T1851" s="19">
        <v>0.9</v>
      </c>
      <c r="U1851" s="19">
        <v>45</v>
      </c>
      <c r="AA1851" s="19">
        <v>0</v>
      </c>
    </row>
    <row r="1852" spans="1:27" x14ac:dyDescent="0.25">
      <c r="A1852" s="19" t="s">
        <v>2109</v>
      </c>
      <c r="B1852" s="19" t="s">
        <v>2095</v>
      </c>
      <c r="C1852" s="19">
        <v>41122</v>
      </c>
      <c r="D1852" s="19">
        <v>2.2844149948114798</v>
      </c>
      <c r="E1852" s="19" t="s">
        <v>90</v>
      </c>
      <c r="F1852" s="19" t="s">
        <v>91</v>
      </c>
      <c r="G1852" s="19" t="s">
        <v>32</v>
      </c>
      <c r="H1852" s="19" t="s">
        <v>87</v>
      </c>
      <c r="I1852" s="19" t="s">
        <v>88</v>
      </c>
      <c r="J1852" s="19">
        <v>33</v>
      </c>
      <c r="K1852" s="19">
        <v>3.2500000000000001E-2</v>
      </c>
      <c r="L1852" s="19" t="s">
        <v>541</v>
      </c>
      <c r="M1852" s="19" t="s">
        <v>541</v>
      </c>
      <c r="N1852" s="19">
        <v>50</v>
      </c>
      <c r="O1852" s="19">
        <v>70.289692148</v>
      </c>
      <c r="P1852" s="19">
        <v>45.088204773400001</v>
      </c>
      <c r="Q1852" s="19">
        <v>22.544102386700001</v>
      </c>
      <c r="R1852" s="19" t="s">
        <v>870</v>
      </c>
      <c r="S1852" s="19">
        <v>0.9</v>
      </c>
      <c r="T1852" s="19">
        <v>0.9</v>
      </c>
      <c r="U1852" s="19">
        <v>20.289692148</v>
      </c>
      <c r="AA1852" s="19">
        <v>0</v>
      </c>
    </row>
    <row r="1853" spans="1:27" x14ac:dyDescent="0.25">
      <c r="A1853" s="19" t="s">
        <v>2110</v>
      </c>
      <c r="B1853" s="19" t="s">
        <v>2095</v>
      </c>
      <c r="C1853" s="19">
        <v>41122</v>
      </c>
      <c r="D1853" s="19">
        <v>3.03162990713381</v>
      </c>
      <c r="E1853" s="19" t="s">
        <v>93</v>
      </c>
      <c r="F1853" s="19" t="s">
        <v>94</v>
      </c>
      <c r="G1853" s="19" t="s">
        <v>32</v>
      </c>
      <c r="H1853" s="19" t="s">
        <v>87</v>
      </c>
      <c r="I1853" s="19" t="s">
        <v>88</v>
      </c>
      <c r="J1853" s="19">
        <v>34</v>
      </c>
      <c r="K1853" s="19">
        <v>3.2500000000000001E-2</v>
      </c>
      <c r="L1853" s="19" t="s">
        <v>541</v>
      </c>
      <c r="M1853" s="19" t="s">
        <v>541</v>
      </c>
      <c r="N1853" s="19">
        <v>50</v>
      </c>
      <c r="O1853" s="19">
        <v>93.280920219500004</v>
      </c>
      <c r="P1853" s="19">
        <v>96.179822709999996</v>
      </c>
      <c r="Q1853" s="19">
        <v>48.089911354999998</v>
      </c>
      <c r="R1853" s="19" t="s">
        <v>870</v>
      </c>
      <c r="S1853" s="19">
        <v>0.9</v>
      </c>
      <c r="T1853" s="19">
        <v>0.9</v>
      </c>
      <c r="U1853" s="19">
        <v>43.280920219499997</v>
      </c>
      <c r="AA1853" s="19">
        <v>0</v>
      </c>
    </row>
    <row r="1854" spans="1:27" x14ac:dyDescent="0.25">
      <c r="A1854" s="19" t="s">
        <v>2111</v>
      </c>
      <c r="B1854" s="19" t="s">
        <v>2095</v>
      </c>
      <c r="C1854" s="19">
        <v>41122</v>
      </c>
      <c r="D1854" s="19">
        <v>3.1392499999999899</v>
      </c>
      <c r="E1854" s="19" t="s">
        <v>99</v>
      </c>
      <c r="F1854" s="19" t="s">
        <v>100</v>
      </c>
      <c r="G1854" s="19" t="s">
        <v>32</v>
      </c>
      <c r="H1854" s="19" t="s">
        <v>101</v>
      </c>
      <c r="I1854" s="19" t="s">
        <v>102</v>
      </c>
      <c r="J1854" s="19">
        <v>39</v>
      </c>
      <c r="K1854" s="19">
        <v>4.3299999999999998E-2</v>
      </c>
      <c r="L1854" s="19" t="s">
        <v>541</v>
      </c>
      <c r="M1854" s="19" t="s">
        <v>541</v>
      </c>
      <c r="N1854" s="19">
        <v>50</v>
      </c>
      <c r="O1854" s="19">
        <v>72.5</v>
      </c>
      <c r="P1854" s="19">
        <v>50</v>
      </c>
      <c r="Q1854" s="19">
        <v>25</v>
      </c>
      <c r="R1854" s="19" t="s">
        <v>870</v>
      </c>
      <c r="S1854" s="19">
        <v>0.9</v>
      </c>
      <c r="T1854" s="19">
        <v>0.9</v>
      </c>
      <c r="U1854" s="19">
        <v>22.5</v>
      </c>
      <c r="AA1854" s="19">
        <v>0</v>
      </c>
    </row>
    <row r="1855" spans="1:27" x14ac:dyDescent="0.25">
      <c r="A1855" s="19" t="s">
        <v>2112</v>
      </c>
      <c r="B1855" s="19" t="s">
        <v>2095</v>
      </c>
      <c r="C1855" s="19">
        <v>41122</v>
      </c>
      <c r="D1855" s="19">
        <v>3.1392499999999899</v>
      </c>
      <c r="E1855" s="19" t="s">
        <v>108</v>
      </c>
      <c r="F1855" s="19" t="s">
        <v>109</v>
      </c>
      <c r="G1855" s="19" t="s">
        <v>32</v>
      </c>
      <c r="H1855" s="19" t="s">
        <v>101</v>
      </c>
      <c r="I1855" s="19" t="s">
        <v>102</v>
      </c>
      <c r="J1855" s="19">
        <v>37</v>
      </c>
      <c r="K1855" s="19">
        <v>4.3299999999999998E-2</v>
      </c>
      <c r="L1855" s="19" t="s">
        <v>541</v>
      </c>
      <c r="M1855" s="19" t="s">
        <v>541</v>
      </c>
      <c r="N1855" s="19">
        <v>50</v>
      </c>
      <c r="O1855" s="19">
        <v>72.5</v>
      </c>
      <c r="P1855" s="19">
        <v>50</v>
      </c>
      <c r="Q1855" s="19">
        <v>25</v>
      </c>
      <c r="R1855" s="19" t="s">
        <v>870</v>
      </c>
      <c r="S1855" s="19">
        <v>0.9</v>
      </c>
      <c r="T1855" s="19">
        <v>0.9</v>
      </c>
      <c r="U1855" s="19">
        <v>22.5</v>
      </c>
      <c r="AA1855" s="19">
        <v>0</v>
      </c>
    </row>
    <row r="1856" spans="1:27" x14ac:dyDescent="0.25">
      <c r="A1856" s="19" t="s">
        <v>2117</v>
      </c>
      <c r="B1856" s="19" t="s">
        <v>2095</v>
      </c>
      <c r="C1856" s="19">
        <v>41122</v>
      </c>
      <c r="D1856" s="19">
        <v>1.25</v>
      </c>
      <c r="E1856" s="19" t="s">
        <v>144</v>
      </c>
      <c r="F1856" s="19" t="s">
        <v>145</v>
      </c>
      <c r="G1856" s="19" t="s">
        <v>134</v>
      </c>
      <c r="H1856" s="19" t="s">
        <v>146</v>
      </c>
      <c r="I1856" s="19" t="s">
        <v>147</v>
      </c>
      <c r="J1856" s="19">
        <v>4</v>
      </c>
      <c r="K1856" s="19">
        <v>2.5000000000000001E-2</v>
      </c>
      <c r="L1856" s="19" t="s">
        <v>35</v>
      </c>
      <c r="M1856" s="19" t="s">
        <v>103</v>
      </c>
      <c r="N1856" s="19">
        <v>50</v>
      </c>
      <c r="O1856" s="19">
        <v>50</v>
      </c>
      <c r="P1856" s="19">
        <v>0</v>
      </c>
      <c r="Q1856" s="19">
        <v>0</v>
      </c>
      <c r="R1856" s="19" t="s">
        <v>870</v>
      </c>
      <c r="S1856" s="19">
        <v>0.9</v>
      </c>
      <c r="T1856" s="19">
        <v>1</v>
      </c>
      <c r="U1856" s="19">
        <v>0</v>
      </c>
      <c r="V1856" s="19" t="s">
        <v>41</v>
      </c>
      <c r="W1856" s="19">
        <v>1</v>
      </c>
      <c r="Y1856" s="19" t="s">
        <v>103</v>
      </c>
      <c r="Z1856" s="19">
        <v>50</v>
      </c>
      <c r="AA1856" s="19">
        <v>50</v>
      </c>
    </row>
    <row r="1857" spans="1:27" x14ac:dyDescent="0.25">
      <c r="A1857" s="19" t="s">
        <v>2118</v>
      </c>
      <c r="B1857" s="19" t="s">
        <v>2095</v>
      </c>
      <c r="C1857" s="19">
        <v>41122</v>
      </c>
      <c r="D1857" s="19">
        <v>1.25</v>
      </c>
      <c r="E1857" s="19" t="s">
        <v>149</v>
      </c>
      <c r="F1857" s="19" t="s">
        <v>150</v>
      </c>
      <c r="G1857" s="19" t="s">
        <v>134</v>
      </c>
      <c r="H1857" s="19" t="s">
        <v>146</v>
      </c>
      <c r="I1857" s="19" t="s">
        <v>147</v>
      </c>
      <c r="J1857" s="19">
        <v>5</v>
      </c>
      <c r="K1857" s="19">
        <v>2.5000000000000001E-2</v>
      </c>
      <c r="L1857" s="19" t="s">
        <v>35</v>
      </c>
      <c r="M1857" s="19" t="s">
        <v>103</v>
      </c>
      <c r="N1857" s="19">
        <v>50</v>
      </c>
      <c r="O1857" s="19">
        <v>50</v>
      </c>
      <c r="P1857" s="19">
        <v>0</v>
      </c>
      <c r="Q1857" s="19">
        <v>0</v>
      </c>
      <c r="R1857" s="19" t="s">
        <v>870</v>
      </c>
      <c r="S1857" s="19">
        <v>0.9</v>
      </c>
      <c r="T1857" s="19">
        <v>1</v>
      </c>
      <c r="U1857" s="19">
        <v>0</v>
      </c>
      <c r="V1857" s="19" t="s">
        <v>41</v>
      </c>
      <c r="W1857" s="19">
        <v>1</v>
      </c>
      <c r="Y1857" s="19" t="s">
        <v>103</v>
      </c>
      <c r="Z1857" s="19">
        <v>50</v>
      </c>
      <c r="AA1857" s="19">
        <v>50</v>
      </c>
    </row>
    <row r="1858" spans="1:27" x14ac:dyDescent="0.25">
      <c r="A1858" s="19" t="s">
        <v>2119</v>
      </c>
      <c r="B1858" s="19" t="s">
        <v>2095</v>
      </c>
      <c r="C1858" s="19">
        <v>41122</v>
      </c>
      <c r="D1858" s="19">
        <v>1.25</v>
      </c>
      <c r="E1858" s="19" t="s">
        <v>152</v>
      </c>
      <c r="F1858" s="19" t="s">
        <v>153</v>
      </c>
      <c r="G1858" s="19" t="s">
        <v>134</v>
      </c>
      <c r="H1858" s="19" t="s">
        <v>146</v>
      </c>
      <c r="I1858" s="19" t="s">
        <v>147</v>
      </c>
      <c r="J1858" s="19">
        <v>6</v>
      </c>
      <c r="K1858" s="19">
        <v>2.5000000000000001E-2</v>
      </c>
      <c r="L1858" s="19" t="s">
        <v>35</v>
      </c>
      <c r="M1858" s="19" t="s">
        <v>103</v>
      </c>
      <c r="N1858" s="19">
        <v>50</v>
      </c>
      <c r="O1858" s="19">
        <v>50</v>
      </c>
      <c r="P1858" s="19">
        <v>0</v>
      </c>
      <c r="Q1858" s="19">
        <v>0</v>
      </c>
      <c r="R1858" s="19" t="s">
        <v>870</v>
      </c>
      <c r="S1858" s="19">
        <v>0.9</v>
      </c>
      <c r="T1858" s="19">
        <v>1</v>
      </c>
      <c r="U1858" s="19">
        <v>0</v>
      </c>
      <c r="V1858" s="19" t="s">
        <v>41</v>
      </c>
      <c r="W1858" s="19">
        <v>1</v>
      </c>
      <c r="Y1858" s="19" t="s">
        <v>103</v>
      </c>
      <c r="Z1858" s="19">
        <v>50</v>
      </c>
      <c r="AA1858" s="19">
        <v>50</v>
      </c>
    </row>
    <row r="1859" spans="1:27" x14ac:dyDescent="0.25">
      <c r="A1859" s="19" t="s">
        <v>2120</v>
      </c>
      <c r="B1859" s="19" t="s">
        <v>2095</v>
      </c>
      <c r="C1859" s="19">
        <v>41122</v>
      </c>
      <c r="D1859" s="19">
        <v>1.25</v>
      </c>
      <c r="E1859" s="19" t="s">
        <v>155</v>
      </c>
      <c r="F1859" s="19" t="s">
        <v>156</v>
      </c>
      <c r="G1859" s="19" t="s">
        <v>134</v>
      </c>
      <c r="H1859" s="19" t="s">
        <v>146</v>
      </c>
      <c r="I1859" s="19" t="s">
        <v>147</v>
      </c>
      <c r="J1859" s="19">
        <v>7</v>
      </c>
      <c r="K1859" s="19">
        <v>2.5000000000000001E-2</v>
      </c>
      <c r="L1859" s="19" t="s">
        <v>35</v>
      </c>
      <c r="M1859" s="19" t="s">
        <v>103</v>
      </c>
      <c r="N1859" s="19">
        <v>50</v>
      </c>
      <c r="O1859" s="19">
        <v>50</v>
      </c>
      <c r="P1859" s="19">
        <v>0</v>
      </c>
      <c r="Q1859" s="19">
        <v>0</v>
      </c>
      <c r="R1859" s="19" t="s">
        <v>870</v>
      </c>
      <c r="S1859" s="19">
        <v>0.9</v>
      </c>
      <c r="T1859" s="19">
        <v>1</v>
      </c>
      <c r="U1859" s="19">
        <v>0</v>
      </c>
      <c r="V1859" s="19" t="s">
        <v>41</v>
      </c>
      <c r="W1859" s="19">
        <v>1</v>
      </c>
      <c r="Y1859" s="19" t="s">
        <v>103</v>
      </c>
      <c r="Z1859" s="19">
        <v>50</v>
      </c>
      <c r="AA1859" s="19">
        <v>50</v>
      </c>
    </row>
    <row r="1860" spans="1:27" x14ac:dyDescent="0.25">
      <c r="A1860" s="19" t="s">
        <v>2121</v>
      </c>
      <c r="B1860" s="19" t="s">
        <v>2095</v>
      </c>
      <c r="C1860" s="19">
        <v>41122</v>
      </c>
      <c r="D1860" s="19">
        <v>1.25</v>
      </c>
      <c r="E1860" s="19" t="s">
        <v>158</v>
      </c>
      <c r="F1860" s="19" t="s">
        <v>159</v>
      </c>
      <c r="G1860" s="19" t="s">
        <v>134</v>
      </c>
      <c r="H1860" s="19" t="s">
        <v>146</v>
      </c>
      <c r="I1860" s="19" t="s">
        <v>147</v>
      </c>
      <c r="J1860" s="19">
        <v>8</v>
      </c>
      <c r="K1860" s="19">
        <v>2.5000000000000001E-2</v>
      </c>
      <c r="L1860" s="19" t="s">
        <v>35</v>
      </c>
      <c r="M1860" s="19" t="s">
        <v>103</v>
      </c>
      <c r="N1860" s="19">
        <v>50</v>
      </c>
      <c r="O1860" s="19">
        <v>50</v>
      </c>
      <c r="P1860" s="19">
        <v>0</v>
      </c>
      <c r="Q1860" s="19">
        <v>0</v>
      </c>
      <c r="R1860" s="19" t="s">
        <v>870</v>
      </c>
      <c r="S1860" s="19">
        <v>0.9</v>
      </c>
      <c r="T1860" s="19">
        <v>1</v>
      </c>
      <c r="U1860" s="19">
        <v>0</v>
      </c>
      <c r="V1860" s="19" t="s">
        <v>41</v>
      </c>
      <c r="W1860" s="19">
        <v>1</v>
      </c>
      <c r="Y1860" s="19" t="s">
        <v>103</v>
      </c>
      <c r="Z1860" s="19">
        <v>50</v>
      </c>
      <c r="AA1860" s="19">
        <v>50</v>
      </c>
    </row>
    <row r="1861" spans="1:27" x14ac:dyDescent="0.25">
      <c r="A1861" s="19" t="s">
        <v>2122</v>
      </c>
      <c r="B1861" s="19" t="s">
        <v>2095</v>
      </c>
      <c r="C1861" s="19">
        <v>41122</v>
      </c>
      <c r="D1861" s="19">
        <v>0</v>
      </c>
      <c r="E1861" s="19" t="s">
        <v>49</v>
      </c>
      <c r="F1861" s="19" t="s">
        <v>50</v>
      </c>
      <c r="G1861" s="19" t="s">
        <v>32</v>
      </c>
      <c r="H1861" s="19" t="s">
        <v>33</v>
      </c>
      <c r="I1861" s="19" t="s">
        <v>34</v>
      </c>
      <c r="J1861" s="19">
        <v>12</v>
      </c>
      <c r="K1861" s="19">
        <v>1.6299999999999999E-2</v>
      </c>
      <c r="L1861" s="19" t="s">
        <v>35</v>
      </c>
      <c r="M1861" s="19" t="s">
        <v>40</v>
      </c>
      <c r="N1861" s="19">
        <v>0</v>
      </c>
      <c r="O1861" s="19">
        <v>0</v>
      </c>
      <c r="P1861" s="19">
        <v>0</v>
      </c>
      <c r="Q1861" s="19">
        <v>0</v>
      </c>
      <c r="R1861" s="19" t="s">
        <v>870</v>
      </c>
      <c r="S1861" s="19">
        <v>0.9</v>
      </c>
      <c r="T1861" s="19">
        <v>1</v>
      </c>
      <c r="U1861" s="19">
        <v>0</v>
      </c>
      <c r="V1861" s="19" t="s">
        <v>80</v>
      </c>
      <c r="W1861" s="19">
        <v>0</v>
      </c>
      <c r="Y1861" s="19" t="s">
        <v>40</v>
      </c>
      <c r="Z1861" s="19">
        <v>33.33</v>
      </c>
      <c r="AA1861" s="19">
        <v>0</v>
      </c>
    </row>
    <row r="1862" spans="1:27" x14ac:dyDescent="0.25">
      <c r="A1862" s="19" t="s">
        <v>2123</v>
      </c>
      <c r="B1862" s="19" t="s">
        <v>2095</v>
      </c>
      <c r="C1862" s="19">
        <v>41122</v>
      </c>
      <c r="D1862" s="19">
        <v>0.81499999999999995</v>
      </c>
      <c r="E1862" s="19" t="s">
        <v>52</v>
      </c>
      <c r="F1862" s="19" t="s">
        <v>53</v>
      </c>
      <c r="G1862" s="19" t="s">
        <v>32</v>
      </c>
      <c r="H1862" s="19" t="s">
        <v>33</v>
      </c>
      <c r="I1862" s="19" t="s">
        <v>34</v>
      </c>
      <c r="J1862" s="19">
        <v>16</v>
      </c>
      <c r="K1862" s="19">
        <v>1.6299999999999999E-2</v>
      </c>
      <c r="L1862" s="19" t="s">
        <v>35</v>
      </c>
      <c r="M1862" s="19" t="s">
        <v>142</v>
      </c>
      <c r="N1862" s="19">
        <v>50</v>
      </c>
      <c r="O1862" s="19">
        <v>50</v>
      </c>
      <c r="P1862" s="19">
        <v>0</v>
      </c>
      <c r="Q1862" s="19">
        <v>0</v>
      </c>
      <c r="R1862" s="19" t="s">
        <v>870</v>
      </c>
      <c r="S1862" s="19">
        <v>0.9</v>
      </c>
      <c r="T1862" s="19">
        <v>1</v>
      </c>
      <c r="U1862" s="19">
        <v>0</v>
      </c>
      <c r="V1862" s="19" t="s">
        <v>41</v>
      </c>
      <c r="W1862" s="19">
        <v>1</v>
      </c>
      <c r="Y1862" s="19" t="s">
        <v>142</v>
      </c>
      <c r="Z1862" s="19">
        <v>50</v>
      </c>
      <c r="AA1862" s="19">
        <v>50</v>
      </c>
    </row>
    <row r="1863" spans="1:27" x14ac:dyDescent="0.25">
      <c r="A1863" s="19" t="s">
        <v>2124</v>
      </c>
      <c r="B1863" s="19" t="s">
        <v>2095</v>
      </c>
      <c r="C1863" s="19">
        <v>41122</v>
      </c>
      <c r="D1863" s="19">
        <v>0</v>
      </c>
      <c r="E1863" s="19" t="s">
        <v>96</v>
      </c>
      <c r="F1863" s="19" t="s">
        <v>97</v>
      </c>
      <c r="G1863" s="19" t="s">
        <v>32</v>
      </c>
      <c r="H1863" s="19" t="s">
        <v>87</v>
      </c>
      <c r="I1863" s="19" t="s">
        <v>88</v>
      </c>
      <c r="J1863" s="19">
        <v>36</v>
      </c>
      <c r="K1863" s="19">
        <v>3.2500000000000001E-2</v>
      </c>
      <c r="L1863" s="19" t="s">
        <v>35</v>
      </c>
      <c r="N1863" s="19">
        <v>0</v>
      </c>
      <c r="O1863" s="19">
        <v>0</v>
      </c>
      <c r="P1863" s="19">
        <v>0</v>
      </c>
      <c r="Q1863" s="19">
        <v>0</v>
      </c>
      <c r="R1863" s="19" t="s">
        <v>870</v>
      </c>
      <c r="S1863" s="19">
        <v>0.9</v>
      </c>
      <c r="T1863" s="19">
        <v>1</v>
      </c>
      <c r="U1863" s="19">
        <v>0</v>
      </c>
      <c r="V1863" s="19" t="s">
        <v>36</v>
      </c>
      <c r="W1863" s="19">
        <v>0</v>
      </c>
      <c r="Z1863" s="19">
        <v>0</v>
      </c>
      <c r="AA1863" s="19">
        <v>0</v>
      </c>
    </row>
    <row r="1864" spans="1:27" x14ac:dyDescent="0.25">
      <c r="A1864" s="19" t="s">
        <v>2125</v>
      </c>
      <c r="B1864" s="19" t="s">
        <v>2095</v>
      </c>
      <c r="C1864" s="19">
        <v>41122</v>
      </c>
      <c r="D1864" s="19">
        <v>0</v>
      </c>
      <c r="E1864" s="19" t="s">
        <v>105</v>
      </c>
      <c r="F1864" s="19" t="s">
        <v>106</v>
      </c>
      <c r="G1864" s="19" t="s">
        <v>32</v>
      </c>
      <c r="H1864" s="19" t="s">
        <v>101</v>
      </c>
      <c r="I1864" s="19" t="s">
        <v>102</v>
      </c>
      <c r="J1864" s="19">
        <v>38</v>
      </c>
      <c r="K1864" s="19">
        <v>4.3299999999999998E-2</v>
      </c>
      <c r="L1864" s="19" t="s">
        <v>35</v>
      </c>
      <c r="M1864" s="19" t="s">
        <v>103</v>
      </c>
      <c r="N1864" s="19">
        <v>0</v>
      </c>
      <c r="O1864" s="19">
        <v>0</v>
      </c>
      <c r="P1864" s="19">
        <v>0</v>
      </c>
      <c r="Q1864" s="19">
        <v>0</v>
      </c>
      <c r="R1864" s="19" t="s">
        <v>870</v>
      </c>
      <c r="S1864" s="19">
        <v>0.9</v>
      </c>
      <c r="T1864" s="19">
        <v>1</v>
      </c>
      <c r="U1864" s="19">
        <v>0</v>
      </c>
      <c r="V1864" s="19" t="s">
        <v>36</v>
      </c>
      <c r="W1864" s="19">
        <v>0</v>
      </c>
      <c r="Y1864" s="19" t="s">
        <v>103</v>
      </c>
      <c r="Z1864" s="19">
        <v>50</v>
      </c>
      <c r="AA1864" s="19">
        <v>0</v>
      </c>
    </row>
    <row r="1865" spans="1:27" x14ac:dyDescent="0.25">
      <c r="A1865" s="19" t="s">
        <v>2126</v>
      </c>
      <c r="B1865" s="19" t="s">
        <v>2095</v>
      </c>
      <c r="C1865" s="19">
        <v>41122</v>
      </c>
      <c r="D1865" s="19">
        <v>0</v>
      </c>
      <c r="E1865" s="19" t="s">
        <v>112</v>
      </c>
      <c r="F1865" s="19" t="s">
        <v>113</v>
      </c>
      <c r="G1865" s="19" t="s">
        <v>32</v>
      </c>
      <c r="H1865" s="19" t="s">
        <v>114</v>
      </c>
      <c r="I1865" s="19" t="s">
        <v>115</v>
      </c>
      <c r="J1865" s="19">
        <v>30</v>
      </c>
      <c r="K1865" s="19">
        <v>2.1700000000000001E-2</v>
      </c>
      <c r="L1865" s="19" t="s">
        <v>35</v>
      </c>
      <c r="M1865" s="19" t="s">
        <v>103</v>
      </c>
      <c r="N1865" s="19">
        <v>0</v>
      </c>
      <c r="O1865" s="19">
        <v>0</v>
      </c>
      <c r="P1865" s="19">
        <v>0</v>
      </c>
      <c r="Q1865" s="19">
        <v>0</v>
      </c>
      <c r="R1865" s="19" t="s">
        <v>870</v>
      </c>
      <c r="S1865" s="19">
        <v>0.9</v>
      </c>
      <c r="T1865" s="19">
        <v>1</v>
      </c>
      <c r="U1865" s="19">
        <v>0</v>
      </c>
      <c r="V1865" s="19" t="s">
        <v>36</v>
      </c>
      <c r="W1865" s="19">
        <v>0</v>
      </c>
      <c r="Y1865" s="19" t="s">
        <v>103</v>
      </c>
      <c r="Z1865" s="19">
        <v>50</v>
      </c>
      <c r="AA1865" s="19">
        <v>0</v>
      </c>
    </row>
    <row r="1866" spans="1:27" x14ac:dyDescent="0.25">
      <c r="A1866" s="19" t="s">
        <v>2127</v>
      </c>
      <c r="B1866" s="19" t="s">
        <v>2095</v>
      </c>
      <c r="C1866" s="19">
        <v>41122</v>
      </c>
      <c r="D1866" s="19">
        <v>1.085</v>
      </c>
      <c r="E1866" s="19" t="s">
        <v>117</v>
      </c>
      <c r="F1866" s="19" t="s">
        <v>118</v>
      </c>
      <c r="G1866" s="19" t="s">
        <v>32</v>
      </c>
      <c r="H1866" s="19" t="s">
        <v>114</v>
      </c>
      <c r="I1866" s="19" t="s">
        <v>115</v>
      </c>
      <c r="J1866" s="19">
        <v>31</v>
      </c>
      <c r="K1866" s="19">
        <v>2.1700000000000001E-2</v>
      </c>
      <c r="L1866" s="19" t="s">
        <v>35</v>
      </c>
      <c r="M1866" s="19" t="s">
        <v>103</v>
      </c>
      <c r="N1866" s="19">
        <v>50</v>
      </c>
      <c r="O1866" s="19">
        <v>50</v>
      </c>
      <c r="P1866" s="19">
        <v>0</v>
      </c>
      <c r="Q1866" s="19">
        <v>0</v>
      </c>
      <c r="R1866" s="19" t="s">
        <v>870</v>
      </c>
      <c r="S1866" s="19">
        <v>0.9</v>
      </c>
      <c r="T1866" s="19">
        <v>1</v>
      </c>
      <c r="U1866" s="19">
        <v>0</v>
      </c>
      <c r="V1866" s="19" t="s">
        <v>41</v>
      </c>
      <c r="W1866" s="19">
        <v>1</v>
      </c>
      <c r="Y1866" s="19" t="s">
        <v>103</v>
      </c>
      <c r="Z1866" s="19">
        <v>50</v>
      </c>
      <c r="AA1866" s="19">
        <v>50</v>
      </c>
    </row>
    <row r="1867" spans="1:27" x14ac:dyDescent="0.25">
      <c r="A1867" s="19" t="s">
        <v>2128</v>
      </c>
      <c r="B1867" s="19" t="s">
        <v>2095</v>
      </c>
      <c r="C1867" s="19">
        <v>41122</v>
      </c>
      <c r="D1867" s="19">
        <v>1.085</v>
      </c>
      <c r="E1867" s="19" t="s">
        <v>120</v>
      </c>
      <c r="F1867" s="19" t="s">
        <v>121</v>
      </c>
      <c r="G1867" s="19" t="s">
        <v>32</v>
      </c>
      <c r="H1867" s="19" t="s">
        <v>114</v>
      </c>
      <c r="I1867" s="19" t="s">
        <v>115</v>
      </c>
      <c r="J1867" s="19">
        <v>28</v>
      </c>
      <c r="K1867" s="19">
        <v>2.1700000000000001E-2</v>
      </c>
      <c r="L1867" s="19" t="s">
        <v>35</v>
      </c>
      <c r="M1867" s="19" t="s">
        <v>103</v>
      </c>
      <c r="N1867" s="19">
        <v>50</v>
      </c>
      <c r="O1867" s="19">
        <v>50</v>
      </c>
      <c r="P1867" s="19">
        <v>0</v>
      </c>
      <c r="Q1867" s="19">
        <v>0</v>
      </c>
      <c r="R1867" s="19" t="s">
        <v>870</v>
      </c>
      <c r="S1867" s="19">
        <v>0.9</v>
      </c>
      <c r="T1867" s="19">
        <v>1</v>
      </c>
      <c r="U1867" s="19">
        <v>0</v>
      </c>
      <c r="V1867" s="19" t="s">
        <v>41</v>
      </c>
      <c r="W1867" s="19">
        <v>1</v>
      </c>
      <c r="Y1867" s="19" t="s">
        <v>103</v>
      </c>
      <c r="Z1867" s="19">
        <v>50</v>
      </c>
      <c r="AA1867" s="19">
        <v>50</v>
      </c>
    </row>
    <row r="1868" spans="1:27" x14ac:dyDescent="0.25">
      <c r="A1868" s="19" t="s">
        <v>2129</v>
      </c>
      <c r="B1868" s="19" t="s">
        <v>2095</v>
      </c>
      <c r="C1868" s="19">
        <v>41122</v>
      </c>
      <c r="D1868" s="19">
        <v>0</v>
      </c>
      <c r="E1868" s="19" t="s">
        <v>123</v>
      </c>
      <c r="F1868" s="19" t="s">
        <v>124</v>
      </c>
      <c r="G1868" s="19" t="s">
        <v>32</v>
      </c>
      <c r="H1868" s="19" t="s">
        <v>114</v>
      </c>
      <c r="I1868" s="19" t="s">
        <v>115</v>
      </c>
      <c r="J1868" s="19">
        <v>27</v>
      </c>
      <c r="K1868" s="19">
        <v>2.1700000000000001E-2</v>
      </c>
      <c r="L1868" s="19" t="s">
        <v>35</v>
      </c>
      <c r="M1868" s="19" t="s">
        <v>103</v>
      </c>
      <c r="N1868" s="19">
        <v>0</v>
      </c>
      <c r="O1868" s="19">
        <v>0</v>
      </c>
      <c r="P1868" s="19">
        <v>0</v>
      </c>
      <c r="Q1868" s="19">
        <v>0</v>
      </c>
      <c r="R1868" s="19" t="s">
        <v>870</v>
      </c>
      <c r="S1868" s="19">
        <v>0.9</v>
      </c>
      <c r="T1868" s="19">
        <v>1</v>
      </c>
      <c r="U1868" s="19">
        <v>0</v>
      </c>
      <c r="V1868" s="19" t="s">
        <v>80</v>
      </c>
      <c r="W1868" s="19">
        <v>0</v>
      </c>
      <c r="Y1868" s="19" t="s">
        <v>103</v>
      </c>
      <c r="Z1868" s="19">
        <v>50</v>
      </c>
      <c r="AA1868" s="19">
        <v>0</v>
      </c>
    </row>
    <row r="1869" spans="1:27" x14ac:dyDescent="0.25">
      <c r="A1869" s="19" t="s">
        <v>2113</v>
      </c>
      <c r="B1869" s="19" t="s">
        <v>2095</v>
      </c>
      <c r="C1869" s="19">
        <v>41122</v>
      </c>
      <c r="D1869" s="19">
        <v>1.085</v>
      </c>
      <c r="E1869" s="19" t="s">
        <v>126</v>
      </c>
      <c r="F1869" s="19" t="s">
        <v>127</v>
      </c>
      <c r="G1869" s="19" t="s">
        <v>32</v>
      </c>
      <c r="H1869" s="19" t="s">
        <v>114</v>
      </c>
      <c r="I1869" s="19" t="s">
        <v>115</v>
      </c>
      <c r="J1869" s="19">
        <v>29</v>
      </c>
      <c r="K1869" s="19">
        <v>2.1700000000000001E-2</v>
      </c>
      <c r="L1869" s="19" t="s">
        <v>35</v>
      </c>
      <c r="M1869" s="19" t="s">
        <v>103</v>
      </c>
      <c r="N1869" s="19">
        <v>50</v>
      </c>
      <c r="O1869" s="19">
        <v>50</v>
      </c>
      <c r="P1869" s="19">
        <v>0</v>
      </c>
      <c r="Q1869" s="19">
        <v>0</v>
      </c>
      <c r="R1869" s="19" t="s">
        <v>870</v>
      </c>
      <c r="S1869" s="19">
        <v>0.9</v>
      </c>
      <c r="T1869" s="19">
        <v>1</v>
      </c>
      <c r="U1869" s="19">
        <v>0</v>
      </c>
      <c r="V1869" s="19" t="s">
        <v>41</v>
      </c>
      <c r="W1869" s="19">
        <v>1</v>
      </c>
      <c r="Y1869" s="19" t="s">
        <v>103</v>
      </c>
      <c r="Z1869" s="19">
        <v>50</v>
      </c>
      <c r="AA1869" s="19">
        <v>50</v>
      </c>
    </row>
    <row r="1870" spans="1:27" x14ac:dyDescent="0.25">
      <c r="A1870" s="19" t="s">
        <v>2130</v>
      </c>
      <c r="B1870" s="19" t="s">
        <v>2095</v>
      </c>
      <c r="C1870" s="19">
        <v>41122</v>
      </c>
      <c r="D1870" s="19">
        <v>1.085</v>
      </c>
      <c r="E1870" s="19" t="s">
        <v>129</v>
      </c>
      <c r="F1870" s="19" t="s">
        <v>130</v>
      </c>
      <c r="G1870" s="19" t="s">
        <v>32</v>
      </c>
      <c r="H1870" s="19" t="s">
        <v>114</v>
      </c>
      <c r="I1870" s="19" t="s">
        <v>115</v>
      </c>
      <c r="J1870" s="19">
        <v>32</v>
      </c>
      <c r="K1870" s="19">
        <v>2.1700000000000001E-2</v>
      </c>
      <c r="L1870" s="19" t="s">
        <v>35</v>
      </c>
      <c r="M1870" s="19" t="s">
        <v>103</v>
      </c>
      <c r="N1870" s="19">
        <v>50</v>
      </c>
      <c r="O1870" s="19">
        <v>50</v>
      </c>
      <c r="P1870" s="19">
        <v>0</v>
      </c>
      <c r="Q1870" s="19">
        <v>0</v>
      </c>
      <c r="R1870" s="19" t="s">
        <v>870</v>
      </c>
      <c r="S1870" s="19">
        <v>0.9</v>
      </c>
      <c r="T1870" s="19">
        <v>1</v>
      </c>
      <c r="U1870" s="19">
        <v>0</v>
      </c>
      <c r="V1870" s="19" t="s">
        <v>41</v>
      </c>
      <c r="W1870" s="19">
        <v>1</v>
      </c>
      <c r="Y1870" s="19" t="s">
        <v>103</v>
      </c>
      <c r="Z1870" s="19">
        <v>50</v>
      </c>
      <c r="AA1870" s="19">
        <v>50</v>
      </c>
    </row>
    <row r="1871" spans="1:27" x14ac:dyDescent="0.25">
      <c r="A1871" s="19" t="s">
        <v>2131</v>
      </c>
      <c r="B1871" s="19" t="s">
        <v>2095</v>
      </c>
      <c r="C1871" s="19">
        <v>41122</v>
      </c>
      <c r="D1871" s="19">
        <v>1.1098889999999999</v>
      </c>
      <c r="E1871" s="19" t="s">
        <v>161</v>
      </c>
      <c r="F1871" s="19" t="s">
        <v>162</v>
      </c>
      <c r="G1871" s="19" t="s">
        <v>163</v>
      </c>
      <c r="I1871" s="19" t="s">
        <v>164</v>
      </c>
      <c r="J1871" s="19">
        <v>1</v>
      </c>
      <c r="K1871" s="19">
        <v>3.3300000000000003E-2</v>
      </c>
      <c r="L1871" s="19" t="s">
        <v>35</v>
      </c>
      <c r="M1871" s="19" t="s">
        <v>165</v>
      </c>
      <c r="N1871" s="19">
        <v>33.33</v>
      </c>
      <c r="O1871" s="19">
        <v>33.33</v>
      </c>
      <c r="P1871" s="19">
        <v>0</v>
      </c>
      <c r="Q1871" s="19">
        <v>0</v>
      </c>
      <c r="R1871" s="19" t="s">
        <v>870</v>
      </c>
      <c r="S1871" s="19">
        <v>0.9</v>
      </c>
      <c r="T1871" s="19">
        <v>1</v>
      </c>
      <c r="U1871" s="19">
        <v>0</v>
      </c>
      <c r="W1871" s="19">
        <v>0</v>
      </c>
      <c r="X1871" s="19">
        <v>33.33</v>
      </c>
      <c r="Z1871" s="19">
        <v>0</v>
      </c>
      <c r="AA1871" s="19">
        <v>33.33</v>
      </c>
    </row>
    <row r="1872" spans="1:27" x14ac:dyDescent="0.25">
      <c r="A1872" s="19" t="s">
        <v>2132</v>
      </c>
      <c r="B1872" s="19" t="s">
        <v>2095</v>
      </c>
      <c r="C1872" s="19">
        <v>41122</v>
      </c>
      <c r="D1872" s="19">
        <v>2.2197779999999998</v>
      </c>
      <c r="E1872" s="19" t="s">
        <v>167</v>
      </c>
      <c r="F1872" s="19" t="s">
        <v>168</v>
      </c>
      <c r="G1872" s="19" t="s">
        <v>163</v>
      </c>
      <c r="I1872" s="19" t="s">
        <v>164</v>
      </c>
      <c r="J1872" s="19">
        <v>3</v>
      </c>
      <c r="K1872" s="19">
        <v>3.3300000000000003E-2</v>
      </c>
      <c r="L1872" s="19" t="s">
        <v>35</v>
      </c>
      <c r="M1872" s="19" t="s">
        <v>165</v>
      </c>
      <c r="N1872" s="19">
        <v>66.66</v>
      </c>
      <c r="O1872" s="19">
        <v>66.66</v>
      </c>
      <c r="P1872" s="19">
        <v>0</v>
      </c>
      <c r="Q1872" s="19">
        <v>0</v>
      </c>
      <c r="R1872" s="19" t="s">
        <v>870</v>
      </c>
      <c r="S1872" s="19">
        <v>0.9</v>
      </c>
      <c r="T1872" s="19">
        <v>1</v>
      </c>
      <c r="U1872" s="19">
        <v>0</v>
      </c>
      <c r="W1872" s="19">
        <v>0</v>
      </c>
      <c r="X1872" s="19">
        <v>66.66</v>
      </c>
      <c r="Z1872" s="19">
        <v>0</v>
      </c>
      <c r="AA1872" s="19">
        <v>66.66</v>
      </c>
    </row>
    <row r="1873" spans="1:27" x14ac:dyDescent="0.25">
      <c r="A1873" s="19" t="s">
        <v>2133</v>
      </c>
      <c r="B1873" s="19" t="s">
        <v>2095</v>
      </c>
      <c r="C1873" s="19">
        <v>41122</v>
      </c>
      <c r="D1873" s="19">
        <v>3.1301999999999999</v>
      </c>
      <c r="E1873" s="19" t="s">
        <v>170</v>
      </c>
      <c r="F1873" s="19" t="s">
        <v>171</v>
      </c>
      <c r="G1873" s="19" t="s">
        <v>163</v>
      </c>
      <c r="I1873" s="19" t="s">
        <v>164</v>
      </c>
      <c r="J1873" s="19">
        <v>2</v>
      </c>
      <c r="K1873" s="19">
        <v>3.3300000000000003E-2</v>
      </c>
      <c r="L1873" s="19" t="s">
        <v>35</v>
      </c>
      <c r="M1873" s="19" t="s">
        <v>165</v>
      </c>
      <c r="N1873" s="19">
        <v>94</v>
      </c>
      <c r="O1873" s="19">
        <v>94</v>
      </c>
      <c r="P1873" s="19">
        <v>0</v>
      </c>
      <c r="Q1873" s="19">
        <v>0</v>
      </c>
      <c r="R1873" s="19" t="s">
        <v>870</v>
      </c>
      <c r="S1873" s="19">
        <v>0.9</v>
      </c>
      <c r="T1873" s="19">
        <v>1</v>
      </c>
      <c r="U1873" s="19">
        <v>0</v>
      </c>
      <c r="W1873" s="19">
        <v>0</v>
      </c>
      <c r="X1873" s="19">
        <v>94</v>
      </c>
      <c r="Z1873" s="19">
        <v>0</v>
      </c>
      <c r="AA1873" s="19">
        <v>94</v>
      </c>
    </row>
    <row r="1874" spans="1:27" x14ac:dyDescent="0.25">
      <c r="A1874" s="19" t="s">
        <v>2134</v>
      </c>
      <c r="B1874" s="19" t="s">
        <v>2135</v>
      </c>
      <c r="C1874" s="19" t="s">
        <v>2136</v>
      </c>
      <c r="D1874" s="19">
        <v>0</v>
      </c>
      <c r="E1874" s="19" t="s">
        <v>30</v>
      </c>
      <c r="F1874" s="19" t="s">
        <v>31</v>
      </c>
      <c r="G1874" s="19" t="s">
        <v>32</v>
      </c>
      <c r="H1874" s="19" t="s">
        <v>33</v>
      </c>
      <c r="I1874" s="19" t="s">
        <v>34</v>
      </c>
      <c r="J1874" s="19">
        <v>17</v>
      </c>
      <c r="K1874" s="19">
        <v>1.6299999999999999E-2</v>
      </c>
      <c r="L1874" s="19" t="s">
        <v>35</v>
      </c>
      <c r="N1874" s="19">
        <v>0</v>
      </c>
      <c r="O1874" s="19">
        <v>0</v>
      </c>
      <c r="P1874" s="19">
        <v>0</v>
      </c>
      <c r="Q1874" s="19">
        <v>0</v>
      </c>
      <c r="S1874" s="19">
        <v>1</v>
      </c>
      <c r="T1874" s="19">
        <v>1</v>
      </c>
      <c r="U1874" s="19">
        <v>0</v>
      </c>
      <c r="V1874" s="19" t="s">
        <v>36</v>
      </c>
      <c r="W1874" s="19">
        <v>0</v>
      </c>
      <c r="Z1874" s="19">
        <v>0</v>
      </c>
      <c r="AA1874" s="19">
        <v>0</v>
      </c>
    </row>
    <row r="1875" spans="1:27" x14ac:dyDescent="0.25">
      <c r="A1875" s="19" t="s">
        <v>2137</v>
      </c>
      <c r="B1875" s="19" t="s">
        <v>2135</v>
      </c>
      <c r="C1875" s="19" t="s">
        <v>2136</v>
      </c>
      <c r="D1875" s="19">
        <v>0.54327899999999996</v>
      </c>
      <c r="E1875" s="19" t="s">
        <v>38</v>
      </c>
      <c r="F1875" s="19" t="s">
        <v>39</v>
      </c>
      <c r="G1875" s="19" t="s">
        <v>32</v>
      </c>
      <c r="H1875" s="19" t="s">
        <v>33</v>
      </c>
      <c r="I1875" s="19" t="s">
        <v>34</v>
      </c>
      <c r="J1875" s="19">
        <v>19</v>
      </c>
      <c r="K1875" s="19">
        <v>1.6299999999999999E-2</v>
      </c>
      <c r="L1875" s="19" t="s">
        <v>35</v>
      </c>
      <c r="M1875" s="19" t="s">
        <v>40</v>
      </c>
      <c r="N1875" s="19">
        <v>33.33</v>
      </c>
      <c r="O1875" s="19">
        <v>33.33</v>
      </c>
      <c r="P1875" s="19">
        <v>0</v>
      </c>
      <c r="Q1875" s="19">
        <v>0</v>
      </c>
      <c r="S1875" s="19">
        <v>1</v>
      </c>
      <c r="T1875" s="19">
        <v>1</v>
      </c>
      <c r="U1875" s="19">
        <v>0</v>
      </c>
      <c r="V1875" s="19" t="s">
        <v>41</v>
      </c>
      <c r="W1875" s="19">
        <v>1</v>
      </c>
      <c r="Y1875" s="19" t="s">
        <v>40</v>
      </c>
      <c r="Z1875" s="19">
        <v>33.33</v>
      </c>
      <c r="AA1875" s="19">
        <v>33.33</v>
      </c>
    </row>
    <row r="1876" spans="1:27" x14ac:dyDescent="0.25">
      <c r="A1876" s="19" t="s">
        <v>2138</v>
      </c>
      <c r="B1876" s="19" t="s">
        <v>2135</v>
      </c>
      <c r="C1876" s="19" t="s">
        <v>2136</v>
      </c>
      <c r="D1876" s="19">
        <v>0.54327899999999996</v>
      </c>
      <c r="E1876" s="19" t="s">
        <v>43</v>
      </c>
      <c r="F1876" s="19" t="s">
        <v>44</v>
      </c>
      <c r="G1876" s="19" t="s">
        <v>32</v>
      </c>
      <c r="H1876" s="19" t="s">
        <v>33</v>
      </c>
      <c r="I1876" s="19" t="s">
        <v>34</v>
      </c>
      <c r="J1876" s="19">
        <v>18</v>
      </c>
      <c r="K1876" s="19">
        <v>1.6299999999999999E-2</v>
      </c>
      <c r="L1876" s="19" t="s">
        <v>35</v>
      </c>
      <c r="M1876" s="19" t="s">
        <v>40</v>
      </c>
      <c r="N1876" s="19">
        <v>33.33</v>
      </c>
      <c r="O1876" s="19">
        <v>33.33</v>
      </c>
      <c r="P1876" s="19">
        <v>0</v>
      </c>
      <c r="Q1876" s="19">
        <v>0</v>
      </c>
      <c r="S1876" s="19">
        <v>1</v>
      </c>
      <c r="T1876" s="19">
        <v>1</v>
      </c>
      <c r="U1876" s="19">
        <v>0</v>
      </c>
      <c r="V1876" s="19" t="s">
        <v>41</v>
      </c>
      <c r="W1876" s="19">
        <v>1</v>
      </c>
      <c r="Y1876" s="19" t="s">
        <v>40</v>
      </c>
      <c r="Z1876" s="19">
        <v>33.33</v>
      </c>
      <c r="AA1876" s="19">
        <v>33.33</v>
      </c>
    </row>
    <row r="1877" spans="1:27" x14ac:dyDescent="0.25">
      <c r="A1877" s="19" t="s">
        <v>2139</v>
      </c>
      <c r="B1877" s="19" t="s">
        <v>2135</v>
      </c>
      <c r="C1877" s="19" t="s">
        <v>2136</v>
      </c>
      <c r="D1877" s="19">
        <v>0.27163949999999998</v>
      </c>
      <c r="E1877" s="19" t="s">
        <v>46</v>
      </c>
      <c r="F1877" s="19" t="s">
        <v>47</v>
      </c>
      <c r="G1877" s="19" t="s">
        <v>32</v>
      </c>
      <c r="H1877" s="19" t="s">
        <v>33</v>
      </c>
      <c r="I1877" s="19" t="s">
        <v>34</v>
      </c>
      <c r="J1877" s="19">
        <v>15</v>
      </c>
      <c r="K1877" s="19">
        <v>1.6299999999999999E-2</v>
      </c>
      <c r="L1877" s="19" t="s">
        <v>35</v>
      </c>
      <c r="M1877" s="19" t="s">
        <v>110</v>
      </c>
      <c r="N1877" s="19">
        <v>16.664999999999999</v>
      </c>
      <c r="O1877" s="19">
        <v>16.664999999999999</v>
      </c>
      <c r="P1877" s="19">
        <v>0</v>
      </c>
      <c r="Q1877" s="19">
        <v>0</v>
      </c>
      <c r="S1877" s="19">
        <v>1</v>
      </c>
      <c r="T1877" s="19">
        <v>1</v>
      </c>
      <c r="U1877" s="19">
        <v>0</v>
      </c>
      <c r="V1877" s="19" t="s">
        <v>41</v>
      </c>
      <c r="W1877" s="19">
        <v>1</v>
      </c>
      <c r="Y1877" s="19" t="s">
        <v>110</v>
      </c>
      <c r="Z1877" s="19">
        <v>16.664999999999999</v>
      </c>
      <c r="AA1877" s="19">
        <v>16.664999999999999</v>
      </c>
    </row>
    <row r="1878" spans="1:27" x14ac:dyDescent="0.25">
      <c r="A1878" s="19" t="s">
        <v>2140</v>
      </c>
      <c r="B1878" s="19" t="s">
        <v>2135</v>
      </c>
      <c r="C1878" s="19" t="s">
        <v>2136</v>
      </c>
      <c r="D1878" s="19">
        <v>0.54327899999999996</v>
      </c>
      <c r="E1878" s="19" t="s">
        <v>49</v>
      </c>
      <c r="F1878" s="19" t="s">
        <v>50</v>
      </c>
      <c r="G1878" s="19" t="s">
        <v>32</v>
      </c>
      <c r="H1878" s="19" t="s">
        <v>33</v>
      </c>
      <c r="I1878" s="19" t="s">
        <v>34</v>
      </c>
      <c r="J1878" s="19">
        <v>12</v>
      </c>
      <c r="K1878" s="19">
        <v>1.6299999999999999E-2</v>
      </c>
      <c r="L1878" s="19" t="s">
        <v>35</v>
      </c>
      <c r="M1878" s="19" t="s">
        <v>40</v>
      </c>
      <c r="N1878" s="19">
        <v>33.33</v>
      </c>
      <c r="O1878" s="19">
        <v>33.33</v>
      </c>
      <c r="P1878" s="19">
        <v>0</v>
      </c>
      <c r="Q1878" s="19">
        <v>0</v>
      </c>
      <c r="S1878" s="19">
        <v>1</v>
      </c>
      <c r="T1878" s="19">
        <v>1</v>
      </c>
      <c r="U1878" s="19">
        <v>0</v>
      </c>
      <c r="V1878" s="19" t="s">
        <v>41</v>
      </c>
      <c r="W1878" s="19">
        <v>1</v>
      </c>
      <c r="Y1878" s="19" t="s">
        <v>40</v>
      </c>
      <c r="Z1878" s="19">
        <v>33.33</v>
      </c>
      <c r="AA1878" s="19">
        <v>33.33</v>
      </c>
    </row>
    <row r="1879" spans="1:27" x14ac:dyDescent="0.25">
      <c r="A1879" s="19" t="s">
        <v>2141</v>
      </c>
      <c r="B1879" s="19" t="s">
        <v>2135</v>
      </c>
      <c r="C1879" s="19" t="s">
        <v>2136</v>
      </c>
      <c r="D1879" s="19">
        <v>0</v>
      </c>
      <c r="E1879" s="19" t="s">
        <v>52</v>
      </c>
      <c r="F1879" s="19" t="s">
        <v>53</v>
      </c>
      <c r="G1879" s="19" t="s">
        <v>32</v>
      </c>
      <c r="H1879" s="19" t="s">
        <v>33</v>
      </c>
      <c r="I1879" s="19" t="s">
        <v>34</v>
      </c>
      <c r="J1879" s="19">
        <v>16</v>
      </c>
      <c r="K1879" s="19">
        <v>1.6299999999999999E-2</v>
      </c>
      <c r="L1879" s="19" t="s">
        <v>35</v>
      </c>
      <c r="M1879" s="19" t="s">
        <v>40</v>
      </c>
      <c r="N1879" s="19">
        <v>0</v>
      </c>
      <c r="O1879" s="19">
        <v>0</v>
      </c>
      <c r="P1879" s="19">
        <v>0</v>
      </c>
      <c r="Q1879" s="19">
        <v>0</v>
      </c>
      <c r="S1879" s="19">
        <v>1</v>
      </c>
      <c r="T1879" s="19">
        <v>1</v>
      </c>
      <c r="U1879" s="19">
        <v>0</v>
      </c>
      <c r="V1879" s="19" t="s">
        <v>80</v>
      </c>
      <c r="W1879" s="19">
        <v>0</v>
      </c>
      <c r="Y1879" s="19" t="s">
        <v>40</v>
      </c>
      <c r="Z1879" s="19">
        <v>33.33</v>
      </c>
      <c r="AA1879" s="19">
        <v>0</v>
      </c>
    </row>
    <row r="1880" spans="1:27" x14ac:dyDescent="0.25">
      <c r="A1880" s="19" t="s">
        <v>2142</v>
      </c>
      <c r="B1880" s="19" t="s">
        <v>2135</v>
      </c>
      <c r="C1880" s="19" t="s">
        <v>2136</v>
      </c>
      <c r="D1880" s="19">
        <v>0.54327899999999996</v>
      </c>
      <c r="E1880" s="19" t="s">
        <v>55</v>
      </c>
      <c r="F1880" s="19" t="s">
        <v>56</v>
      </c>
      <c r="G1880" s="19" t="s">
        <v>32</v>
      </c>
      <c r="H1880" s="19" t="s">
        <v>33</v>
      </c>
      <c r="I1880" s="19" t="s">
        <v>34</v>
      </c>
      <c r="J1880" s="19">
        <v>14</v>
      </c>
      <c r="K1880" s="19">
        <v>1.6299999999999999E-2</v>
      </c>
      <c r="L1880" s="19" t="s">
        <v>35</v>
      </c>
      <c r="M1880" s="19" t="s">
        <v>40</v>
      </c>
      <c r="N1880" s="19">
        <v>33.33</v>
      </c>
      <c r="O1880" s="19">
        <v>33.33</v>
      </c>
      <c r="P1880" s="19">
        <v>0</v>
      </c>
      <c r="Q1880" s="19">
        <v>0</v>
      </c>
      <c r="S1880" s="19">
        <v>1</v>
      </c>
      <c r="T1880" s="19">
        <v>1</v>
      </c>
      <c r="U1880" s="19">
        <v>0</v>
      </c>
      <c r="V1880" s="19" t="s">
        <v>41</v>
      </c>
      <c r="W1880" s="19">
        <v>1</v>
      </c>
      <c r="Y1880" s="19" t="s">
        <v>40</v>
      </c>
      <c r="Z1880" s="19">
        <v>33.33</v>
      </c>
      <c r="AA1880" s="19">
        <v>33.33</v>
      </c>
    </row>
    <row r="1881" spans="1:27" x14ac:dyDescent="0.25">
      <c r="A1881" s="19" t="s">
        <v>2143</v>
      </c>
      <c r="B1881" s="19" t="s">
        <v>2135</v>
      </c>
      <c r="C1881" s="19" t="s">
        <v>2136</v>
      </c>
      <c r="D1881" s="19">
        <v>0.54327899999999996</v>
      </c>
      <c r="E1881" s="19" t="s">
        <v>58</v>
      </c>
      <c r="F1881" s="19" t="s">
        <v>59</v>
      </c>
      <c r="G1881" s="19" t="s">
        <v>32</v>
      </c>
      <c r="H1881" s="19" t="s">
        <v>33</v>
      </c>
      <c r="I1881" s="19" t="s">
        <v>34</v>
      </c>
      <c r="J1881" s="19">
        <v>13</v>
      </c>
      <c r="K1881" s="19">
        <v>1.6299999999999999E-2</v>
      </c>
      <c r="L1881" s="19" t="s">
        <v>35</v>
      </c>
      <c r="M1881" s="19" t="s">
        <v>40</v>
      </c>
      <c r="N1881" s="19">
        <v>33.33</v>
      </c>
      <c r="O1881" s="19">
        <v>33.33</v>
      </c>
      <c r="P1881" s="19">
        <v>0</v>
      </c>
      <c r="Q1881" s="19">
        <v>0</v>
      </c>
      <c r="S1881" s="19">
        <v>1</v>
      </c>
      <c r="T1881" s="19">
        <v>1</v>
      </c>
      <c r="U1881" s="19">
        <v>0</v>
      </c>
      <c r="V1881" s="19" t="s">
        <v>41</v>
      </c>
      <c r="W1881" s="19">
        <v>1</v>
      </c>
      <c r="Y1881" s="19" t="s">
        <v>40</v>
      </c>
      <c r="Z1881" s="19">
        <v>33.33</v>
      </c>
      <c r="AA1881" s="19">
        <v>33.33</v>
      </c>
    </row>
    <row r="1882" spans="1:27" x14ac:dyDescent="0.25">
      <c r="A1882" s="19" t="s">
        <v>2144</v>
      </c>
      <c r="B1882" s="19" t="s">
        <v>2135</v>
      </c>
      <c r="C1882" s="19" t="s">
        <v>2136</v>
      </c>
      <c r="D1882" s="19">
        <v>0.309968999999999</v>
      </c>
      <c r="E1882" s="19" t="s">
        <v>61</v>
      </c>
      <c r="F1882" s="19" t="s">
        <v>62</v>
      </c>
      <c r="G1882" s="19" t="s">
        <v>32</v>
      </c>
      <c r="H1882" s="19" t="s">
        <v>63</v>
      </c>
      <c r="I1882" s="19" t="s">
        <v>64</v>
      </c>
      <c r="J1882" s="19">
        <v>22</v>
      </c>
      <c r="K1882" s="19">
        <v>1.8599999999999998E-2</v>
      </c>
      <c r="L1882" s="19" t="s">
        <v>35</v>
      </c>
      <c r="M1882" s="19" t="s">
        <v>110</v>
      </c>
      <c r="N1882" s="19">
        <v>16.664999999999999</v>
      </c>
      <c r="O1882" s="19">
        <v>16.664999999999999</v>
      </c>
      <c r="P1882" s="19">
        <v>0</v>
      </c>
      <c r="Q1882" s="19">
        <v>0</v>
      </c>
      <c r="S1882" s="19">
        <v>1</v>
      </c>
      <c r="T1882" s="19">
        <v>1</v>
      </c>
      <c r="U1882" s="19">
        <v>0</v>
      </c>
      <c r="V1882" s="19" t="s">
        <v>41</v>
      </c>
      <c r="W1882" s="19">
        <v>1</v>
      </c>
      <c r="Y1882" s="19" t="s">
        <v>110</v>
      </c>
      <c r="Z1882" s="19">
        <v>16.664999999999999</v>
      </c>
      <c r="AA1882" s="19">
        <v>16.664999999999999</v>
      </c>
    </row>
    <row r="1883" spans="1:27" x14ac:dyDescent="0.25">
      <c r="A1883" s="19" t="s">
        <v>2145</v>
      </c>
      <c r="B1883" s="19" t="s">
        <v>2135</v>
      </c>
      <c r="C1883" s="19" t="s">
        <v>2136</v>
      </c>
      <c r="D1883" s="19">
        <v>0</v>
      </c>
      <c r="E1883" s="19" t="s">
        <v>66</v>
      </c>
      <c r="F1883" s="19" t="s">
        <v>67</v>
      </c>
      <c r="G1883" s="19" t="s">
        <v>32</v>
      </c>
      <c r="H1883" s="19" t="s">
        <v>63</v>
      </c>
      <c r="I1883" s="19" t="s">
        <v>64</v>
      </c>
      <c r="J1883" s="19">
        <v>20</v>
      </c>
      <c r="K1883" s="19">
        <v>1.8599999999999998E-2</v>
      </c>
      <c r="L1883" s="19" t="s">
        <v>35</v>
      </c>
      <c r="N1883" s="19">
        <v>0</v>
      </c>
      <c r="O1883" s="19">
        <v>0</v>
      </c>
      <c r="P1883" s="19">
        <v>0</v>
      </c>
      <c r="Q1883" s="19">
        <v>0</v>
      </c>
      <c r="S1883" s="19">
        <v>1</v>
      </c>
      <c r="T1883" s="19">
        <v>1</v>
      </c>
      <c r="U1883" s="19">
        <v>0</v>
      </c>
      <c r="V1883" s="19" t="s">
        <v>36</v>
      </c>
      <c r="W1883" s="19">
        <v>0</v>
      </c>
      <c r="Z1883" s="19">
        <v>0</v>
      </c>
      <c r="AA1883" s="19">
        <v>0</v>
      </c>
    </row>
    <row r="1884" spans="1:27" x14ac:dyDescent="0.25">
      <c r="A1884" s="19" t="s">
        <v>2146</v>
      </c>
      <c r="B1884" s="19" t="s">
        <v>2135</v>
      </c>
      <c r="C1884" s="19" t="s">
        <v>2136</v>
      </c>
      <c r="D1884" s="19">
        <v>0.309968999999999</v>
      </c>
      <c r="E1884" s="19" t="s">
        <v>69</v>
      </c>
      <c r="F1884" s="19" t="s">
        <v>70</v>
      </c>
      <c r="G1884" s="19" t="s">
        <v>32</v>
      </c>
      <c r="H1884" s="19" t="s">
        <v>63</v>
      </c>
      <c r="I1884" s="19" t="s">
        <v>64</v>
      </c>
      <c r="J1884" s="19">
        <v>23</v>
      </c>
      <c r="K1884" s="19">
        <v>1.8599999999999998E-2</v>
      </c>
      <c r="L1884" s="19" t="s">
        <v>35</v>
      </c>
      <c r="M1884" s="19" t="s">
        <v>110</v>
      </c>
      <c r="N1884" s="19">
        <v>16.664999999999999</v>
      </c>
      <c r="O1884" s="19">
        <v>16.664999999999999</v>
      </c>
      <c r="P1884" s="19">
        <v>0</v>
      </c>
      <c r="Q1884" s="19">
        <v>0</v>
      </c>
      <c r="S1884" s="19">
        <v>1</v>
      </c>
      <c r="T1884" s="19">
        <v>1</v>
      </c>
      <c r="U1884" s="19">
        <v>0</v>
      </c>
      <c r="V1884" s="19" t="s">
        <v>41</v>
      </c>
      <c r="W1884" s="19">
        <v>1</v>
      </c>
      <c r="Y1884" s="19" t="s">
        <v>110</v>
      </c>
      <c r="Z1884" s="19">
        <v>16.664999999999999</v>
      </c>
      <c r="AA1884" s="19">
        <v>16.664999999999999</v>
      </c>
    </row>
    <row r="1885" spans="1:27" x14ac:dyDescent="0.25">
      <c r="A1885" s="19" t="s">
        <v>2147</v>
      </c>
      <c r="B1885" s="19" t="s">
        <v>2135</v>
      </c>
      <c r="C1885" s="19" t="s">
        <v>2136</v>
      </c>
      <c r="D1885" s="19">
        <v>0</v>
      </c>
      <c r="E1885" s="19" t="s">
        <v>72</v>
      </c>
      <c r="F1885" s="19" t="s">
        <v>73</v>
      </c>
      <c r="G1885" s="19" t="s">
        <v>32</v>
      </c>
      <c r="H1885" s="19" t="s">
        <v>63</v>
      </c>
      <c r="I1885" s="19" t="s">
        <v>64</v>
      </c>
      <c r="J1885" s="19">
        <v>21</v>
      </c>
      <c r="K1885" s="19">
        <v>1.8599999999999998E-2</v>
      </c>
      <c r="L1885" s="19" t="s">
        <v>35</v>
      </c>
      <c r="N1885" s="19">
        <v>0</v>
      </c>
      <c r="O1885" s="19">
        <v>0</v>
      </c>
      <c r="P1885" s="19">
        <v>0</v>
      </c>
      <c r="Q1885" s="19">
        <v>0</v>
      </c>
      <c r="S1885" s="19">
        <v>1</v>
      </c>
      <c r="T1885" s="19">
        <v>1</v>
      </c>
      <c r="U1885" s="19">
        <v>0</v>
      </c>
      <c r="V1885" s="19" t="s">
        <v>36</v>
      </c>
      <c r="W1885" s="19">
        <v>0</v>
      </c>
      <c r="Z1885" s="19">
        <v>0</v>
      </c>
      <c r="AA1885" s="19">
        <v>0</v>
      </c>
    </row>
    <row r="1886" spans="1:27" x14ac:dyDescent="0.25">
      <c r="A1886" s="19" t="s">
        <v>2148</v>
      </c>
      <c r="B1886" s="19" t="s">
        <v>2135</v>
      </c>
      <c r="C1886" s="19" t="s">
        <v>2136</v>
      </c>
      <c r="D1886" s="19">
        <v>0.61993799999999899</v>
      </c>
      <c r="E1886" s="19" t="s">
        <v>75</v>
      </c>
      <c r="F1886" s="19" t="s">
        <v>76</v>
      </c>
      <c r="G1886" s="19" t="s">
        <v>32</v>
      </c>
      <c r="H1886" s="19" t="s">
        <v>63</v>
      </c>
      <c r="I1886" s="19" t="s">
        <v>64</v>
      </c>
      <c r="J1886" s="19">
        <v>24</v>
      </c>
      <c r="K1886" s="19">
        <v>1.8599999999999998E-2</v>
      </c>
      <c r="L1886" s="19" t="s">
        <v>35</v>
      </c>
      <c r="M1886" s="19" t="s">
        <v>40</v>
      </c>
      <c r="N1886" s="19">
        <v>33.33</v>
      </c>
      <c r="O1886" s="19">
        <v>33.33</v>
      </c>
      <c r="P1886" s="19">
        <v>0</v>
      </c>
      <c r="Q1886" s="19">
        <v>0</v>
      </c>
      <c r="S1886" s="19">
        <v>1</v>
      </c>
      <c r="T1886" s="19">
        <v>1</v>
      </c>
      <c r="U1886" s="19">
        <v>0</v>
      </c>
      <c r="V1886" s="19" t="s">
        <v>41</v>
      </c>
      <c r="W1886" s="19">
        <v>1</v>
      </c>
      <c r="Y1886" s="19" t="s">
        <v>40</v>
      </c>
      <c r="Z1886" s="19">
        <v>33.33</v>
      </c>
      <c r="AA1886" s="19">
        <v>33.33</v>
      </c>
    </row>
    <row r="1887" spans="1:27" x14ac:dyDescent="0.25">
      <c r="A1887" s="19" t="s">
        <v>2149</v>
      </c>
      <c r="B1887" s="19" t="s">
        <v>2135</v>
      </c>
      <c r="C1887" s="19" t="s">
        <v>2136</v>
      </c>
      <c r="D1887" s="19">
        <v>0.61993799999999899</v>
      </c>
      <c r="E1887" s="19" t="s">
        <v>78</v>
      </c>
      <c r="F1887" s="19" t="s">
        <v>79</v>
      </c>
      <c r="G1887" s="19" t="s">
        <v>32</v>
      </c>
      <c r="H1887" s="19" t="s">
        <v>63</v>
      </c>
      <c r="I1887" s="19" t="s">
        <v>64</v>
      </c>
      <c r="J1887" s="19">
        <v>25</v>
      </c>
      <c r="K1887" s="19">
        <v>1.8599999999999998E-2</v>
      </c>
      <c r="L1887" s="19" t="s">
        <v>35</v>
      </c>
      <c r="M1887" s="19" t="s">
        <v>40</v>
      </c>
      <c r="N1887" s="19">
        <v>33.33</v>
      </c>
      <c r="O1887" s="19">
        <v>33.33</v>
      </c>
      <c r="P1887" s="19">
        <v>0</v>
      </c>
      <c r="Q1887" s="19">
        <v>0</v>
      </c>
      <c r="S1887" s="19">
        <v>1</v>
      </c>
      <c r="T1887" s="19">
        <v>1</v>
      </c>
      <c r="U1887" s="19">
        <v>0</v>
      </c>
      <c r="V1887" s="19" t="s">
        <v>41</v>
      </c>
      <c r="W1887" s="19">
        <v>1</v>
      </c>
      <c r="Y1887" s="19" t="s">
        <v>40</v>
      </c>
      <c r="Z1887" s="19">
        <v>33.33</v>
      </c>
      <c r="AA1887" s="19">
        <v>33.33</v>
      </c>
    </row>
    <row r="1888" spans="1:27" x14ac:dyDescent="0.25">
      <c r="A1888" s="19" t="s">
        <v>2150</v>
      </c>
      <c r="B1888" s="19" t="s">
        <v>2135</v>
      </c>
      <c r="C1888" s="19" t="s">
        <v>2136</v>
      </c>
      <c r="D1888" s="19">
        <v>0.61993799999999899</v>
      </c>
      <c r="E1888" s="19" t="s">
        <v>82</v>
      </c>
      <c r="F1888" s="19" t="s">
        <v>83</v>
      </c>
      <c r="G1888" s="19" t="s">
        <v>32</v>
      </c>
      <c r="H1888" s="19" t="s">
        <v>63</v>
      </c>
      <c r="I1888" s="19" t="s">
        <v>64</v>
      </c>
      <c r="J1888" s="19">
        <v>26</v>
      </c>
      <c r="K1888" s="19">
        <v>1.8599999999999998E-2</v>
      </c>
      <c r="L1888" s="19" t="s">
        <v>35</v>
      </c>
      <c r="M1888" s="19" t="s">
        <v>40</v>
      </c>
      <c r="N1888" s="19">
        <v>33.33</v>
      </c>
      <c r="O1888" s="19">
        <v>33.33</v>
      </c>
      <c r="P1888" s="19">
        <v>0</v>
      </c>
      <c r="Q1888" s="19">
        <v>0</v>
      </c>
      <c r="S1888" s="19">
        <v>1</v>
      </c>
      <c r="T1888" s="19">
        <v>1</v>
      </c>
      <c r="U1888" s="19">
        <v>0</v>
      </c>
      <c r="V1888" s="19" t="s">
        <v>41</v>
      </c>
      <c r="W1888" s="19">
        <v>1</v>
      </c>
      <c r="Y1888" s="19" t="s">
        <v>40</v>
      </c>
      <c r="Z1888" s="19">
        <v>33.33</v>
      </c>
      <c r="AA1888" s="19">
        <v>33.33</v>
      </c>
    </row>
    <row r="1889" spans="1:27" x14ac:dyDescent="0.25">
      <c r="A1889" s="19" t="s">
        <v>2151</v>
      </c>
      <c r="B1889" s="19" t="s">
        <v>2135</v>
      </c>
      <c r="C1889" s="19" t="s">
        <v>2136</v>
      </c>
      <c r="D1889" s="19">
        <v>0</v>
      </c>
      <c r="E1889" s="19" t="s">
        <v>85</v>
      </c>
      <c r="F1889" s="19" t="s">
        <v>86</v>
      </c>
      <c r="G1889" s="19" t="s">
        <v>32</v>
      </c>
      <c r="H1889" s="19" t="s">
        <v>87</v>
      </c>
      <c r="I1889" s="19" t="s">
        <v>88</v>
      </c>
      <c r="J1889" s="19">
        <v>35</v>
      </c>
      <c r="K1889" s="19">
        <v>3.2500000000000001E-2</v>
      </c>
      <c r="L1889" s="19" t="s">
        <v>35</v>
      </c>
      <c r="N1889" s="19">
        <v>0</v>
      </c>
      <c r="O1889" s="19">
        <v>0</v>
      </c>
      <c r="P1889" s="19">
        <v>0</v>
      </c>
      <c r="Q1889" s="19">
        <v>0</v>
      </c>
      <c r="S1889" s="19">
        <v>1</v>
      </c>
      <c r="T1889" s="19">
        <v>1</v>
      </c>
      <c r="U1889" s="19">
        <v>0</v>
      </c>
      <c r="V1889" s="19" t="s">
        <v>36</v>
      </c>
      <c r="W1889" s="19">
        <v>0</v>
      </c>
      <c r="Z1889" s="19">
        <v>0</v>
      </c>
      <c r="AA1889" s="19">
        <v>0</v>
      </c>
    </row>
    <row r="1890" spans="1:27" x14ac:dyDescent="0.25">
      <c r="A1890" s="19" t="s">
        <v>2152</v>
      </c>
      <c r="B1890" s="19" t="s">
        <v>2135</v>
      </c>
      <c r="C1890" s="19" t="s">
        <v>2136</v>
      </c>
      <c r="D1890" s="19">
        <v>0</v>
      </c>
      <c r="E1890" s="19" t="s">
        <v>90</v>
      </c>
      <c r="F1890" s="19" t="s">
        <v>91</v>
      </c>
      <c r="G1890" s="19" t="s">
        <v>32</v>
      </c>
      <c r="H1890" s="19" t="s">
        <v>87</v>
      </c>
      <c r="I1890" s="19" t="s">
        <v>88</v>
      </c>
      <c r="J1890" s="19">
        <v>33</v>
      </c>
      <c r="K1890" s="19">
        <v>3.2500000000000001E-2</v>
      </c>
      <c r="L1890" s="19" t="s">
        <v>35</v>
      </c>
      <c r="N1890" s="19">
        <v>0</v>
      </c>
      <c r="O1890" s="19">
        <v>0</v>
      </c>
      <c r="P1890" s="19">
        <v>0</v>
      </c>
      <c r="Q1890" s="19">
        <v>0</v>
      </c>
      <c r="S1890" s="19">
        <v>1</v>
      </c>
      <c r="T1890" s="19">
        <v>1</v>
      </c>
      <c r="U1890" s="19">
        <v>0</v>
      </c>
      <c r="V1890" s="19" t="s">
        <v>36</v>
      </c>
      <c r="W1890" s="19">
        <v>0</v>
      </c>
      <c r="Z1890" s="19">
        <v>0</v>
      </c>
      <c r="AA1890" s="19">
        <v>0</v>
      </c>
    </row>
    <row r="1891" spans="1:27" x14ac:dyDescent="0.25">
      <c r="A1891" s="19" t="s">
        <v>2153</v>
      </c>
      <c r="B1891" s="19" t="s">
        <v>2135</v>
      </c>
      <c r="C1891" s="19" t="s">
        <v>2136</v>
      </c>
      <c r="D1891" s="19">
        <v>1.0832249999999899</v>
      </c>
      <c r="E1891" s="19" t="s">
        <v>93</v>
      </c>
      <c r="F1891" s="19" t="s">
        <v>94</v>
      </c>
      <c r="G1891" s="19" t="s">
        <v>32</v>
      </c>
      <c r="H1891" s="19" t="s">
        <v>87</v>
      </c>
      <c r="I1891" s="19" t="s">
        <v>88</v>
      </c>
      <c r="J1891" s="19">
        <v>34</v>
      </c>
      <c r="K1891" s="19">
        <v>3.2500000000000001E-2</v>
      </c>
      <c r="L1891" s="19" t="s">
        <v>35</v>
      </c>
      <c r="M1891" s="19" t="s">
        <v>40</v>
      </c>
      <c r="N1891" s="19">
        <v>33.33</v>
      </c>
      <c r="O1891" s="19">
        <v>33.33</v>
      </c>
      <c r="P1891" s="19">
        <v>0</v>
      </c>
      <c r="Q1891" s="19">
        <v>0</v>
      </c>
      <c r="S1891" s="19">
        <v>1</v>
      </c>
      <c r="T1891" s="19">
        <v>1</v>
      </c>
      <c r="U1891" s="19">
        <v>0</v>
      </c>
      <c r="V1891" s="19" t="s">
        <v>41</v>
      </c>
      <c r="W1891" s="19">
        <v>1</v>
      </c>
      <c r="Y1891" s="19" t="s">
        <v>40</v>
      </c>
      <c r="Z1891" s="19">
        <v>33.33</v>
      </c>
      <c r="AA1891" s="19">
        <v>33.33</v>
      </c>
    </row>
    <row r="1892" spans="1:27" x14ac:dyDescent="0.25">
      <c r="A1892" s="19" t="s">
        <v>2154</v>
      </c>
      <c r="B1892" s="19" t="s">
        <v>2135</v>
      </c>
      <c r="C1892" s="19" t="s">
        <v>2136</v>
      </c>
      <c r="D1892" s="19">
        <v>0</v>
      </c>
      <c r="E1892" s="19" t="s">
        <v>96</v>
      </c>
      <c r="F1892" s="19" t="s">
        <v>97</v>
      </c>
      <c r="G1892" s="19" t="s">
        <v>32</v>
      </c>
      <c r="H1892" s="19" t="s">
        <v>87</v>
      </c>
      <c r="I1892" s="19" t="s">
        <v>88</v>
      </c>
      <c r="J1892" s="19">
        <v>36</v>
      </c>
      <c r="K1892" s="19">
        <v>3.2500000000000001E-2</v>
      </c>
      <c r="L1892" s="19" t="s">
        <v>35</v>
      </c>
      <c r="N1892" s="19">
        <v>0</v>
      </c>
      <c r="O1892" s="19">
        <v>0</v>
      </c>
      <c r="P1892" s="19">
        <v>0</v>
      </c>
      <c r="Q1892" s="19">
        <v>0</v>
      </c>
      <c r="S1892" s="19">
        <v>1</v>
      </c>
      <c r="T1892" s="19">
        <v>1</v>
      </c>
      <c r="U1892" s="19">
        <v>0</v>
      </c>
      <c r="V1892" s="19" t="s">
        <v>36</v>
      </c>
      <c r="W1892" s="19">
        <v>0</v>
      </c>
      <c r="Z1892" s="19">
        <v>0</v>
      </c>
      <c r="AA1892" s="19">
        <v>0</v>
      </c>
    </row>
    <row r="1893" spans="1:27" x14ac:dyDescent="0.25">
      <c r="A1893" s="19" t="s">
        <v>2155</v>
      </c>
      <c r="B1893" s="19" t="s">
        <v>2135</v>
      </c>
      <c r="C1893" s="19" t="s">
        <v>2136</v>
      </c>
      <c r="D1893" s="19">
        <v>0</v>
      </c>
      <c r="E1893" s="19" t="s">
        <v>99</v>
      </c>
      <c r="F1893" s="19" t="s">
        <v>100</v>
      </c>
      <c r="G1893" s="19" t="s">
        <v>32</v>
      </c>
      <c r="H1893" s="19" t="s">
        <v>101</v>
      </c>
      <c r="I1893" s="19" t="s">
        <v>102</v>
      </c>
      <c r="J1893" s="19">
        <v>39</v>
      </c>
      <c r="K1893" s="19">
        <v>4.3299999999999998E-2</v>
      </c>
      <c r="L1893" s="19" t="s">
        <v>35</v>
      </c>
      <c r="M1893" s="19" t="s">
        <v>103</v>
      </c>
      <c r="N1893" s="19">
        <v>0</v>
      </c>
      <c r="O1893" s="19">
        <v>0</v>
      </c>
      <c r="P1893" s="19">
        <v>0</v>
      </c>
      <c r="Q1893" s="19">
        <v>0</v>
      </c>
      <c r="S1893" s="19">
        <v>1</v>
      </c>
      <c r="T1893" s="19">
        <v>1</v>
      </c>
      <c r="U1893" s="19">
        <v>0</v>
      </c>
      <c r="V1893" s="19" t="s">
        <v>80</v>
      </c>
      <c r="W1893" s="19">
        <v>0</v>
      </c>
      <c r="Y1893" s="19" t="s">
        <v>103</v>
      </c>
      <c r="Z1893" s="19">
        <v>50</v>
      </c>
      <c r="AA1893" s="19">
        <v>0</v>
      </c>
    </row>
    <row r="1894" spans="1:27" x14ac:dyDescent="0.25">
      <c r="A1894" s="19" t="s">
        <v>2156</v>
      </c>
      <c r="B1894" s="19" t="s">
        <v>2135</v>
      </c>
      <c r="C1894" s="19" t="s">
        <v>2136</v>
      </c>
      <c r="D1894" s="19">
        <v>2.165</v>
      </c>
      <c r="E1894" s="19" t="s">
        <v>105</v>
      </c>
      <c r="F1894" s="19" t="s">
        <v>106</v>
      </c>
      <c r="G1894" s="19" t="s">
        <v>32</v>
      </c>
      <c r="H1894" s="19" t="s">
        <v>101</v>
      </c>
      <c r="I1894" s="19" t="s">
        <v>102</v>
      </c>
      <c r="J1894" s="19">
        <v>38</v>
      </c>
      <c r="K1894" s="19">
        <v>4.3299999999999998E-2</v>
      </c>
      <c r="L1894" s="19" t="s">
        <v>35</v>
      </c>
      <c r="M1894" s="19" t="s">
        <v>103</v>
      </c>
      <c r="N1894" s="19">
        <v>50</v>
      </c>
      <c r="O1894" s="19">
        <v>50</v>
      </c>
      <c r="P1894" s="19">
        <v>0</v>
      </c>
      <c r="Q1894" s="19">
        <v>0</v>
      </c>
      <c r="S1894" s="19">
        <v>1</v>
      </c>
      <c r="T1894" s="19">
        <v>1</v>
      </c>
      <c r="U1894" s="19">
        <v>0</v>
      </c>
      <c r="V1894" s="19" t="s">
        <v>41</v>
      </c>
      <c r="W1894" s="19">
        <v>1</v>
      </c>
      <c r="Y1894" s="19" t="s">
        <v>103</v>
      </c>
      <c r="Z1894" s="19">
        <v>50</v>
      </c>
      <c r="AA1894" s="19">
        <v>50</v>
      </c>
    </row>
    <row r="1895" spans="1:27" x14ac:dyDescent="0.25">
      <c r="A1895" s="19" t="s">
        <v>2157</v>
      </c>
      <c r="B1895" s="19" t="s">
        <v>2135</v>
      </c>
      <c r="C1895" s="19" t="s">
        <v>2136</v>
      </c>
      <c r="D1895" s="19">
        <v>0</v>
      </c>
      <c r="E1895" s="19" t="s">
        <v>108</v>
      </c>
      <c r="F1895" s="19" t="s">
        <v>109</v>
      </c>
      <c r="G1895" s="19" t="s">
        <v>32</v>
      </c>
      <c r="H1895" s="19" t="s">
        <v>101</v>
      </c>
      <c r="I1895" s="19" t="s">
        <v>102</v>
      </c>
      <c r="J1895" s="19">
        <v>37</v>
      </c>
      <c r="K1895" s="19">
        <v>4.3299999999999998E-2</v>
      </c>
      <c r="L1895" s="19" t="s">
        <v>35</v>
      </c>
      <c r="M1895" s="19" t="s">
        <v>110</v>
      </c>
      <c r="N1895" s="19">
        <v>0</v>
      </c>
      <c r="O1895" s="19">
        <v>0</v>
      </c>
      <c r="P1895" s="19">
        <v>0</v>
      </c>
      <c r="Q1895" s="19">
        <v>0</v>
      </c>
      <c r="S1895" s="19">
        <v>1</v>
      </c>
      <c r="T1895" s="19">
        <v>1</v>
      </c>
      <c r="U1895" s="19">
        <v>0</v>
      </c>
      <c r="V1895" s="19" t="s">
        <v>80</v>
      </c>
      <c r="W1895" s="19">
        <v>0</v>
      </c>
      <c r="Y1895" s="19" t="s">
        <v>110</v>
      </c>
      <c r="Z1895" s="19">
        <v>16.664999999999999</v>
      </c>
      <c r="AA1895" s="19">
        <v>0</v>
      </c>
    </row>
    <row r="1896" spans="1:27" x14ac:dyDescent="0.25">
      <c r="A1896" s="19" t="s">
        <v>2158</v>
      </c>
      <c r="B1896" s="19" t="s">
        <v>2135</v>
      </c>
      <c r="C1896" s="19" t="s">
        <v>2136</v>
      </c>
      <c r="D1896" s="19">
        <v>0</v>
      </c>
      <c r="E1896" s="19" t="s">
        <v>112</v>
      </c>
      <c r="F1896" s="19" t="s">
        <v>113</v>
      </c>
      <c r="G1896" s="19" t="s">
        <v>32</v>
      </c>
      <c r="H1896" s="19" t="s">
        <v>114</v>
      </c>
      <c r="I1896" s="19" t="s">
        <v>115</v>
      </c>
      <c r="J1896" s="19">
        <v>30</v>
      </c>
      <c r="K1896" s="19">
        <v>2.1700000000000001E-2</v>
      </c>
      <c r="L1896" s="19" t="s">
        <v>35</v>
      </c>
      <c r="M1896" s="19" t="s">
        <v>103</v>
      </c>
      <c r="N1896" s="19">
        <v>0</v>
      </c>
      <c r="O1896" s="19">
        <v>0</v>
      </c>
      <c r="P1896" s="19">
        <v>0</v>
      </c>
      <c r="Q1896" s="19">
        <v>0</v>
      </c>
      <c r="S1896" s="19">
        <v>1</v>
      </c>
      <c r="T1896" s="19">
        <v>1</v>
      </c>
      <c r="U1896" s="19">
        <v>0</v>
      </c>
      <c r="V1896" s="19" t="s">
        <v>80</v>
      </c>
      <c r="W1896" s="19">
        <v>0</v>
      </c>
      <c r="Y1896" s="19" t="s">
        <v>103</v>
      </c>
      <c r="Z1896" s="19">
        <v>50</v>
      </c>
      <c r="AA1896" s="19">
        <v>0</v>
      </c>
    </row>
    <row r="1897" spans="1:27" x14ac:dyDescent="0.25">
      <c r="A1897" s="19" t="s">
        <v>2159</v>
      </c>
      <c r="B1897" s="19" t="s">
        <v>2135</v>
      </c>
      <c r="C1897" s="19" t="s">
        <v>2136</v>
      </c>
      <c r="D1897" s="19">
        <v>0</v>
      </c>
      <c r="E1897" s="19" t="s">
        <v>117</v>
      </c>
      <c r="F1897" s="19" t="s">
        <v>118</v>
      </c>
      <c r="G1897" s="19" t="s">
        <v>32</v>
      </c>
      <c r="H1897" s="19" t="s">
        <v>114</v>
      </c>
      <c r="I1897" s="19" t="s">
        <v>115</v>
      </c>
      <c r="J1897" s="19">
        <v>31</v>
      </c>
      <c r="K1897" s="19">
        <v>2.1700000000000001E-2</v>
      </c>
      <c r="L1897" s="19" t="s">
        <v>35</v>
      </c>
      <c r="M1897" s="19" t="s">
        <v>103</v>
      </c>
      <c r="N1897" s="19">
        <v>0</v>
      </c>
      <c r="O1897" s="19">
        <v>0</v>
      </c>
      <c r="P1897" s="19">
        <v>0</v>
      </c>
      <c r="Q1897" s="19">
        <v>0</v>
      </c>
      <c r="S1897" s="19">
        <v>1</v>
      </c>
      <c r="T1897" s="19">
        <v>1</v>
      </c>
      <c r="U1897" s="19">
        <v>0</v>
      </c>
      <c r="V1897" s="19" t="s">
        <v>36</v>
      </c>
      <c r="W1897" s="19">
        <v>0</v>
      </c>
      <c r="Y1897" s="19" t="s">
        <v>103</v>
      </c>
      <c r="Z1897" s="19">
        <v>50</v>
      </c>
      <c r="AA1897" s="19">
        <v>0</v>
      </c>
    </row>
    <row r="1898" spans="1:27" x14ac:dyDescent="0.25">
      <c r="A1898" s="19" t="s">
        <v>2160</v>
      </c>
      <c r="B1898" s="19" t="s">
        <v>2135</v>
      </c>
      <c r="C1898" s="19" t="s">
        <v>2136</v>
      </c>
      <c r="D1898" s="19">
        <v>1.085</v>
      </c>
      <c r="E1898" s="19" t="s">
        <v>120</v>
      </c>
      <c r="F1898" s="19" t="s">
        <v>121</v>
      </c>
      <c r="G1898" s="19" t="s">
        <v>32</v>
      </c>
      <c r="H1898" s="19" t="s">
        <v>114</v>
      </c>
      <c r="I1898" s="19" t="s">
        <v>115</v>
      </c>
      <c r="J1898" s="19">
        <v>28</v>
      </c>
      <c r="K1898" s="19">
        <v>2.1700000000000001E-2</v>
      </c>
      <c r="L1898" s="19" t="s">
        <v>35</v>
      </c>
      <c r="M1898" s="19" t="s">
        <v>103</v>
      </c>
      <c r="N1898" s="19">
        <v>50</v>
      </c>
      <c r="O1898" s="19">
        <v>50</v>
      </c>
      <c r="P1898" s="19">
        <v>0</v>
      </c>
      <c r="Q1898" s="19">
        <v>0</v>
      </c>
      <c r="S1898" s="19">
        <v>1</v>
      </c>
      <c r="T1898" s="19">
        <v>1</v>
      </c>
      <c r="U1898" s="19">
        <v>0</v>
      </c>
      <c r="V1898" s="19" t="s">
        <v>41</v>
      </c>
      <c r="W1898" s="19">
        <v>1</v>
      </c>
      <c r="Y1898" s="19" t="s">
        <v>103</v>
      </c>
      <c r="Z1898" s="19">
        <v>50</v>
      </c>
      <c r="AA1898" s="19">
        <v>50</v>
      </c>
    </row>
    <row r="1899" spans="1:27" x14ac:dyDescent="0.25">
      <c r="A1899" s="19" t="s">
        <v>2161</v>
      </c>
      <c r="B1899" s="19" t="s">
        <v>2135</v>
      </c>
      <c r="C1899" s="19" t="s">
        <v>2136</v>
      </c>
      <c r="D1899" s="19">
        <v>0</v>
      </c>
      <c r="E1899" s="19" t="s">
        <v>123</v>
      </c>
      <c r="F1899" s="19" t="s">
        <v>124</v>
      </c>
      <c r="G1899" s="19" t="s">
        <v>32</v>
      </c>
      <c r="H1899" s="19" t="s">
        <v>114</v>
      </c>
      <c r="I1899" s="19" t="s">
        <v>115</v>
      </c>
      <c r="J1899" s="19">
        <v>27</v>
      </c>
      <c r="K1899" s="19">
        <v>2.1700000000000001E-2</v>
      </c>
      <c r="L1899" s="19" t="s">
        <v>35</v>
      </c>
      <c r="M1899" s="19" t="s">
        <v>103</v>
      </c>
      <c r="N1899" s="19">
        <v>0</v>
      </c>
      <c r="O1899" s="19">
        <v>0</v>
      </c>
      <c r="P1899" s="19">
        <v>0</v>
      </c>
      <c r="Q1899" s="19">
        <v>0</v>
      </c>
      <c r="S1899" s="19">
        <v>1</v>
      </c>
      <c r="T1899" s="19">
        <v>1</v>
      </c>
      <c r="U1899" s="19">
        <v>0</v>
      </c>
      <c r="V1899" s="19" t="s">
        <v>80</v>
      </c>
      <c r="W1899" s="19">
        <v>0</v>
      </c>
      <c r="Y1899" s="19" t="s">
        <v>103</v>
      </c>
      <c r="Z1899" s="19">
        <v>50</v>
      </c>
      <c r="AA1899" s="19">
        <v>0</v>
      </c>
    </row>
    <row r="1900" spans="1:27" x14ac:dyDescent="0.25">
      <c r="A1900" s="19" t="s">
        <v>2162</v>
      </c>
      <c r="B1900" s="19" t="s">
        <v>2135</v>
      </c>
      <c r="C1900" s="19" t="s">
        <v>2136</v>
      </c>
      <c r="D1900" s="19">
        <v>1.085</v>
      </c>
      <c r="E1900" s="19" t="s">
        <v>126</v>
      </c>
      <c r="F1900" s="19" t="s">
        <v>127</v>
      </c>
      <c r="G1900" s="19" t="s">
        <v>32</v>
      </c>
      <c r="H1900" s="19" t="s">
        <v>114</v>
      </c>
      <c r="I1900" s="19" t="s">
        <v>115</v>
      </c>
      <c r="J1900" s="19">
        <v>29</v>
      </c>
      <c r="K1900" s="19">
        <v>2.1700000000000001E-2</v>
      </c>
      <c r="L1900" s="19" t="s">
        <v>35</v>
      </c>
      <c r="M1900" s="19" t="s">
        <v>103</v>
      </c>
      <c r="N1900" s="19">
        <v>50</v>
      </c>
      <c r="O1900" s="19">
        <v>50</v>
      </c>
      <c r="P1900" s="19">
        <v>0</v>
      </c>
      <c r="Q1900" s="19">
        <v>0</v>
      </c>
      <c r="S1900" s="19">
        <v>1</v>
      </c>
      <c r="T1900" s="19">
        <v>1</v>
      </c>
      <c r="U1900" s="19">
        <v>0</v>
      </c>
      <c r="V1900" s="19" t="s">
        <v>41</v>
      </c>
      <c r="W1900" s="19">
        <v>1</v>
      </c>
      <c r="Y1900" s="19" t="s">
        <v>103</v>
      </c>
      <c r="Z1900" s="19">
        <v>50</v>
      </c>
      <c r="AA1900" s="19">
        <v>50</v>
      </c>
    </row>
    <row r="1901" spans="1:27" x14ac:dyDescent="0.25">
      <c r="A1901" s="19" t="s">
        <v>2163</v>
      </c>
      <c r="B1901" s="19" t="s">
        <v>2135</v>
      </c>
      <c r="C1901" s="19" t="s">
        <v>2136</v>
      </c>
      <c r="D1901" s="19">
        <v>1.085</v>
      </c>
      <c r="E1901" s="19" t="s">
        <v>129</v>
      </c>
      <c r="F1901" s="19" t="s">
        <v>130</v>
      </c>
      <c r="G1901" s="19" t="s">
        <v>32</v>
      </c>
      <c r="H1901" s="19" t="s">
        <v>114</v>
      </c>
      <c r="I1901" s="19" t="s">
        <v>115</v>
      </c>
      <c r="J1901" s="19">
        <v>32</v>
      </c>
      <c r="K1901" s="19">
        <v>2.1700000000000001E-2</v>
      </c>
      <c r="L1901" s="19" t="s">
        <v>35</v>
      </c>
      <c r="M1901" s="19" t="s">
        <v>103</v>
      </c>
      <c r="N1901" s="19">
        <v>50</v>
      </c>
      <c r="O1901" s="19">
        <v>50</v>
      </c>
      <c r="P1901" s="19">
        <v>0</v>
      </c>
      <c r="Q1901" s="19">
        <v>0</v>
      </c>
      <c r="S1901" s="19">
        <v>1</v>
      </c>
      <c r="T1901" s="19">
        <v>1</v>
      </c>
      <c r="U1901" s="19">
        <v>0</v>
      </c>
      <c r="V1901" s="19" t="s">
        <v>41</v>
      </c>
      <c r="W1901" s="19">
        <v>1</v>
      </c>
      <c r="Y1901" s="19" t="s">
        <v>103</v>
      </c>
      <c r="Z1901" s="19">
        <v>50</v>
      </c>
      <c r="AA1901" s="19">
        <v>50</v>
      </c>
    </row>
    <row r="1902" spans="1:27" x14ac:dyDescent="0.25">
      <c r="A1902" s="19" t="s">
        <v>2164</v>
      </c>
      <c r="B1902" s="19" t="s">
        <v>2135</v>
      </c>
      <c r="C1902" s="19" t="s">
        <v>2136</v>
      </c>
      <c r="D1902" s="19">
        <v>2.085</v>
      </c>
      <c r="E1902" s="19" t="s">
        <v>132</v>
      </c>
      <c r="F1902" s="19" t="s">
        <v>133</v>
      </c>
      <c r="G1902" s="19" t="s">
        <v>134</v>
      </c>
      <c r="H1902" s="19" t="s">
        <v>87</v>
      </c>
      <c r="I1902" s="19" t="s">
        <v>135</v>
      </c>
      <c r="J1902" s="19">
        <v>11</v>
      </c>
      <c r="K1902" s="19">
        <v>4.1700000000000001E-2</v>
      </c>
      <c r="L1902" s="19" t="s">
        <v>35</v>
      </c>
      <c r="M1902" s="19" t="s">
        <v>103</v>
      </c>
      <c r="N1902" s="19">
        <v>50</v>
      </c>
      <c r="O1902" s="19">
        <v>50</v>
      </c>
      <c r="P1902" s="19">
        <v>0</v>
      </c>
      <c r="Q1902" s="19">
        <v>0</v>
      </c>
      <c r="S1902" s="19">
        <v>1</v>
      </c>
      <c r="T1902" s="19">
        <v>1</v>
      </c>
      <c r="U1902" s="19">
        <v>0</v>
      </c>
      <c r="V1902" s="19" t="s">
        <v>41</v>
      </c>
      <c r="W1902" s="19">
        <v>1</v>
      </c>
      <c r="Y1902" s="19" t="s">
        <v>103</v>
      </c>
      <c r="Z1902" s="19">
        <v>50</v>
      </c>
      <c r="AA1902" s="19">
        <v>50</v>
      </c>
    </row>
    <row r="1903" spans="1:27" x14ac:dyDescent="0.25">
      <c r="A1903" s="19" t="s">
        <v>2165</v>
      </c>
      <c r="B1903" s="19" t="s">
        <v>2135</v>
      </c>
      <c r="C1903" s="19" t="s">
        <v>2136</v>
      </c>
      <c r="D1903" s="19">
        <v>0</v>
      </c>
      <c r="E1903" s="19" t="s">
        <v>137</v>
      </c>
      <c r="F1903" s="19" t="s">
        <v>138</v>
      </c>
      <c r="G1903" s="19" t="s">
        <v>134</v>
      </c>
      <c r="H1903" s="19" t="s">
        <v>87</v>
      </c>
      <c r="I1903" s="19" t="s">
        <v>135</v>
      </c>
      <c r="J1903" s="19">
        <v>9</v>
      </c>
      <c r="K1903" s="19">
        <v>4.1700000000000001E-2</v>
      </c>
      <c r="L1903" s="19" t="s">
        <v>35</v>
      </c>
      <c r="N1903" s="19">
        <v>0</v>
      </c>
      <c r="O1903" s="19">
        <v>0</v>
      </c>
      <c r="P1903" s="19">
        <v>0</v>
      </c>
      <c r="Q1903" s="19">
        <v>0</v>
      </c>
      <c r="S1903" s="19">
        <v>1</v>
      </c>
      <c r="T1903" s="19">
        <v>1</v>
      </c>
      <c r="U1903" s="19">
        <v>0</v>
      </c>
      <c r="W1903" s="19">
        <v>0</v>
      </c>
      <c r="X1903" s="19">
        <v>0</v>
      </c>
      <c r="Z1903" s="19">
        <v>0</v>
      </c>
      <c r="AA1903" s="19">
        <v>0</v>
      </c>
    </row>
    <row r="1904" spans="1:27" x14ac:dyDescent="0.25">
      <c r="A1904" s="19" t="s">
        <v>2166</v>
      </c>
      <c r="B1904" s="19" t="s">
        <v>2135</v>
      </c>
      <c r="C1904" s="19" t="s">
        <v>2136</v>
      </c>
      <c r="D1904" s="19">
        <v>0</v>
      </c>
      <c r="E1904" s="19" t="s">
        <v>140</v>
      </c>
      <c r="F1904" s="19" t="s">
        <v>141</v>
      </c>
      <c r="G1904" s="19" t="s">
        <v>134</v>
      </c>
      <c r="H1904" s="19" t="s">
        <v>87</v>
      </c>
      <c r="I1904" s="19" t="s">
        <v>135</v>
      </c>
      <c r="J1904" s="19">
        <v>10</v>
      </c>
      <c r="K1904" s="19">
        <v>4.1700000000000001E-2</v>
      </c>
      <c r="L1904" s="19" t="s">
        <v>35</v>
      </c>
      <c r="N1904" s="19">
        <v>0</v>
      </c>
      <c r="O1904" s="19">
        <v>0</v>
      </c>
      <c r="P1904" s="19">
        <v>0</v>
      </c>
      <c r="Q1904" s="19">
        <v>0</v>
      </c>
      <c r="S1904" s="19">
        <v>1</v>
      </c>
      <c r="T1904" s="19">
        <v>1</v>
      </c>
      <c r="U1904" s="19">
        <v>0</v>
      </c>
      <c r="W1904" s="19">
        <v>0</v>
      </c>
      <c r="X1904" s="19">
        <v>0</v>
      </c>
      <c r="Z1904" s="19">
        <v>0</v>
      </c>
      <c r="AA1904" s="19">
        <v>0</v>
      </c>
    </row>
    <row r="1905" spans="1:27" x14ac:dyDescent="0.25">
      <c r="A1905" s="19" t="s">
        <v>2167</v>
      </c>
      <c r="B1905" s="19" t="s">
        <v>2135</v>
      </c>
      <c r="C1905" s="19" t="s">
        <v>2136</v>
      </c>
      <c r="D1905" s="19">
        <v>1.25</v>
      </c>
      <c r="E1905" s="19" t="s">
        <v>144</v>
      </c>
      <c r="F1905" s="19" t="s">
        <v>145</v>
      </c>
      <c r="G1905" s="19" t="s">
        <v>134</v>
      </c>
      <c r="H1905" s="19" t="s">
        <v>146</v>
      </c>
      <c r="I1905" s="19" t="s">
        <v>147</v>
      </c>
      <c r="J1905" s="19">
        <v>4</v>
      </c>
      <c r="K1905" s="19">
        <v>2.5000000000000001E-2</v>
      </c>
      <c r="L1905" s="19" t="s">
        <v>35</v>
      </c>
      <c r="M1905" s="19" t="s">
        <v>103</v>
      </c>
      <c r="N1905" s="19">
        <v>50</v>
      </c>
      <c r="O1905" s="19">
        <v>50</v>
      </c>
      <c r="P1905" s="19">
        <v>0</v>
      </c>
      <c r="Q1905" s="19">
        <v>0</v>
      </c>
      <c r="S1905" s="19">
        <v>1</v>
      </c>
      <c r="T1905" s="19">
        <v>1</v>
      </c>
      <c r="U1905" s="19">
        <v>0</v>
      </c>
      <c r="V1905" s="19" t="s">
        <v>41</v>
      </c>
      <c r="W1905" s="19">
        <v>1</v>
      </c>
      <c r="Y1905" s="19" t="s">
        <v>103</v>
      </c>
      <c r="Z1905" s="19">
        <v>50</v>
      </c>
      <c r="AA1905" s="19">
        <v>50</v>
      </c>
    </row>
    <row r="1906" spans="1:27" x14ac:dyDescent="0.25">
      <c r="A1906" s="19" t="s">
        <v>2168</v>
      </c>
      <c r="B1906" s="19" t="s">
        <v>2135</v>
      </c>
      <c r="C1906" s="19" t="s">
        <v>2136</v>
      </c>
      <c r="D1906" s="19">
        <v>1.25</v>
      </c>
      <c r="E1906" s="19" t="s">
        <v>149</v>
      </c>
      <c r="F1906" s="19" t="s">
        <v>150</v>
      </c>
      <c r="G1906" s="19" t="s">
        <v>134</v>
      </c>
      <c r="H1906" s="19" t="s">
        <v>146</v>
      </c>
      <c r="I1906" s="19" t="s">
        <v>147</v>
      </c>
      <c r="J1906" s="19">
        <v>5</v>
      </c>
      <c r="K1906" s="19">
        <v>2.5000000000000001E-2</v>
      </c>
      <c r="L1906" s="19" t="s">
        <v>35</v>
      </c>
      <c r="M1906" s="19" t="s">
        <v>103</v>
      </c>
      <c r="N1906" s="19">
        <v>50</v>
      </c>
      <c r="O1906" s="19">
        <v>50</v>
      </c>
      <c r="P1906" s="19">
        <v>0</v>
      </c>
      <c r="Q1906" s="19">
        <v>0</v>
      </c>
      <c r="S1906" s="19">
        <v>1</v>
      </c>
      <c r="T1906" s="19">
        <v>1</v>
      </c>
      <c r="U1906" s="19">
        <v>0</v>
      </c>
      <c r="V1906" s="19" t="s">
        <v>41</v>
      </c>
      <c r="W1906" s="19">
        <v>1</v>
      </c>
      <c r="Y1906" s="19" t="s">
        <v>103</v>
      </c>
      <c r="Z1906" s="19">
        <v>50</v>
      </c>
      <c r="AA1906" s="19">
        <v>50</v>
      </c>
    </row>
    <row r="1907" spans="1:27" x14ac:dyDescent="0.25">
      <c r="A1907" s="19" t="s">
        <v>2169</v>
      </c>
      <c r="B1907" s="19" t="s">
        <v>2135</v>
      </c>
      <c r="C1907" s="19" t="s">
        <v>2136</v>
      </c>
      <c r="D1907" s="19">
        <v>1.25</v>
      </c>
      <c r="E1907" s="19" t="s">
        <v>152</v>
      </c>
      <c r="F1907" s="19" t="s">
        <v>153</v>
      </c>
      <c r="G1907" s="19" t="s">
        <v>134</v>
      </c>
      <c r="H1907" s="19" t="s">
        <v>146</v>
      </c>
      <c r="I1907" s="19" t="s">
        <v>147</v>
      </c>
      <c r="J1907" s="19">
        <v>6</v>
      </c>
      <c r="K1907" s="19">
        <v>2.5000000000000001E-2</v>
      </c>
      <c r="L1907" s="19" t="s">
        <v>35</v>
      </c>
      <c r="M1907" s="19" t="s">
        <v>103</v>
      </c>
      <c r="N1907" s="19">
        <v>50</v>
      </c>
      <c r="O1907" s="19">
        <v>50</v>
      </c>
      <c r="P1907" s="19">
        <v>0</v>
      </c>
      <c r="Q1907" s="19">
        <v>0</v>
      </c>
      <c r="S1907" s="19">
        <v>1</v>
      </c>
      <c r="T1907" s="19">
        <v>1</v>
      </c>
      <c r="U1907" s="19">
        <v>0</v>
      </c>
      <c r="V1907" s="19" t="s">
        <v>41</v>
      </c>
      <c r="W1907" s="19">
        <v>1</v>
      </c>
      <c r="Y1907" s="19" t="s">
        <v>103</v>
      </c>
      <c r="Z1907" s="19">
        <v>50</v>
      </c>
      <c r="AA1907" s="19">
        <v>50</v>
      </c>
    </row>
    <row r="1908" spans="1:27" x14ac:dyDescent="0.25">
      <c r="A1908" s="19" t="s">
        <v>2170</v>
      </c>
      <c r="B1908" s="19" t="s">
        <v>2135</v>
      </c>
      <c r="C1908" s="19" t="s">
        <v>2136</v>
      </c>
      <c r="D1908" s="19">
        <v>1.25</v>
      </c>
      <c r="E1908" s="19" t="s">
        <v>155</v>
      </c>
      <c r="F1908" s="19" t="s">
        <v>156</v>
      </c>
      <c r="G1908" s="19" t="s">
        <v>134</v>
      </c>
      <c r="H1908" s="19" t="s">
        <v>146</v>
      </c>
      <c r="I1908" s="19" t="s">
        <v>147</v>
      </c>
      <c r="J1908" s="19">
        <v>7</v>
      </c>
      <c r="K1908" s="19">
        <v>2.5000000000000001E-2</v>
      </c>
      <c r="L1908" s="19" t="s">
        <v>35</v>
      </c>
      <c r="M1908" s="19" t="s">
        <v>103</v>
      </c>
      <c r="N1908" s="19">
        <v>50</v>
      </c>
      <c r="O1908" s="19">
        <v>50</v>
      </c>
      <c r="P1908" s="19">
        <v>0</v>
      </c>
      <c r="Q1908" s="19">
        <v>0</v>
      </c>
      <c r="S1908" s="19">
        <v>1</v>
      </c>
      <c r="T1908" s="19">
        <v>1</v>
      </c>
      <c r="U1908" s="19">
        <v>0</v>
      </c>
      <c r="V1908" s="19" t="s">
        <v>41</v>
      </c>
      <c r="W1908" s="19">
        <v>1</v>
      </c>
      <c r="Y1908" s="19" t="s">
        <v>103</v>
      </c>
      <c r="Z1908" s="19">
        <v>50</v>
      </c>
      <c r="AA1908" s="19">
        <v>50</v>
      </c>
    </row>
    <row r="1909" spans="1:27" x14ac:dyDescent="0.25">
      <c r="A1909" s="19" t="s">
        <v>2171</v>
      </c>
      <c r="B1909" s="19" t="s">
        <v>2135</v>
      </c>
      <c r="C1909" s="19" t="s">
        <v>2136</v>
      </c>
      <c r="D1909" s="19">
        <v>1.25</v>
      </c>
      <c r="E1909" s="19" t="s">
        <v>158</v>
      </c>
      <c r="F1909" s="19" t="s">
        <v>159</v>
      </c>
      <c r="G1909" s="19" t="s">
        <v>134</v>
      </c>
      <c r="H1909" s="19" t="s">
        <v>146</v>
      </c>
      <c r="I1909" s="19" t="s">
        <v>147</v>
      </c>
      <c r="J1909" s="19">
        <v>8</v>
      </c>
      <c r="K1909" s="19">
        <v>2.5000000000000001E-2</v>
      </c>
      <c r="L1909" s="19" t="s">
        <v>35</v>
      </c>
      <c r="M1909" s="19" t="s">
        <v>103</v>
      </c>
      <c r="N1909" s="19">
        <v>50</v>
      </c>
      <c r="O1909" s="19">
        <v>50</v>
      </c>
      <c r="P1909" s="19">
        <v>0</v>
      </c>
      <c r="Q1909" s="19">
        <v>0</v>
      </c>
      <c r="S1909" s="19">
        <v>1</v>
      </c>
      <c r="T1909" s="19">
        <v>1</v>
      </c>
      <c r="U1909" s="19">
        <v>0</v>
      </c>
      <c r="V1909" s="19" t="s">
        <v>41</v>
      </c>
      <c r="W1909" s="19">
        <v>1</v>
      </c>
      <c r="Y1909" s="19" t="s">
        <v>103</v>
      </c>
      <c r="Z1909" s="19">
        <v>50</v>
      </c>
      <c r="AA1909" s="19">
        <v>50</v>
      </c>
    </row>
    <row r="1910" spans="1:27" x14ac:dyDescent="0.25">
      <c r="A1910" s="19" t="s">
        <v>2172</v>
      </c>
      <c r="B1910" s="19" t="s">
        <v>2135</v>
      </c>
      <c r="C1910" s="19" t="s">
        <v>2136</v>
      </c>
      <c r="D1910" s="19">
        <v>2.2197779999999998</v>
      </c>
      <c r="E1910" s="19" t="s">
        <v>161</v>
      </c>
      <c r="F1910" s="19" t="s">
        <v>162</v>
      </c>
      <c r="G1910" s="19" t="s">
        <v>163</v>
      </c>
      <c r="I1910" s="19" t="s">
        <v>164</v>
      </c>
      <c r="J1910" s="19">
        <v>1</v>
      </c>
      <c r="K1910" s="19">
        <v>3.3300000000000003E-2</v>
      </c>
      <c r="L1910" s="19" t="s">
        <v>35</v>
      </c>
      <c r="M1910" s="19" t="s">
        <v>165</v>
      </c>
      <c r="N1910" s="19">
        <v>66.66</v>
      </c>
      <c r="O1910" s="19">
        <v>66.66</v>
      </c>
      <c r="P1910" s="19">
        <v>0</v>
      </c>
      <c r="Q1910" s="19">
        <v>0</v>
      </c>
      <c r="S1910" s="19">
        <v>1</v>
      </c>
      <c r="T1910" s="19">
        <v>1</v>
      </c>
      <c r="U1910" s="19">
        <v>0</v>
      </c>
      <c r="W1910" s="19">
        <v>0</v>
      </c>
      <c r="X1910" s="19">
        <v>66.66</v>
      </c>
      <c r="Z1910" s="19">
        <v>0</v>
      </c>
      <c r="AA1910" s="19">
        <v>66.66</v>
      </c>
    </row>
    <row r="1911" spans="1:27" x14ac:dyDescent="0.25">
      <c r="A1911" s="19" t="s">
        <v>2173</v>
      </c>
      <c r="B1911" s="19" t="s">
        <v>2135</v>
      </c>
      <c r="C1911" s="19" t="s">
        <v>2136</v>
      </c>
      <c r="D1911" s="19">
        <v>1.1098889999999999</v>
      </c>
      <c r="E1911" s="19" t="s">
        <v>167</v>
      </c>
      <c r="F1911" s="19" t="s">
        <v>168</v>
      </c>
      <c r="G1911" s="19" t="s">
        <v>163</v>
      </c>
      <c r="I1911" s="19" t="s">
        <v>164</v>
      </c>
      <c r="J1911" s="19">
        <v>3</v>
      </c>
      <c r="K1911" s="19">
        <v>3.3300000000000003E-2</v>
      </c>
      <c r="L1911" s="19" t="s">
        <v>35</v>
      </c>
      <c r="M1911" s="19" t="s">
        <v>165</v>
      </c>
      <c r="N1911" s="19">
        <v>33.33</v>
      </c>
      <c r="O1911" s="19">
        <v>33.33</v>
      </c>
      <c r="P1911" s="19">
        <v>0</v>
      </c>
      <c r="Q1911" s="19">
        <v>0</v>
      </c>
      <c r="S1911" s="19">
        <v>1</v>
      </c>
      <c r="T1911" s="19">
        <v>1</v>
      </c>
      <c r="U1911" s="19">
        <v>0</v>
      </c>
      <c r="W1911" s="19">
        <v>0</v>
      </c>
      <c r="X1911" s="19">
        <v>33.33</v>
      </c>
      <c r="Z1911" s="19">
        <v>0</v>
      </c>
      <c r="AA1911" s="19">
        <v>33.33</v>
      </c>
    </row>
    <row r="1912" spans="1:27" x14ac:dyDescent="0.25">
      <c r="A1912" s="19" t="s">
        <v>2174</v>
      </c>
      <c r="B1912" s="19" t="s">
        <v>2135</v>
      </c>
      <c r="C1912" s="19" t="s">
        <v>2136</v>
      </c>
      <c r="D1912" s="19">
        <v>1.0323</v>
      </c>
      <c r="E1912" s="19" t="s">
        <v>170</v>
      </c>
      <c r="F1912" s="19" t="s">
        <v>171</v>
      </c>
      <c r="G1912" s="19" t="s">
        <v>163</v>
      </c>
      <c r="I1912" s="19" t="s">
        <v>164</v>
      </c>
      <c r="J1912" s="19">
        <v>2</v>
      </c>
      <c r="K1912" s="19">
        <v>3.3300000000000003E-2</v>
      </c>
      <c r="L1912" s="19" t="s">
        <v>35</v>
      </c>
      <c r="M1912" s="19" t="s">
        <v>165</v>
      </c>
      <c r="N1912" s="19">
        <v>31</v>
      </c>
      <c r="O1912" s="19">
        <v>31</v>
      </c>
      <c r="P1912" s="19">
        <v>0</v>
      </c>
      <c r="Q1912" s="19">
        <v>0</v>
      </c>
      <c r="S1912" s="19">
        <v>1</v>
      </c>
      <c r="T1912" s="19">
        <v>1</v>
      </c>
      <c r="U1912" s="19">
        <v>0</v>
      </c>
      <c r="W1912" s="19">
        <v>0</v>
      </c>
      <c r="X1912" s="19">
        <v>31</v>
      </c>
      <c r="Z1912" s="19">
        <v>0</v>
      </c>
      <c r="AA1912" s="19">
        <v>31</v>
      </c>
    </row>
    <row r="1913" spans="1:27" x14ac:dyDescent="0.25">
      <c r="A1913" s="19" t="s">
        <v>2175</v>
      </c>
      <c r="B1913" s="19" t="s">
        <v>2176</v>
      </c>
      <c r="C1913" s="19" t="s">
        <v>2177</v>
      </c>
      <c r="D1913" s="19">
        <v>0</v>
      </c>
      <c r="E1913" s="19" t="s">
        <v>30</v>
      </c>
      <c r="F1913" s="19" t="s">
        <v>31</v>
      </c>
      <c r="G1913" s="19" t="s">
        <v>32</v>
      </c>
      <c r="H1913" s="19" t="s">
        <v>33</v>
      </c>
      <c r="I1913" s="19" t="s">
        <v>34</v>
      </c>
      <c r="J1913" s="19">
        <v>17</v>
      </c>
      <c r="K1913" s="19">
        <v>1.6299999999999999E-2</v>
      </c>
      <c r="L1913" s="19" t="s">
        <v>35</v>
      </c>
      <c r="N1913" s="19">
        <v>0</v>
      </c>
      <c r="O1913" s="19">
        <v>0</v>
      </c>
      <c r="P1913" s="19">
        <v>0</v>
      </c>
      <c r="Q1913" s="19">
        <v>0</v>
      </c>
      <c r="S1913" s="19">
        <v>1</v>
      </c>
      <c r="T1913" s="19">
        <v>1</v>
      </c>
      <c r="U1913" s="19">
        <v>0</v>
      </c>
      <c r="V1913" s="19" t="s">
        <v>36</v>
      </c>
      <c r="W1913" s="19">
        <v>0</v>
      </c>
      <c r="Z1913" s="19">
        <v>0</v>
      </c>
      <c r="AA1913" s="19">
        <v>0</v>
      </c>
    </row>
    <row r="1914" spans="1:27" x14ac:dyDescent="0.25">
      <c r="A1914" s="19" t="s">
        <v>2178</v>
      </c>
      <c r="B1914" s="19" t="s">
        <v>2176</v>
      </c>
      <c r="C1914" s="19" t="s">
        <v>2177</v>
      </c>
      <c r="D1914" s="19">
        <v>0</v>
      </c>
      <c r="E1914" s="19" t="s">
        <v>38</v>
      </c>
      <c r="F1914" s="19" t="s">
        <v>39</v>
      </c>
      <c r="G1914" s="19" t="s">
        <v>32</v>
      </c>
      <c r="H1914" s="19" t="s">
        <v>33</v>
      </c>
      <c r="I1914" s="19" t="s">
        <v>34</v>
      </c>
      <c r="J1914" s="19">
        <v>19</v>
      </c>
      <c r="K1914" s="19">
        <v>1.6299999999999999E-2</v>
      </c>
      <c r="L1914" s="19" t="s">
        <v>35</v>
      </c>
      <c r="N1914" s="19">
        <v>0</v>
      </c>
      <c r="O1914" s="19">
        <v>0</v>
      </c>
      <c r="P1914" s="19">
        <v>0</v>
      </c>
      <c r="Q1914" s="19">
        <v>0</v>
      </c>
      <c r="S1914" s="19">
        <v>1</v>
      </c>
      <c r="T1914" s="19">
        <v>1</v>
      </c>
      <c r="U1914" s="19">
        <v>0</v>
      </c>
      <c r="V1914" s="19" t="s">
        <v>36</v>
      </c>
      <c r="W1914" s="19">
        <v>0</v>
      </c>
      <c r="Z1914" s="19">
        <v>0</v>
      </c>
      <c r="AA1914" s="19">
        <v>0</v>
      </c>
    </row>
    <row r="1915" spans="1:27" x14ac:dyDescent="0.25">
      <c r="A1915" s="19" t="s">
        <v>2179</v>
      </c>
      <c r="B1915" s="19" t="s">
        <v>2176</v>
      </c>
      <c r="C1915" s="19" t="s">
        <v>2177</v>
      </c>
      <c r="D1915" s="19">
        <v>0</v>
      </c>
      <c r="E1915" s="19" t="s">
        <v>43</v>
      </c>
      <c r="F1915" s="19" t="s">
        <v>44</v>
      </c>
      <c r="G1915" s="19" t="s">
        <v>32</v>
      </c>
      <c r="H1915" s="19" t="s">
        <v>33</v>
      </c>
      <c r="I1915" s="19" t="s">
        <v>34</v>
      </c>
      <c r="J1915" s="19">
        <v>18</v>
      </c>
      <c r="K1915" s="19">
        <v>1.6299999999999999E-2</v>
      </c>
      <c r="L1915" s="19" t="s">
        <v>35</v>
      </c>
      <c r="N1915" s="19">
        <v>0</v>
      </c>
      <c r="O1915" s="19">
        <v>0</v>
      </c>
      <c r="P1915" s="19">
        <v>0</v>
      </c>
      <c r="Q1915" s="19">
        <v>0</v>
      </c>
      <c r="S1915" s="19">
        <v>1</v>
      </c>
      <c r="T1915" s="19">
        <v>1</v>
      </c>
      <c r="U1915" s="19">
        <v>0</v>
      </c>
      <c r="V1915" s="19" t="s">
        <v>36</v>
      </c>
      <c r="W1915" s="19">
        <v>0</v>
      </c>
      <c r="Z1915" s="19">
        <v>0</v>
      </c>
      <c r="AA1915" s="19">
        <v>0</v>
      </c>
    </row>
    <row r="1916" spans="1:27" x14ac:dyDescent="0.25">
      <c r="A1916" s="19" t="s">
        <v>2180</v>
      </c>
      <c r="B1916" s="19" t="s">
        <v>2176</v>
      </c>
      <c r="C1916" s="19" t="s">
        <v>2177</v>
      </c>
      <c r="D1916" s="19">
        <v>0</v>
      </c>
      <c r="E1916" s="19" t="s">
        <v>46</v>
      </c>
      <c r="F1916" s="19" t="s">
        <v>47</v>
      </c>
      <c r="G1916" s="19" t="s">
        <v>32</v>
      </c>
      <c r="H1916" s="19" t="s">
        <v>33</v>
      </c>
      <c r="I1916" s="19" t="s">
        <v>34</v>
      </c>
      <c r="J1916" s="19">
        <v>15</v>
      </c>
      <c r="K1916" s="19">
        <v>1.6299999999999999E-2</v>
      </c>
      <c r="L1916" s="19" t="s">
        <v>35</v>
      </c>
      <c r="N1916" s="19">
        <v>0</v>
      </c>
      <c r="O1916" s="19">
        <v>0</v>
      </c>
      <c r="P1916" s="19">
        <v>0</v>
      </c>
      <c r="Q1916" s="19">
        <v>0</v>
      </c>
      <c r="S1916" s="19">
        <v>1</v>
      </c>
      <c r="T1916" s="19">
        <v>1</v>
      </c>
      <c r="U1916" s="19">
        <v>0</v>
      </c>
      <c r="V1916" s="19" t="s">
        <v>36</v>
      </c>
      <c r="W1916" s="19">
        <v>0</v>
      </c>
      <c r="Z1916" s="19">
        <v>0</v>
      </c>
      <c r="AA1916" s="19">
        <v>0</v>
      </c>
    </row>
    <row r="1917" spans="1:27" x14ac:dyDescent="0.25">
      <c r="A1917" s="19" t="s">
        <v>2181</v>
      </c>
      <c r="B1917" s="19" t="s">
        <v>2176</v>
      </c>
      <c r="C1917" s="19" t="s">
        <v>2177</v>
      </c>
      <c r="D1917" s="19">
        <v>0</v>
      </c>
      <c r="E1917" s="19" t="s">
        <v>49</v>
      </c>
      <c r="F1917" s="19" t="s">
        <v>50</v>
      </c>
      <c r="G1917" s="19" t="s">
        <v>32</v>
      </c>
      <c r="H1917" s="19" t="s">
        <v>33</v>
      </c>
      <c r="I1917" s="19" t="s">
        <v>34</v>
      </c>
      <c r="J1917" s="19">
        <v>12</v>
      </c>
      <c r="K1917" s="19">
        <v>1.6299999999999999E-2</v>
      </c>
      <c r="L1917" s="19" t="s">
        <v>35</v>
      </c>
      <c r="N1917" s="19">
        <v>0</v>
      </c>
      <c r="O1917" s="19">
        <v>0</v>
      </c>
      <c r="P1917" s="19">
        <v>0</v>
      </c>
      <c r="Q1917" s="19">
        <v>0</v>
      </c>
      <c r="S1917" s="19">
        <v>1</v>
      </c>
      <c r="T1917" s="19">
        <v>1</v>
      </c>
      <c r="U1917" s="19">
        <v>0</v>
      </c>
      <c r="V1917" s="19" t="s">
        <v>36</v>
      </c>
      <c r="W1917" s="19">
        <v>0</v>
      </c>
      <c r="Z1917" s="19">
        <v>0</v>
      </c>
      <c r="AA1917" s="19">
        <v>0</v>
      </c>
    </row>
    <row r="1918" spans="1:27" x14ac:dyDescent="0.25">
      <c r="A1918" s="19" t="s">
        <v>2182</v>
      </c>
      <c r="B1918" s="19" t="s">
        <v>2176</v>
      </c>
      <c r="C1918" s="19" t="s">
        <v>2177</v>
      </c>
      <c r="D1918" s="19">
        <v>0</v>
      </c>
      <c r="E1918" s="19" t="s">
        <v>52</v>
      </c>
      <c r="F1918" s="19" t="s">
        <v>53</v>
      </c>
      <c r="G1918" s="19" t="s">
        <v>32</v>
      </c>
      <c r="H1918" s="19" t="s">
        <v>33</v>
      </c>
      <c r="I1918" s="19" t="s">
        <v>34</v>
      </c>
      <c r="J1918" s="19">
        <v>16</v>
      </c>
      <c r="K1918" s="19">
        <v>1.6299999999999999E-2</v>
      </c>
      <c r="L1918" s="19" t="s">
        <v>35</v>
      </c>
      <c r="N1918" s="19">
        <v>0</v>
      </c>
      <c r="O1918" s="19">
        <v>0</v>
      </c>
      <c r="P1918" s="19">
        <v>0</v>
      </c>
      <c r="Q1918" s="19">
        <v>0</v>
      </c>
      <c r="S1918" s="19">
        <v>1</v>
      </c>
      <c r="T1918" s="19">
        <v>1</v>
      </c>
      <c r="U1918" s="19">
        <v>0</v>
      </c>
      <c r="V1918" s="19" t="s">
        <v>36</v>
      </c>
      <c r="W1918" s="19">
        <v>0</v>
      </c>
      <c r="Z1918" s="19">
        <v>0</v>
      </c>
      <c r="AA1918" s="19">
        <v>0</v>
      </c>
    </row>
    <row r="1919" spans="1:27" x14ac:dyDescent="0.25">
      <c r="A1919" s="19" t="s">
        <v>2183</v>
      </c>
      <c r="B1919" s="19" t="s">
        <v>2176</v>
      </c>
      <c r="C1919" s="19" t="s">
        <v>2177</v>
      </c>
      <c r="D1919" s="19">
        <v>0</v>
      </c>
      <c r="E1919" s="19" t="s">
        <v>55</v>
      </c>
      <c r="F1919" s="19" t="s">
        <v>56</v>
      </c>
      <c r="G1919" s="19" t="s">
        <v>32</v>
      </c>
      <c r="H1919" s="19" t="s">
        <v>33</v>
      </c>
      <c r="I1919" s="19" t="s">
        <v>34</v>
      </c>
      <c r="J1919" s="19">
        <v>14</v>
      </c>
      <c r="K1919" s="19">
        <v>1.6299999999999999E-2</v>
      </c>
      <c r="L1919" s="19" t="s">
        <v>35</v>
      </c>
      <c r="N1919" s="19">
        <v>0</v>
      </c>
      <c r="O1919" s="19">
        <v>0</v>
      </c>
      <c r="P1919" s="19">
        <v>0</v>
      </c>
      <c r="Q1919" s="19">
        <v>0</v>
      </c>
      <c r="S1919" s="19">
        <v>1</v>
      </c>
      <c r="T1919" s="19">
        <v>1</v>
      </c>
      <c r="U1919" s="19">
        <v>0</v>
      </c>
      <c r="V1919" s="19" t="s">
        <v>36</v>
      </c>
      <c r="W1919" s="19">
        <v>0</v>
      </c>
      <c r="Z1919" s="19">
        <v>0</v>
      </c>
      <c r="AA1919" s="19">
        <v>0</v>
      </c>
    </row>
    <row r="1920" spans="1:27" x14ac:dyDescent="0.25">
      <c r="A1920" s="19" t="s">
        <v>2184</v>
      </c>
      <c r="B1920" s="19" t="s">
        <v>2176</v>
      </c>
      <c r="C1920" s="19" t="s">
        <v>2177</v>
      </c>
      <c r="D1920" s="19">
        <v>0</v>
      </c>
      <c r="E1920" s="19" t="s">
        <v>58</v>
      </c>
      <c r="F1920" s="19" t="s">
        <v>59</v>
      </c>
      <c r="G1920" s="19" t="s">
        <v>32</v>
      </c>
      <c r="H1920" s="19" t="s">
        <v>33</v>
      </c>
      <c r="I1920" s="19" t="s">
        <v>34</v>
      </c>
      <c r="J1920" s="19">
        <v>13</v>
      </c>
      <c r="K1920" s="19">
        <v>1.6299999999999999E-2</v>
      </c>
      <c r="L1920" s="19" t="s">
        <v>35</v>
      </c>
      <c r="N1920" s="19">
        <v>0</v>
      </c>
      <c r="O1920" s="19">
        <v>0</v>
      </c>
      <c r="P1920" s="19">
        <v>0</v>
      </c>
      <c r="Q1920" s="19">
        <v>0</v>
      </c>
      <c r="S1920" s="19">
        <v>1</v>
      </c>
      <c r="T1920" s="19">
        <v>1</v>
      </c>
      <c r="U1920" s="19">
        <v>0</v>
      </c>
      <c r="V1920" s="19" t="s">
        <v>36</v>
      </c>
      <c r="W1920" s="19">
        <v>0</v>
      </c>
      <c r="Z1920" s="19">
        <v>0</v>
      </c>
      <c r="AA1920" s="19">
        <v>0</v>
      </c>
    </row>
    <row r="1921" spans="1:27" x14ac:dyDescent="0.25">
      <c r="A1921" s="19" t="s">
        <v>2185</v>
      </c>
      <c r="B1921" s="19" t="s">
        <v>2176</v>
      </c>
      <c r="C1921" s="19" t="s">
        <v>2177</v>
      </c>
      <c r="D1921" s="19">
        <v>0</v>
      </c>
      <c r="E1921" s="19" t="s">
        <v>61</v>
      </c>
      <c r="F1921" s="19" t="s">
        <v>62</v>
      </c>
      <c r="G1921" s="19" t="s">
        <v>32</v>
      </c>
      <c r="H1921" s="19" t="s">
        <v>63</v>
      </c>
      <c r="I1921" s="19" t="s">
        <v>64</v>
      </c>
      <c r="J1921" s="19">
        <v>22</v>
      </c>
      <c r="K1921" s="19">
        <v>1.8599999999999998E-2</v>
      </c>
      <c r="L1921" s="19" t="s">
        <v>35</v>
      </c>
      <c r="N1921" s="19">
        <v>0</v>
      </c>
      <c r="O1921" s="19">
        <v>0</v>
      </c>
      <c r="P1921" s="19">
        <v>0</v>
      </c>
      <c r="Q1921" s="19">
        <v>0</v>
      </c>
      <c r="S1921" s="19">
        <v>1</v>
      </c>
      <c r="T1921" s="19">
        <v>1</v>
      </c>
      <c r="U1921" s="19">
        <v>0</v>
      </c>
      <c r="V1921" s="19" t="s">
        <v>36</v>
      </c>
      <c r="W1921" s="19">
        <v>0</v>
      </c>
      <c r="Z1921" s="19">
        <v>0</v>
      </c>
      <c r="AA1921" s="19">
        <v>0</v>
      </c>
    </row>
    <row r="1922" spans="1:27" x14ac:dyDescent="0.25">
      <c r="A1922" s="19" t="s">
        <v>2186</v>
      </c>
      <c r="B1922" s="19" t="s">
        <v>2176</v>
      </c>
      <c r="C1922" s="19" t="s">
        <v>2177</v>
      </c>
      <c r="D1922" s="19">
        <v>0</v>
      </c>
      <c r="E1922" s="19" t="s">
        <v>66</v>
      </c>
      <c r="F1922" s="19" t="s">
        <v>67</v>
      </c>
      <c r="G1922" s="19" t="s">
        <v>32</v>
      </c>
      <c r="H1922" s="19" t="s">
        <v>63</v>
      </c>
      <c r="I1922" s="19" t="s">
        <v>64</v>
      </c>
      <c r="J1922" s="19">
        <v>20</v>
      </c>
      <c r="K1922" s="19">
        <v>1.8599999999999998E-2</v>
      </c>
      <c r="L1922" s="19" t="s">
        <v>35</v>
      </c>
      <c r="N1922" s="19">
        <v>0</v>
      </c>
      <c r="O1922" s="19">
        <v>0</v>
      </c>
      <c r="P1922" s="19">
        <v>0</v>
      </c>
      <c r="Q1922" s="19">
        <v>0</v>
      </c>
      <c r="S1922" s="19">
        <v>1</v>
      </c>
      <c r="T1922" s="19">
        <v>1</v>
      </c>
      <c r="U1922" s="19">
        <v>0</v>
      </c>
      <c r="V1922" s="19" t="s">
        <v>36</v>
      </c>
      <c r="W1922" s="19">
        <v>0</v>
      </c>
      <c r="Z1922" s="19">
        <v>0</v>
      </c>
      <c r="AA1922" s="19">
        <v>0</v>
      </c>
    </row>
    <row r="1923" spans="1:27" x14ac:dyDescent="0.25">
      <c r="A1923" s="19" t="s">
        <v>2187</v>
      </c>
      <c r="B1923" s="19" t="s">
        <v>2176</v>
      </c>
      <c r="C1923" s="19" t="s">
        <v>2177</v>
      </c>
      <c r="D1923" s="19">
        <v>0</v>
      </c>
      <c r="E1923" s="19" t="s">
        <v>69</v>
      </c>
      <c r="F1923" s="19" t="s">
        <v>70</v>
      </c>
      <c r="G1923" s="19" t="s">
        <v>32</v>
      </c>
      <c r="H1923" s="19" t="s">
        <v>63</v>
      </c>
      <c r="I1923" s="19" t="s">
        <v>64</v>
      </c>
      <c r="J1923" s="19">
        <v>23</v>
      </c>
      <c r="K1923" s="19">
        <v>1.8599999999999998E-2</v>
      </c>
      <c r="L1923" s="19" t="s">
        <v>35</v>
      </c>
      <c r="N1923" s="19">
        <v>0</v>
      </c>
      <c r="O1923" s="19">
        <v>0</v>
      </c>
      <c r="P1923" s="19">
        <v>0</v>
      </c>
      <c r="Q1923" s="19">
        <v>0</v>
      </c>
      <c r="S1923" s="19">
        <v>1</v>
      </c>
      <c r="T1923" s="19">
        <v>1</v>
      </c>
      <c r="U1923" s="19">
        <v>0</v>
      </c>
      <c r="V1923" s="19" t="s">
        <v>36</v>
      </c>
      <c r="W1923" s="19">
        <v>0</v>
      </c>
      <c r="Z1923" s="19">
        <v>0</v>
      </c>
      <c r="AA1923" s="19">
        <v>0</v>
      </c>
    </row>
    <row r="1924" spans="1:27" x14ac:dyDescent="0.25">
      <c r="A1924" s="19" t="s">
        <v>2188</v>
      </c>
      <c r="B1924" s="19" t="s">
        <v>2176</v>
      </c>
      <c r="C1924" s="19" t="s">
        <v>2177</v>
      </c>
      <c r="D1924" s="19">
        <v>0</v>
      </c>
      <c r="E1924" s="19" t="s">
        <v>72</v>
      </c>
      <c r="F1924" s="19" t="s">
        <v>73</v>
      </c>
      <c r="G1924" s="19" t="s">
        <v>32</v>
      </c>
      <c r="H1924" s="19" t="s">
        <v>63</v>
      </c>
      <c r="I1924" s="19" t="s">
        <v>64</v>
      </c>
      <c r="J1924" s="19">
        <v>21</v>
      </c>
      <c r="K1924" s="19">
        <v>1.8599999999999998E-2</v>
      </c>
      <c r="L1924" s="19" t="s">
        <v>35</v>
      </c>
      <c r="N1924" s="19">
        <v>0</v>
      </c>
      <c r="O1924" s="19">
        <v>0</v>
      </c>
      <c r="P1924" s="19">
        <v>0</v>
      </c>
      <c r="Q1924" s="19">
        <v>0</v>
      </c>
      <c r="S1924" s="19">
        <v>1</v>
      </c>
      <c r="T1924" s="19">
        <v>1</v>
      </c>
      <c r="U1924" s="19">
        <v>0</v>
      </c>
      <c r="V1924" s="19" t="s">
        <v>36</v>
      </c>
      <c r="W1924" s="19">
        <v>0</v>
      </c>
      <c r="Z1924" s="19">
        <v>0</v>
      </c>
      <c r="AA1924" s="19">
        <v>0</v>
      </c>
    </row>
    <row r="1925" spans="1:27" x14ac:dyDescent="0.25">
      <c r="A1925" s="19" t="s">
        <v>2189</v>
      </c>
      <c r="B1925" s="19" t="s">
        <v>2176</v>
      </c>
      <c r="C1925" s="19" t="s">
        <v>2177</v>
      </c>
      <c r="D1925" s="19">
        <v>0</v>
      </c>
      <c r="E1925" s="19" t="s">
        <v>75</v>
      </c>
      <c r="F1925" s="19" t="s">
        <v>76</v>
      </c>
      <c r="G1925" s="19" t="s">
        <v>32</v>
      </c>
      <c r="H1925" s="19" t="s">
        <v>63</v>
      </c>
      <c r="I1925" s="19" t="s">
        <v>64</v>
      </c>
      <c r="J1925" s="19">
        <v>24</v>
      </c>
      <c r="K1925" s="19">
        <v>1.8599999999999998E-2</v>
      </c>
      <c r="L1925" s="19" t="s">
        <v>35</v>
      </c>
      <c r="N1925" s="19">
        <v>0</v>
      </c>
      <c r="O1925" s="19">
        <v>0</v>
      </c>
      <c r="P1925" s="19">
        <v>0</v>
      </c>
      <c r="Q1925" s="19">
        <v>0</v>
      </c>
      <c r="S1925" s="19">
        <v>1</v>
      </c>
      <c r="T1925" s="19">
        <v>1</v>
      </c>
      <c r="U1925" s="19">
        <v>0</v>
      </c>
      <c r="V1925" s="19" t="s">
        <v>36</v>
      </c>
      <c r="W1925" s="19">
        <v>0</v>
      </c>
      <c r="Z1925" s="19">
        <v>0</v>
      </c>
      <c r="AA1925" s="19">
        <v>0</v>
      </c>
    </row>
    <row r="1926" spans="1:27" x14ac:dyDescent="0.25">
      <c r="A1926" s="19" t="s">
        <v>2190</v>
      </c>
      <c r="B1926" s="19" t="s">
        <v>2176</v>
      </c>
      <c r="C1926" s="19" t="s">
        <v>2177</v>
      </c>
      <c r="D1926" s="19">
        <v>0</v>
      </c>
      <c r="E1926" s="19" t="s">
        <v>78</v>
      </c>
      <c r="F1926" s="19" t="s">
        <v>79</v>
      </c>
      <c r="G1926" s="19" t="s">
        <v>32</v>
      </c>
      <c r="H1926" s="19" t="s">
        <v>63</v>
      </c>
      <c r="I1926" s="19" t="s">
        <v>64</v>
      </c>
      <c r="J1926" s="19">
        <v>25</v>
      </c>
      <c r="K1926" s="19">
        <v>1.8599999999999998E-2</v>
      </c>
      <c r="L1926" s="19" t="s">
        <v>35</v>
      </c>
      <c r="N1926" s="19">
        <v>0</v>
      </c>
      <c r="O1926" s="19">
        <v>0</v>
      </c>
      <c r="P1926" s="19">
        <v>0</v>
      </c>
      <c r="Q1926" s="19">
        <v>0</v>
      </c>
      <c r="S1926" s="19">
        <v>1</v>
      </c>
      <c r="T1926" s="19">
        <v>1</v>
      </c>
      <c r="U1926" s="19">
        <v>0</v>
      </c>
      <c r="V1926" s="19" t="s">
        <v>36</v>
      </c>
      <c r="W1926" s="19">
        <v>0</v>
      </c>
      <c r="Z1926" s="19">
        <v>0</v>
      </c>
      <c r="AA1926" s="19">
        <v>0</v>
      </c>
    </row>
    <row r="1927" spans="1:27" x14ac:dyDescent="0.25">
      <c r="A1927" s="19" t="s">
        <v>2191</v>
      </c>
      <c r="B1927" s="19" t="s">
        <v>2176</v>
      </c>
      <c r="C1927" s="19" t="s">
        <v>2177</v>
      </c>
      <c r="D1927" s="19">
        <v>0</v>
      </c>
      <c r="E1927" s="19" t="s">
        <v>82</v>
      </c>
      <c r="F1927" s="19" t="s">
        <v>83</v>
      </c>
      <c r="G1927" s="19" t="s">
        <v>32</v>
      </c>
      <c r="H1927" s="19" t="s">
        <v>63</v>
      </c>
      <c r="I1927" s="19" t="s">
        <v>64</v>
      </c>
      <c r="J1927" s="19">
        <v>26</v>
      </c>
      <c r="K1927" s="19">
        <v>1.8599999999999998E-2</v>
      </c>
      <c r="L1927" s="19" t="s">
        <v>35</v>
      </c>
      <c r="N1927" s="19">
        <v>0</v>
      </c>
      <c r="O1927" s="19">
        <v>0</v>
      </c>
      <c r="P1927" s="19">
        <v>0</v>
      </c>
      <c r="Q1927" s="19">
        <v>0</v>
      </c>
      <c r="S1927" s="19">
        <v>1</v>
      </c>
      <c r="T1927" s="19">
        <v>1</v>
      </c>
      <c r="U1927" s="19">
        <v>0</v>
      </c>
      <c r="V1927" s="19" t="s">
        <v>36</v>
      </c>
      <c r="W1927" s="19">
        <v>0</v>
      </c>
      <c r="Z1927" s="19">
        <v>0</v>
      </c>
      <c r="AA1927" s="19">
        <v>0</v>
      </c>
    </row>
    <row r="1928" spans="1:27" x14ac:dyDescent="0.25">
      <c r="A1928" s="19" t="s">
        <v>2192</v>
      </c>
      <c r="B1928" s="19" t="s">
        <v>2176</v>
      </c>
      <c r="C1928" s="19" t="s">
        <v>2177</v>
      </c>
      <c r="D1928" s="19">
        <v>0</v>
      </c>
      <c r="E1928" s="19" t="s">
        <v>85</v>
      </c>
      <c r="F1928" s="19" t="s">
        <v>86</v>
      </c>
      <c r="G1928" s="19" t="s">
        <v>32</v>
      </c>
      <c r="H1928" s="19" t="s">
        <v>87</v>
      </c>
      <c r="I1928" s="19" t="s">
        <v>88</v>
      </c>
      <c r="J1928" s="19">
        <v>35</v>
      </c>
      <c r="K1928" s="19">
        <v>3.2500000000000001E-2</v>
      </c>
      <c r="L1928" s="19" t="s">
        <v>35</v>
      </c>
      <c r="N1928" s="19">
        <v>0</v>
      </c>
      <c r="O1928" s="19">
        <v>0</v>
      </c>
      <c r="P1928" s="19">
        <v>0</v>
      </c>
      <c r="Q1928" s="19">
        <v>0</v>
      </c>
      <c r="S1928" s="19">
        <v>1</v>
      </c>
      <c r="T1928" s="19">
        <v>1</v>
      </c>
      <c r="U1928" s="19">
        <v>0</v>
      </c>
      <c r="V1928" s="19" t="s">
        <v>36</v>
      </c>
      <c r="W1928" s="19">
        <v>0</v>
      </c>
      <c r="Z1928" s="19">
        <v>0</v>
      </c>
      <c r="AA1928" s="19">
        <v>0</v>
      </c>
    </row>
    <row r="1929" spans="1:27" x14ac:dyDescent="0.25">
      <c r="A1929" s="19" t="s">
        <v>2193</v>
      </c>
      <c r="B1929" s="19" t="s">
        <v>2176</v>
      </c>
      <c r="C1929" s="19" t="s">
        <v>2177</v>
      </c>
      <c r="D1929" s="19">
        <v>0</v>
      </c>
      <c r="E1929" s="19" t="s">
        <v>90</v>
      </c>
      <c r="F1929" s="19" t="s">
        <v>91</v>
      </c>
      <c r="G1929" s="19" t="s">
        <v>32</v>
      </c>
      <c r="H1929" s="19" t="s">
        <v>87</v>
      </c>
      <c r="I1929" s="19" t="s">
        <v>88</v>
      </c>
      <c r="J1929" s="19">
        <v>33</v>
      </c>
      <c r="K1929" s="19">
        <v>3.2500000000000001E-2</v>
      </c>
      <c r="L1929" s="19" t="s">
        <v>35</v>
      </c>
      <c r="N1929" s="19">
        <v>0</v>
      </c>
      <c r="O1929" s="19">
        <v>0</v>
      </c>
      <c r="P1929" s="19">
        <v>0</v>
      </c>
      <c r="Q1929" s="19">
        <v>0</v>
      </c>
      <c r="S1929" s="19">
        <v>1</v>
      </c>
      <c r="T1929" s="19">
        <v>1</v>
      </c>
      <c r="U1929" s="19">
        <v>0</v>
      </c>
      <c r="V1929" s="19" t="s">
        <v>36</v>
      </c>
      <c r="W1929" s="19">
        <v>0</v>
      </c>
      <c r="Z1929" s="19">
        <v>0</v>
      </c>
      <c r="AA1929" s="19">
        <v>0</v>
      </c>
    </row>
    <row r="1930" spans="1:27" x14ac:dyDescent="0.25">
      <c r="A1930" s="19" t="s">
        <v>2194</v>
      </c>
      <c r="B1930" s="19" t="s">
        <v>2176</v>
      </c>
      <c r="C1930" s="19" t="s">
        <v>2177</v>
      </c>
      <c r="D1930" s="19">
        <v>0</v>
      </c>
      <c r="E1930" s="19" t="s">
        <v>93</v>
      </c>
      <c r="F1930" s="19" t="s">
        <v>94</v>
      </c>
      <c r="G1930" s="19" t="s">
        <v>32</v>
      </c>
      <c r="H1930" s="19" t="s">
        <v>87</v>
      </c>
      <c r="I1930" s="19" t="s">
        <v>88</v>
      </c>
      <c r="J1930" s="19">
        <v>34</v>
      </c>
      <c r="K1930" s="19">
        <v>3.2500000000000001E-2</v>
      </c>
      <c r="L1930" s="19" t="s">
        <v>35</v>
      </c>
      <c r="N1930" s="19">
        <v>0</v>
      </c>
      <c r="O1930" s="19">
        <v>0</v>
      </c>
      <c r="P1930" s="19">
        <v>0</v>
      </c>
      <c r="Q1930" s="19">
        <v>0</v>
      </c>
      <c r="S1930" s="19">
        <v>1</v>
      </c>
      <c r="T1930" s="19">
        <v>1</v>
      </c>
      <c r="U1930" s="19">
        <v>0</v>
      </c>
      <c r="V1930" s="19" t="s">
        <v>36</v>
      </c>
      <c r="W1930" s="19">
        <v>0</v>
      </c>
      <c r="Z1930" s="19">
        <v>0</v>
      </c>
      <c r="AA1930" s="19">
        <v>0</v>
      </c>
    </row>
    <row r="1931" spans="1:27" x14ac:dyDescent="0.25">
      <c r="A1931" s="19" t="s">
        <v>2195</v>
      </c>
      <c r="B1931" s="19" t="s">
        <v>2176</v>
      </c>
      <c r="C1931" s="19" t="s">
        <v>2177</v>
      </c>
      <c r="D1931" s="19">
        <v>0</v>
      </c>
      <c r="E1931" s="19" t="s">
        <v>96</v>
      </c>
      <c r="F1931" s="19" t="s">
        <v>97</v>
      </c>
      <c r="G1931" s="19" t="s">
        <v>32</v>
      </c>
      <c r="H1931" s="19" t="s">
        <v>87</v>
      </c>
      <c r="I1931" s="19" t="s">
        <v>88</v>
      </c>
      <c r="J1931" s="19">
        <v>36</v>
      </c>
      <c r="K1931" s="19">
        <v>3.2500000000000001E-2</v>
      </c>
      <c r="L1931" s="19" t="s">
        <v>35</v>
      </c>
      <c r="N1931" s="19">
        <v>0</v>
      </c>
      <c r="O1931" s="19">
        <v>0</v>
      </c>
      <c r="P1931" s="19">
        <v>0</v>
      </c>
      <c r="Q1931" s="19">
        <v>0</v>
      </c>
      <c r="S1931" s="19">
        <v>1</v>
      </c>
      <c r="T1931" s="19">
        <v>1</v>
      </c>
      <c r="U1931" s="19">
        <v>0</v>
      </c>
      <c r="V1931" s="19" t="s">
        <v>36</v>
      </c>
      <c r="W1931" s="19">
        <v>0</v>
      </c>
      <c r="Z1931" s="19">
        <v>0</v>
      </c>
      <c r="AA1931" s="19">
        <v>0</v>
      </c>
    </row>
    <row r="1932" spans="1:27" x14ac:dyDescent="0.25">
      <c r="A1932" s="19" t="s">
        <v>2196</v>
      </c>
      <c r="B1932" s="19" t="s">
        <v>2176</v>
      </c>
      <c r="C1932" s="19" t="s">
        <v>2177</v>
      </c>
      <c r="D1932" s="19">
        <v>0</v>
      </c>
      <c r="E1932" s="19" t="s">
        <v>99</v>
      </c>
      <c r="F1932" s="19" t="s">
        <v>100</v>
      </c>
      <c r="G1932" s="19" t="s">
        <v>32</v>
      </c>
      <c r="H1932" s="19" t="s">
        <v>101</v>
      </c>
      <c r="I1932" s="19" t="s">
        <v>102</v>
      </c>
      <c r="J1932" s="19">
        <v>39</v>
      </c>
      <c r="K1932" s="19">
        <v>4.3299999999999998E-2</v>
      </c>
      <c r="L1932" s="19" t="s">
        <v>35</v>
      </c>
      <c r="M1932" s="19" t="s">
        <v>103</v>
      </c>
      <c r="N1932" s="19">
        <v>0</v>
      </c>
      <c r="O1932" s="19">
        <v>0</v>
      </c>
      <c r="P1932" s="19">
        <v>0</v>
      </c>
      <c r="Q1932" s="19">
        <v>0</v>
      </c>
      <c r="S1932" s="19">
        <v>1</v>
      </c>
      <c r="T1932" s="19">
        <v>1</v>
      </c>
      <c r="U1932" s="19">
        <v>0</v>
      </c>
      <c r="V1932" s="19" t="s">
        <v>36</v>
      </c>
      <c r="W1932" s="19">
        <v>0</v>
      </c>
      <c r="Y1932" s="19" t="s">
        <v>103</v>
      </c>
      <c r="Z1932" s="19">
        <v>50</v>
      </c>
      <c r="AA1932" s="19">
        <v>0</v>
      </c>
    </row>
    <row r="1933" spans="1:27" x14ac:dyDescent="0.25">
      <c r="A1933" s="19" t="s">
        <v>2197</v>
      </c>
      <c r="B1933" s="19" t="s">
        <v>2176</v>
      </c>
      <c r="C1933" s="19" t="s">
        <v>2177</v>
      </c>
      <c r="D1933" s="19">
        <v>0</v>
      </c>
      <c r="E1933" s="19" t="s">
        <v>105</v>
      </c>
      <c r="F1933" s="19" t="s">
        <v>106</v>
      </c>
      <c r="G1933" s="19" t="s">
        <v>32</v>
      </c>
      <c r="H1933" s="19" t="s">
        <v>101</v>
      </c>
      <c r="I1933" s="19" t="s">
        <v>102</v>
      </c>
      <c r="J1933" s="19">
        <v>38</v>
      </c>
      <c r="K1933" s="19">
        <v>4.3299999999999998E-2</v>
      </c>
      <c r="L1933" s="19" t="s">
        <v>35</v>
      </c>
      <c r="M1933" s="19" t="s">
        <v>103</v>
      </c>
      <c r="N1933" s="19">
        <v>0</v>
      </c>
      <c r="O1933" s="19">
        <v>0</v>
      </c>
      <c r="P1933" s="19">
        <v>0</v>
      </c>
      <c r="Q1933" s="19">
        <v>0</v>
      </c>
      <c r="S1933" s="19">
        <v>1</v>
      </c>
      <c r="T1933" s="19">
        <v>1</v>
      </c>
      <c r="U1933" s="19">
        <v>0</v>
      </c>
      <c r="V1933" s="19" t="s">
        <v>36</v>
      </c>
      <c r="W1933" s="19">
        <v>0</v>
      </c>
      <c r="Y1933" s="19" t="s">
        <v>103</v>
      </c>
      <c r="Z1933" s="19">
        <v>50</v>
      </c>
      <c r="AA1933" s="19">
        <v>0</v>
      </c>
    </row>
    <row r="1934" spans="1:27" x14ac:dyDescent="0.25">
      <c r="A1934" s="19" t="s">
        <v>2198</v>
      </c>
      <c r="B1934" s="19" t="s">
        <v>2176</v>
      </c>
      <c r="C1934" s="19" t="s">
        <v>2177</v>
      </c>
      <c r="D1934" s="19">
        <v>0</v>
      </c>
      <c r="E1934" s="19" t="s">
        <v>108</v>
      </c>
      <c r="F1934" s="19" t="s">
        <v>109</v>
      </c>
      <c r="G1934" s="19" t="s">
        <v>32</v>
      </c>
      <c r="H1934" s="19" t="s">
        <v>101</v>
      </c>
      <c r="I1934" s="19" t="s">
        <v>102</v>
      </c>
      <c r="J1934" s="19">
        <v>37</v>
      </c>
      <c r="K1934" s="19">
        <v>4.3299999999999998E-2</v>
      </c>
      <c r="L1934" s="19" t="s">
        <v>35</v>
      </c>
      <c r="N1934" s="19">
        <v>0</v>
      </c>
      <c r="O1934" s="19">
        <v>0</v>
      </c>
      <c r="P1934" s="19">
        <v>0</v>
      </c>
      <c r="Q1934" s="19">
        <v>0</v>
      </c>
      <c r="S1934" s="19">
        <v>1</v>
      </c>
      <c r="T1934" s="19">
        <v>1</v>
      </c>
      <c r="U1934" s="19">
        <v>0</v>
      </c>
      <c r="V1934" s="19" t="s">
        <v>36</v>
      </c>
      <c r="W1934" s="19">
        <v>0</v>
      </c>
      <c r="Z1934" s="19">
        <v>0</v>
      </c>
      <c r="AA1934" s="19">
        <v>0</v>
      </c>
    </row>
    <row r="1935" spans="1:27" x14ac:dyDescent="0.25">
      <c r="A1935" s="19" t="s">
        <v>2199</v>
      </c>
      <c r="B1935" s="19" t="s">
        <v>2176</v>
      </c>
      <c r="C1935" s="19" t="s">
        <v>2177</v>
      </c>
      <c r="D1935" s="19">
        <v>0</v>
      </c>
      <c r="E1935" s="19" t="s">
        <v>112</v>
      </c>
      <c r="F1935" s="19" t="s">
        <v>113</v>
      </c>
      <c r="G1935" s="19" t="s">
        <v>32</v>
      </c>
      <c r="H1935" s="19" t="s">
        <v>114</v>
      </c>
      <c r="I1935" s="19" t="s">
        <v>115</v>
      </c>
      <c r="J1935" s="19">
        <v>30</v>
      </c>
      <c r="K1935" s="19">
        <v>2.1700000000000001E-2</v>
      </c>
      <c r="L1935" s="19" t="s">
        <v>35</v>
      </c>
      <c r="M1935" s="19" t="s">
        <v>103</v>
      </c>
      <c r="N1935" s="19">
        <v>0</v>
      </c>
      <c r="O1935" s="19">
        <v>0</v>
      </c>
      <c r="P1935" s="19">
        <v>0</v>
      </c>
      <c r="Q1935" s="19">
        <v>0</v>
      </c>
      <c r="S1935" s="19">
        <v>1</v>
      </c>
      <c r="T1935" s="19">
        <v>1</v>
      </c>
      <c r="U1935" s="19">
        <v>0</v>
      </c>
      <c r="V1935" s="19" t="s">
        <v>36</v>
      </c>
      <c r="W1935" s="19">
        <v>0</v>
      </c>
      <c r="Y1935" s="19" t="s">
        <v>103</v>
      </c>
      <c r="Z1935" s="19">
        <v>50</v>
      </c>
      <c r="AA1935" s="19">
        <v>0</v>
      </c>
    </row>
    <row r="1936" spans="1:27" x14ac:dyDescent="0.25">
      <c r="A1936" s="19" t="s">
        <v>2200</v>
      </c>
      <c r="B1936" s="19" t="s">
        <v>2176</v>
      </c>
      <c r="C1936" s="19" t="s">
        <v>2177</v>
      </c>
      <c r="D1936" s="19">
        <v>0</v>
      </c>
      <c r="E1936" s="19" t="s">
        <v>117</v>
      </c>
      <c r="F1936" s="19" t="s">
        <v>118</v>
      </c>
      <c r="G1936" s="19" t="s">
        <v>32</v>
      </c>
      <c r="H1936" s="19" t="s">
        <v>114</v>
      </c>
      <c r="I1936" s="19" t="s">
        <v>115</v>
      </c>
      <c r="J1936" s="19">
        <v>31</v>
      </c>
      <c r="K1936" s="19">
        <v>2.1700000000000001E-2</v>
      </c>
      <c r="L1936" s="19" t="s">
        <v>35</v>
      </c>
      <c r="M1936" s="19" t="s">
        <v>103</v>
      </c>
      <c r="N1936" s="19">
        <v>0</v>
      </c>
      <c r="O1936" s="19">
        <v>0</v>
      </c>
      <c r="P1936" s="19">
        <v>0</v>
      </c>
      <c r="Q1936" s="19">
        <v>0</v>
      </c>
      <c r="S1936" s="19">
        <v>1</v>
      </c>
      <c r="T1936" s="19">
        <v>1</v>
      </c>
      <c r="U1936" s="19">
        <v>0</v>
      </c>
      <c r="V1936" s="19" t="s">
        <v>80</v>
      </c>
      <c r="W1936" s="19">
        <v>0</v>
      </c>
      <c r="Y1936" s="19" t="s">
        <v>103</v>
      </c>
      <c r="Z1936" s="19">
        <v>50</v>
      </c>
      <c r="AA1936" s="19">
        <v>0</v>
      </c>
    </row>
    <row r="1937" spans="1:27" x14ac:dyDescent="0.25">
      <c r="A1937" s="19" t="s">
        <v>2201</v>
      </c>
      <c r="B1937" s="19" t="s">
        <v>2176</v>
      </c>
      <c r="C1937" s="19" t="s">
        <v>2177</v>
      </c>
      <c r="D1937" s="19">
        <v>0</v>
      </c>
      <c r="E1937" s="19" t="s">
        <v>120</v>
      </c>
      <c r="F1937" s="19" t="s">
        <v>121</v>
      </c>
      <c r="G1937" s="19" t="s">
        <v>32</v>
      </c>
      <c r="H1937" s="19" t="s">
        <v>114</v>
      </c>
      <c r="I1937" s="19" t="s">
        <v>115</v>
      </c>
      <c r="J1937" s="19">
        <v>28</v>
      </c>
      <c r="K1937" s="19">
        <v>2.1700000000000001E-2</v>
      </c>
      <c r="L1937" s="19" t="s">
        <v>35</v>
      </c>
      <c r="M1937" s="19" t="s">
        <v>103</v>
      </c>
      <c r="N1937" s="19">
        <v>0</v>
      </c>
      <c r="O1937" s="19">
        <v>0</v>
      </c>
      <c r="P1937" s="19">
        <v>0</v>
      </c>
      <c r="Q1937" s="19">
        <v>0</v>
      </c>
      <c r="S1937" s="19">
        <v>1</v>
      </c>
      <c r="T1937" s="19">
        <v>1</v>
      </c>
      <c r="U1937" s="19">
        <v>0</v>
      </c>
      <c r="V1937" s="19" t="s">
        <v>36</v>
      </c>
      <c r="W1937" s="19">
        <v>0</v>
      </c>
      <c r="Y1937" s="19" t="s">
        <v>103</v>
      </c>
      <c r="Z1937" s="19">
        <v>50</v>
      </c>
      <c r="AA1937" s="19">
        <v>0</v>
      </c>
    </row>
    <row r="1938" spans="1:27" x14ac:dyDescent="0.25">
      <c r="A1938" s="19" t="s">
        <v>2202</v>
      </c>
      <c r="B1938" s="19" t="s">
        <v>2176</v>
      </c>
      <c r="C1938" s="19" t="s">
        <v>2177</v>
      </c>
      <c r="D1938" s="19">
        <v>0</v>
      </c>
      <c r="E1938" s="19" t="s">
        <v>123</v>
      </c>
      <c r="F1938" s="19" t="s">
        <v>124</v>
      </c>
      <c r="G1938" s="19" t="s">
        <v>32</v>
      </c>
      <c r="H1938" s="19" t="s">
        <v>114</v>
      </c>
      <c r="I1938" s="19" t="s">
        <v>115</v>
      </c>
      <c r="J1938" s="19">
        <v>27</v>
      </c>
      <c r="K1938" s="19">
        <v>2.1700000000000001E-2</v>
      </c>
      <c r="L1938" s="19" t="s">
        <v>35</v>
      </c>
      <c r="M1938" s="19" t="s">
        <v>103</v>
      </c>
      <c r="N1938" s="19">
        <v>0</v>
      </c>
      <c r="O1938" s="19">
        <v>0</v>
      </c>
      <c r="P1938" s="19">
        <v>0</v>
      </c>
      <c r="Q1938" s="19">
        <v>0</v>
      </c>
      <c r="S1938" s="19">
        <v>1</v>
      </c>
      <c r="T1938" s="19">
        <v>1</v>
      </c>
      <c r="U1938" s="19">
        <v>0</v>
      </c>
      <c r="V1938" s="19" t="s">
        <v>36</v>
      </c>
      <c r="W1938" s="19">
        <v>0</v>
      </c>
      <c r="Y1938" s="19" t="s">
        <v>103</v>
      </c>
      <c r="Z1938" s="19">
        <v>50</v>
      </c>
      <c r="AA1938" s="19">
        <v>0</v>
      </c>
    </row>
    <row r="1939" spans="1:27" x14ac:dyDescent="0.25">
      <c r="A1939" s="19" t="s">
        <v>2203</v>
      </c>
      <c r="B1939" s="19" t="s">
        <v>2176</v>
      </c>
      <c r="C1939" s="19" t="s">
        <v>2177</v>
      </c>
      <c r="D1939" s="19">
        <v>0</v>
      </c>
      <c r="E1939" s="19" t="s">
        <v>126</v>
      </c>
      <c r="F1939" s="19" t="s">
        <v>127</v>
      </c>
      <c r="G1939" s="19" t="s">
        <v>32</v>
      </c>
      <c r="H1939" s="19" t="s">
        <v>114</v>
      </c>
      <c r="I1939" s="19" t="s">
        <v>115</v>
      </c>
      <c r="J1939" s="19">
        <v>29</v>
      </c>
      <c r="K1939" s="19">
        <v>2.1700000000000001E-2</v>
      </c>
      <c r="L1939" s="19" t="s">
        <v>35</v>
      </c>
      <c r="M1939" s="19" t="s">
        <v>103</v>
      </c>
      <c r="N1939" s="19">
        <v>0</v>
      </c>
      <c r="O1939" s="19">
        <v>0</v>
      </c>
      <c r="P1939" s="19">
        <v>0</v>
      </c>
      <c r="Q1939" s="19">
        <v>0</v>
      </c>
      <c r="S1939" s="19">
        <v>1</v>
      </c>
      <c r="T1939" s="19">
        <v>1</v>
      </c>
      <c r="U1939" s="19">
        <v>0</v>
      </c>
      <c r="V1939" s="19" t="s">
        <v>36</v>
      </c>
      <c r="W1939" s="19">
        <v>0</v>
      </c>
      <c r="Y1939" s="19" t="s">
        <v>103</v>
      </c>
      <c r="Z1939" s="19">
        <v>50</v>
      </c>
      <c r="AA1939" s="19">
        <v>0</v>
      </c>
    </row>
    <row r="1940" spans="1:27" x14ac:dyDescent="0.25">
      <c r="A1940" s="19" t="s">
        <v>2204</v>
      </c>
      <c r="B1940" s="19" t="s">
        <v>2176</v>
      </c>
      <c r="C1940" s="19" t="s">
        <v>2177</v>
      </c>
      <c r="D1940" s="19">
        <v>0</v>
      </c>
      <c r="E1940" s="19" t="s">
        <v>129</v>
      </c>
      <c r="F1940" s="19" t="s">
        <v>130</v>
      </c>
      <c r="G1940" s="19" t="s">
        <v>32</v>
      </c>
      <c r="H1940" s="19" t="s">
        <v>114</v>
      </c>
      <c r="I1940" s="19" t="s">
        <v>115</v>
      </c>
      <c r="J1940" s="19">
        <v>32</v>
      </c>
      <c r="K1940" s="19">
        <v>2.1700000000000001E-2</v>
      </c>
      <c r="L1940" s="19" t="s">
        <v>35</v>
      </c>
      <c r="M1940" s="19" t="s">
        <v>103</v>
      </c>
      <c r="N1940" s="19">
        <v>0</v>
      </c>
      <c r="O1940" s="19">
        <v>0</v>
      </c>
      <c r="P1940" s="19">
        <v>0</v>
      </c>
      <c r="Q1940" s="19">
        <v>0</v>
      </c>
      <c r="S1940" s="19">
        <v>1</v>
      </c>
      <c r="T1940" s="19">
        <v>1</v>
      </c>
      <c r="U1940" s="19">
        <v>0</v>
      </c>
      <c r="V1940" s="19" t="s">
        <v>80</v>
      </c>
      <c r="W1940" s="19">
        <v>0</v>
      </c>
      <c r="Y1940" s="19" t="s">
        <v>103</v>
      </c>
      <c r="Z1940" s="19">
        <v>50</v>
      </c>
      <c r="AA1940" s="19">
        <v>0</v>
      </c>
    </row>
    <row r="1941" spans="1:27" x14ac:dyDescent="0.25">
      <c r="A1941" s="19" t="s">
        <v>2205</v>
      </c>
      <c r="B1941" s="19" t="s">
        <v>2176</v>
      </c>
      <c r="C1941" s="19" t="s">
        <v>2177</v>
      </c>
      <c r="D1941" s="19">
        <v>2.085</v>
      </c>
      <c r="E1941" s="19" t="s">
        <v>132</v>
      </c>
      <c r="F1941" s="19" t="s">
        <v>133</v>
      </c>
      <c r="G1941" s="19" t="s">
        <v>134</v>
      </c>
      <c r="H1941" s="19" t="s">
        <v>87</v>
      </c>
      <c r="I1941" s="19" t="s">
        <v>135</v>
      </c>
      <c r="J1941" s="19">
        <v>11</v>
      </c>
      <c r="K1941" s="19">
        <v>4.1700000000000001E-2</v>
      </c>
      <c r="L1941" s="19" t="s">
        <v>35</v>
      </c>
      <c r="M1941" s="19" t="s">
        <v>103</v>
      </c>
      <c r="N1941" s="19">
        <v>50</v>
      </c>
      <c r="O1941" s="19">
        <v>50</v>
      </c>
      <c r="P1941" s="19">
        <v>0</v>
      </c>
      <c r="Q1941" s="19">
        <v>0</v>
      </c>
      <c r="S1941" s="19">
        <v>1</v>
      </c>
      <c r="T1941" s="19">
        <v>1</v>
      </c>
      <c r="U1941" s="19">
        <v>0</v>
      </c>
      <c r="V1941" s="19" t="s">
        <v>41</v>
      </c>
      <c r="W1941" s="19">
        <v>1</v>
      </c>
      <c r="Y1941" s="19" t="s">
        <v>103</v>
      </c>
      <c r="Z1941" s="19">
        <v>50</v>
      </c>
      <c r="AA1941" s="19">
        <v>50</v>
      </c>
    </row>
    <row r="1942" spans="1:27" x14ac:dyDescent="0.25">
      <c r="A1942" s="19" t="s">
        <v>2206</v>
      </c>
      <c r="B1942" s="19" t="s">
        <v>2176</v>
      </c>
      <c r="C1942" s="19" t="s">
        <v>2177</v>
      </c>
      <c r="D1942" s="19">
        <v>0.463287</v>
      </c>
      <c r="E1942" s="19" t="s">
        <v>137</v>
      </c>
      <c r="F1942" s="19" t="s">
        <v>138</v>
      </c>
      <c r="G1942" s="19" t="s">
        <v>134</v>
      </c>
      <c r="H1942" s="19" t="s">
        <v>87</v>
      </c>
      <c r="I1942" s="19" t="s">
        <v>135</v>
      </c>
      <c r="J1942" s="19">
        <v>9</v>
      </c>
      <c r="K1942" s="19">
        <v>4.1700000000000001E-2</v>
      </c>
      <c r="L1942" s="19" t="s">
        <v>35</v>
      </c>
      <c r="M1942" s="19" t="s">
        <v>110</v>
      </c>
      <c r="N1942" s="19">
        <v>11.11</v>
      </c>
      <c r="O1942" s="19">
        <v>11.11</v>
      </c>
      <c r="P1942" s="19">
        <v>0</v>
      </c>
      <c r="Q1942" s="19">
        <v>0</v>
      </c>
      <c r="S1942" s="19">
        <v>1</v>
      </c>
      <c r="T1942" s="19">
        <v>1</v>
      </c>
      <c r="U1942" s="19">
        <v>0</v>
      </c>
      <c r="W1942" s="19">
        <v>0</v>
      </c>
      <c r="X1942" s="19">
        <v>2</v>
      </c>
      <c r="Y1942" s="19" t="s">
        <v>110</v>
      </c>
      <c r="Z1942" s="19">
        <v>16.664999999999999</v>
      </c>
      <c r="AA1942" s="19">
        <v>11.11</v>
      </c>
    </row>
    <row r="1943" spans="1:27" x14ac:dyDescent="0.25">
      <c r="A1943" s="19" t="s">
        <v>2207</v>
      </c>
      <c r="B1943" s="19" t="s">
        <v>2176</v>
      </c>
      <c r="C1943" s="19" t="s">
        <v>2177</v>
      </c>
      <c r="D1943" s="19">
        <v>0</v>
      </c>
      <c r="E1943" s="19" t="s">
        <v>140</v>
      </c>
      <c r="F1943" s="19" t="s">
        <v>141</v>
      </c>
      <c r="G1943" s="19" t="s">
        <v>134</v>
      </c>
      <c r="H1943" s="19" t="s">
        <v>87</v>
      </c>
      <c r="I1943" s="19" t="s">
        <v>135</v>
      </c>
      <c r="J1943" s="19">
        <v>10</v>
      </c>
      <c r="K1943" s="19">
        <v>4.1700000000000001E-2</v>
      </c>
      <c r="L1943" s="19" t="s">
        <v>35</v>
      </c>
      <c r="N1943" s="19">
        <v>0</v>
      </c>
      <c r="O1943" s="19">
        <v>0</v>
      </c>
      <c r="P1943" s="19">
        <v>0</v>
      </c>
      <c r="Q1943" s="19">
        <v>0</v>
      </c>
      <c r="S1943" s="19">
        <v>1</v>
      </c>
      <c r="T1943" s="19">
        <v>1</v>
      </c>
      <c r="U1943" s="19">
        <v>0</v>
      </c>
      <c r="W1943" s="19">
        <v>0</v>
      </c>
      <c r="X1943" s="19">
        <v>0</v>
      </c>
      <c r="Z1943" s="19">
        <v>0</v>
      </c>
      <c r="AA1943" s="19">
        <v>0</v>
      </c>
    </row>
    <row r="1944" spans="1:27" x14ac:dyDescent="0.25">
      <c r="A1944" s="19" t="s">
        <v>2208</v>
      </c>
      <c r="B1944" s="19" t="s">
        <v>2176</v>
      </c>
      <c r="C1944" s="19" t="s">
        <v>2177</v>
      </c>
      <c r="D1944" s="19">
        <v>1.25</v>
      </c>
      <c r="E1944" s="19" t="s">
        <v>144</v>
      </c>
      <c r="F1944" s="19" t="s">
        <v>145</v>
      </c>
      <c r="G1944" s="19" t="s">
        <v>134</v>
      </c>
      <c r="H1944" s="19" t="s">
        <v>146</v>
      </c>
      <c r="I1944" s="19" t="s">
        <v>147</v>
      </c>
      <c r="J1944" s="19">
        <v>4</v>
      </c>
      <c r="K1944" s="19">
        <v>2.5000000000000001E-2</v>
      </c>
      <c r="L1944" s="19" t="s">
        <v>35</v>
      </c>
      <c r="M1944" s="19" t="s">
        <v>103</v>
      </c>
      <c r="N1944" s="19">
        <v>50</v>
      </c>
      <c r="O1944" s="19">
        <v>50</v>
      </c>
      <c r="P1944" s="19">
        <v>0</v>
      </c>
      <c r="Q1944" s="19">
        <v>0</v>
      </c>
      <c r="S1944" s="19">
        <v>1</v>
      </c>
      <c r="T1944" s="19">
        <v>1</v>
      </c>
      <c r="U1944" s="19">
        <v>0</v>
      </c>
      <c r="V1944" s="19" t="s">
        <v>41</v>
      </c>
      <c r="W1944" s="19">
        <v>1</v>
      </c>
      <c r="Y1944" s="19" t="s">
        <v>103</v>
      </c>
      <c r="Z1944" s="19">
        <v>50</v>
      </c>
      <c r="AA1944" s="19">
        <v>50</v>
      </c>
    </row>
    <row r="1945" spans="1:27" x14ac:dyDescent="0.25">
      <c r="A1945" s="19" t="s">
        <v>2209</v>
      </c>
      <c r="B1945" s="19" t="s">
        <v>2176</v>
      </c>
      <c r="C1945" s="19" t="s">
        <v>2177</v>
      </c>
      <c r="D1945" s="19">
        <v>1.25</v>
      </c>
      <c r="E1945" s="19" t="s">
        <v>149</v>
      </c>
      <c r="F1945" s="19" t="s">
        <v>150</v>
      </c>
      <c r="G1945" s="19" t="s">
        <v>134</v>
      </c>
      <c r="H1945" s="19" t="s">
        <v>146</v>
      </c>
      <c r="I1945" s="19" t="s">
        <v>147</v>
      </c>
      <c r="J1945" s="19">
        <v>5</v>
      </c>
      <c r="K1945" s="19">
        <v>2.5000000000000001E-2</v>
      </c>
      <c r="L1945" s="19" t="s">
        <v>35</v>
      </c>
      <c r="M1945" s="19" t="s">
        <v>103</v>
      </c>
      <c r="N1945" s="19">
        <v>50</v>
      </c>
      <c r="O1945" s="19">
        <v>50</v>
      </c>
      <c r="P1945" s="19">
        <v>0</v>
      </c>
      <c r="Q1945" s="19">
        <v>0</v>
      </c>
      <c r="S1945" s="19">
        <v>1</v>
      </c>
      <c r="T1945" s="19">
        <v>1</v>
      </c>
      <c r="U1945" s="19">
        <v>0</v>
      </c>
      <c r="V1945" s="19" t="s">
        <v>41</v>
      </c>
      <c r="W1945" s="19">
        <v>1</v>
      </c>
      <c r="Y1945" s="19" t="s">
        <v>103</v>
      </c>
      <c r="Z1945" s="19">
        <v>50</v>
      </c>
      <c r="AA1945" s="19">
        <v>50</v>
      </c>
    </row>
    <row r="1946" spans="1:27" x14ac:dyDescent="0.25">
      <c r="A1946" s="19" t="s">
        <v>2210</v>
      </c>
      <c r="B1946" s="19" t="s">
        <v>2176</v>
      </c>
      <c r="C1946" s="19" t="s">
        <v>2177</v>
      </c>
      <c r="D1946" s="19">
        <v>0</v>
      </c>
      <c r="E1946" s="19" t="s">
        <v>152</v>
      </c>
      <c r="F1946" s="19" t="s">
        <v>153</v>
      </c>
      <c r="G1946" s="19" t="s">
        <v>134</v>
      </c>
      <c r="H1946" s="19" t="s">
        <v>146</v>
      </c>
      <c r="I1946" s="19" t="s">
        <v>147</v>
      </c>
      <c r="J1946" s="19">
        <v>6</v>
      </c>
      <c r="K1946" s="19">
        <v>2.5000000000000001E-2</v>
      </c>
      <c r="L1946" s="19" t="s">
        <v>35</v>
      </c>
      <c r="M1946" s="19" t="s">
        <v>103</v>
      </c>
      <c r="N1946" s="19">
        <v>0</v>
      </c>
      <c r="O1946" s="19">
        <v>0</v>
      </c>
      <c r="P1946" s="19">
        <v>0</v>
      </c>
      <c r="Q1946" s="19">
        <v>0</v>
      </c>
      <c r="S1946" s="19">
        <v>1</v>
      </c>
      <c r="T1946" s="19">
        <v>1</v>
      </c>
      <c r="U1946" s="19">
        <v>0</v>
      </c>
      <c r="V1946" s="19" t="s">
        <v>36</v>
      </c>
      <c r="W1946" s="19">
        <v>0</v>
      </c>
      <c r="Y1946" s="19" t="s">
        <v>103</v>
      </c>
      <c r="Z1946" s="19">
        <v>50</v>
      </c>
      <c r="AA1946" s="19">
        <v>0</v>
      </c>
    </row>
    <row r="1947" spans="1:27" x14ac:dyDescent="0.25">
      <c r="A1947" s="19" t="s">
        <v>2211</v>
      </c>
      <c r="B1947" s="19" t="s">
        <v>2176</v>
      </c>
      <c r="C1947" s="19" t="s">
        <v>2177</v>
      </c>
      <c r="D1947" s="19">
        <v>1.25</v>
      </c>
      <c r="E1947" s="19" t="s">
        <v>155</v>
      </c>
      <c r="F1947" s="19" t="s">
        <v>156</v>
      </c>
      <c r="G1947" s="19" t="s">
        <v>134</v>
      </c>
      <c r="H1947" s="19" t="s">
        <v>146</v>
      </c>
      <c r="I1947" s="19" t="s">
        <v>147</v>
      </c>
      <c r="J1947" s="19">
        <v>7</v>
      </c>
      <c r="K1947" s="19">
        <v>2.5000000000000001E-2</v>
      </c>
      <c r="L1947" s="19" t="s">
        <v>35</v>
      </c>
      <c r="M1947" s="19" t="s">
        <v>103</v>
      </c>
      <c r="N1947" s="19">
        <v>50</v>
      </c>
      <c r="O1947" s="19">
        <v>50</v>
      </c>
      <c r="P1947" s="19">
        <v>0</v>
      </c>
      <c r="Q1947" s="19">
        <v>0</v>
      </c>
      <c r="S1947" s="19">
        <v>1</v>
      </c>
      <c r="T1947" s="19">
        <v>1</v>
      </c>
      <c r="U1947" s="19">
        <v>0</v>
      </c>
      <c r="V1947" s="19" t="s">
        <v>41</v>
      </c>
      <c r="W1947" s="19">
        <v>1</v>
      </c>
      <c r="Y1947" s="19" t="s">
        <v>103</v>
      </c>
      <c r="Z1947" s="19">
        <v>50</v>
      </c>
      <c r="AA1947" s="19">
        <v>50</v>
      </c>
    </row>
    <row r="1948" spans="1:27" x14ac:dyDescent="0.25">
      <c r="A1948" s="19" t="s">
        <v>2212</v>
      </c>
      <c r="B1948" s="19" t="s">
        <v>2176</v>
      </c>
      <c r="C1948" s="19" t="s">
        <v>2177</v>
      </c>
      <c r="D1948" s="19">
        <v>0</v>
      </c>
      <c r="E1948" s="19" t="s">
        <v>158</v>
      </c>
      <c r="F1948" s="19" t="s">
        <v>159</v>
      </c>
      <c r="G1948" s="19" t="s">
        <v>134</v>
      </c>
      <c r="H1948" s="19" t="s">
        <v>146</v>
      </c>
      <c r="I1948" s="19" t="s">
        <v>147</v>
      </c>
      <c r="J1948" s="19">
        <v>8</v>
      </c>
      <c r="K1948" s="19">
        <v>2.5000000000000001E-2</v>
      </c>
      <c r="L1948" s="19" t="s">
        <v>35</v>
      </c>
      <c r="M1948" s="19" t="s">
        <v>103</v>
      </c>
      <c r="N1948" s="19">
        <v>0</v>
      </c>
      <c r="O1948" s="19">
        <v>0</v>
      </c>
      <c r="P1948" s="19">
        <v>0</v>
      </c>
      <c r="Q1948" s="19">
        <v>0</v>
      </c>
      <c r="S1948" s="19">
        <v>1</v>
      </c>
      <c r="T1948" s="19">
        <v>1</v>
      </c>
      <c r="U1948" s="19">
        <v>0</v>
      </c>
      <c r="V1948" s="19" t="s">
        <v>36</v>
      </c>
      <c r="W1948" s="19">
        <v>0</v>
      </c>
      <c r="Y1948" s="19" t="s">
        <v>103</v>
      </c>
      <c r="Z1948" s="19">
        <v>50</v>
      </c>
      <c r="AA1948" s="19">
        <v>0</v>
      </c>
    </row>
    <row r="1949" spans="1:27" x14ac:dyDescent="0.25">
      <c r="A1949" s="19" t="s">
        <v>2213</v>
      </c>
      <c r="B1949" s="19" t="s">
        <v>2176</v>
      </c>
      <c r="C1949" s="19" t="s">
        <v>2177</v>
      </c>
      <c r="D1949" s="19">
        <v>3.33</v>
      </c>
      <c r="E1949" s="19" t="s">
        <v>161</v>
      </c>
      <c r="F1949" s="19" t="s">
        <v>162</v>
      </c>
      <c r="G1949" s="19" t="s">
        <v>163</v>
      </c>
      <c r="I1949" s="19" t="s">
        <v>164</v>
      </c>
      <c r="J1949" s="19">
        <v>1</v>
      </c>
      <c r="K1949" s="19">
        <v>3.3300000000000003E-2</v>
      </c>
      <c r="L1949" s="19" t="s">
        <v>35</v>
      </c>
      <c r="M1949" s="19" t="s">
        <v>165</v>
      </c>
      <c r="N1949" s="19">
        <v>100</v>
      </c>
      <c r="O1949" s="19">
        <v>100</v>
      </c>
      <c r="P1949" s="19">
        <v>0</v>
      </c>
      <c r="Q1949" s="19">
        <v>0</v>
      </c>
      <c r="S1949" s="19">
        <v>1</v>
      </c>
      <c r="T1949" s="19">
        <v>1</v>
      </c>
      <c r="U1949" s="19">
        <v>0</v>
      </c>
      <c r="W1949" s="19">
        <v>0</v>
      </c>
      <c r="X1949" s="19">
        <v>100</v>
      </c>
      <c r="Z1949" s="19">
        <v>0</v>
      </c>
      <c r="AA1949" s="19">
        <v>100</v>
      </c>
    </row>
    <row r="1950" spans="1:27" x14ac:dyDescent="0.25">
      <c r="A1950" s="19" t="s">
        <v>2214</v>
      </c>
      <c r="B1950" s="19" t="s">
        <v>2176</v>
      </c>
      <c r="C1950" s="19" t="s">
        <v>2177</v>
      </c>
      <c r="D1950" s="19">
        <v>0</v>
      </c>
      <c r="E1950" s="19" t="s">
        <v>167</v>
      </c>
      <c r="F1950" s="19" t="s">
        <v>168</v>
      </c>
      <c r="G1950" s="19" t="s">
        <v>163</v>
      </c>
      <c r="I1950" s="19" t="s">
        <v>164</v>
      </c>
      <c r="J1950" s="19">
        <v>3</v>
      </c>
      <c r="K1950" s="19">
        <v>3.3300000000000003E-2</v>
      </c>
      <c r="L1950" s="19" t="s">
        <v>35</v>
      </c>
      <c r="M1950" s="19" t="s">
        <v>165</v>
      </c>
      <c r="N1950" s="19">
        <v>0</v>
      </c>
      <c r="O1950" s="19">
        <v>0</v>
      </c>
      <c r="P1950" s="19">
        <v>0</v>
      </c>
      <c r="Q1950" s="19">
        <v>0</v>
      </c>
      <c r="S1950" s="19">
        <v>1</v>
      </c>
      <c r="T1950" s="19">
        <v>1</v>
      </c>
      <c r="U1950" s="19">
        <v>0</v>
      </c>
      <c r="W1950" s="19">
        <v>0</v>
      </c>
      <c r="X1950" s="19">
        <v>0</v>
      </c>
      <c r="Z1950" s="19">
        <v>0</v>
      </c>
      <c r="AA1950" s="19">
        <v>0</v>
      </c>
    </row>
    <row r="1951" spans="1:27" x14ac:dyDescent="0.25">
      <c r="A1951" s="19" t="s">
        <v>2215</v>
      </c>
      <c r="B1951" s="19" t="s">
        <v>2176</v>
      </c>
      <c r="C1951" s="19" t="s">
        <v>2177</v>
      </c>
      <c r="D1951" s="19">
        <v>0</v>
      </c>
      <c r="E1951" s="19" t="s">
        <v>170</v>
      </c>
      <c r="F1951" s="19" t="s">
        <v>171</v>
      </c>
      <c r="G1951" s="19" t="s">
        <v>163</v>
      </c>
      <c r="I1951" s="19" t="s">
        <v>164</v>
      </c>
      <c r="J1951" s="19">
        <v>2</v>
      </c>
      <c r="K1951" s="19">
        <v>3.3300000000000003E-2</v>
      </c>
      <c r="L1951" s="19" t="s">
        <v>35</v>
      </c>
      <c r="M1951" s="19" t="s">
        <v>165</v>
      </c>
      <c r="N1951" s="19">
        <v>0</v>
      </c>
      <c r="O1951" s="19">
        <v>0</v>
      </c>
      <c r="P1951" s="19">
        <v>0</v>
      </c>
      <c r="Q1951" s="19">
        <v>0</v>
      </c>
      <c r="S1951" s="19">
        <v>1</v>
      </c>
      <c r="T1951" s="19">
        <v>1</v>
      </c>
      <c r="U1951" s="19">
        <v>0</v>
      </c>
      <c r="W1951" s="19">
        <v>0</v>
      </c>
      <c r="X1951" s="19">
        <v>0</v>
      </c>
      <c r="Z1951" s="19">
        <v>0</v>
      </c>
      <c r="AA1951" s="19">
        <v>0</v>
      </c>
    </row>
    <row r="1952" spans="1:27" x14ac:dyDescent="0.25">
      <c r="A1952" s="19" t="s">
        <v>2216</v>
      </c>
      <c r="B1952" s="19" t="s">
        <v>2217</v>
      </c>
      <c r="C1952" s="19" t="s">
        <v>2218</v>
      </c>
      <c r="D1952" s="19">
        <v>1.54599658703071</v>
      </c>
      <c r="E1952" s="19" t="s">
        <v>30</v>
      </c>
      <c r="F1952" s="19" t="s">
        <v>31</v>
      </c>
      <c r="G1952" s="19" t="s">
        <v>32</v>
      </c>
      <c r="H1952" s="19" t="s">
        <v>33</v>
      </c>
      <c r="I1952" s="19" t="s">
        <v>34</v>
      </c>
      <c r="J1952" s="19">
        <v>17</v>
      </c>
      <c r="K1952" s="19">
        <v>1.6299999999999999E-2</v>
      </c>
      <c r="L1952" s="19" t="s">
        <v>541</v>
      </c>
      <c r="M1952" s="19" t="s">
        <v>541</v>
      </c>
      <c r="N1952" s="19">
        <v>50</v>
      </c>
      <c r="O1952" s="19">
        <v>94.846416382300006</v>
      </c>
      <c r="P1952" s="19">
        <v>99.658703071700003</v>
      </c>
      <c r="Q1952" s="19">
        <v>49.829351535800001</v>
      </c>
      <c r="R1952" s="19" t="s">
        <v>870</v>
      </c>
      <c r="S1952" s="19">
        <v>0.9</v>
      </c>
      <c r="T1952" s="19">
        <v>0.9</v>
      </c>
      <c r="U1952" s="19">
        <v>44.846416382299999</v>
      </c>
      <c r="AA1952" s="19">
        <v>0</v>
      </c>
    </row>
    <row r="1953" spans="1:27" x14ac:dyDescent="0.25">
      <c r="A1953" s="19" t="s">
        <v>2219</v>
      </c>
      <c r="B1953" s="19" t="s">
        <v>2217</v>
      </c>
      <c r="C1953" s="19" t="s">
        <v>2218</v>
      </c>
      <c r="D1953" s="19">
        <v>1.54599658703071</v>
      </c>
      <c r="E1953" s="19" t="s">
        <v>38</v>
      </c>
      <c r="F1953" s="19" t="s">
        <v>39</v>
      </c>
      <c r="G1953" s="19" t="s">
        <v>32</v>
      </c>
      <c r="H1953" s="19" t="s">
        <v>33</v>
      </c>
      <c r="I1953" s="19" t="s">
        <v>34</v>
      </c>
      <c r="J1953" s="19">
        <v>19</v>
      </c>
      <c r="K1953" s="19">
        <v>1.6299999999999999E-2</v>
      </c>
      <c r="L1953" s="19" t="s">
        <v>541</v>
      </c>
      <c r="M1953" s="19" t="s">
        <v>541</v>
      </c>
      <c r="N1953" s="19">
        <v>50</v>
      </c>
      <c r="O1953" s="19">
        <v>94.846416382300006</v>
      </c>
      <c r="P1953" s="19">
        <v>99.658703071700003</v>
      </c>
      <c r="Q1953" s="19">
        <v>49.829351535800001</v>
      </c>
      <c r="R1953" s="19" t="s">
        <v>870</v>
      </c>
      <c r="S1953" s="19">
        <v>0.9</v>
      </c>
      <c r="T1953" s="19">
        <v>0.9</v>
      </c>
      <c r="U1953" s="19">
        <v>44.846416382299999</v>
      </c>
      <c r="AA1953" s="19">
        <v>0</v>
      </c>
    </row>
    <row r="1954" spans="1:27" x14ac:dyDescent="0.25">
      <c r="A1954" s="19" t="s">
        <v>2220</v>
      </c>
      <c r="B1954" s="19" t="s">
        <v>2217</v>
      </c>
      <c r="C1954" s="19" t="s">
        <v>2218</v>
      </c>
      <c r="D1954" s="19">
        <v>1.54849999999999</v>
      </c>
      <c r="E1954" s="19" t="s">
        <v>43</v>
      </c>
      <c r="F1954" s="19" t="s">
        <v>44</v>
      </c>
      <c r="G1954" s="19" t="s">
        <v>32</v>
      </c>
      <c r="H1954" s="19" t="s">
        <v>33</v>
      </c>
      <c r="I1954" s="19" t="s">
        <v>34</v>
      </c>
      <c r="J1954" s="19">
        <v>18</v>
      </c>
      <c r="K1954" s="19">
        <v>1.6299999999999999E-2</v>
      </c>
      <c r="L1954" s="19" t="s">
        <v>541</v>
      </c>
      <c r="M1954" s="19" t="s">
        <v>541</v>
      </c>
      <c r="N1954" s="19">
        <v>50</v>
      </c>
      <c r="O1954" s="19">
        <v>95</v>
      </c>
      <c r="P1954" s="19">
        <v>100</v>
      </c>
      <c r="Q1954" s="19">
        <v>50</v>
      </c>
      <c r="R1954" s="19" t="s">
        <v>870</v>
      </c>
      <c r="S1954" s="19">
        <v>0.9</v>
      </c>
      <c r="T1954" s="19">
        <v>0.9</v>
      </c>
      <c r="U1954" s="19">
        <v>45</v>
      </c>
      <c r="AA1954" s="19">
        <v>0</v>
      </c>
    </row>
    <row r="1955" spans="1:27" x14ac:dyDescent="0.25">
      <c r="A1955" s="19" t="s">
        <v>2221</v>
      </c>
      <c r="B1955" s="19" t="s">
        <v>2217</v>
      </c>
      <c r="C1955" s="19" t="s">
        <v>2218</v>
      </c>
      <c r="D1955" s="19">
        <v>1.39954692832764</v>
      </c>
      <c r="E1955" s="19" t="s">
        <v>46</v>
      </c>
      <c r="F1955" s="19" t="s">
        <v>47</v>
      </c>
      <c r="G1955" s="19" t="s">
        <v>32</v>
      </c>
      <c r="H1955" s="19" t="s">
        <v>33</v>
      </c>
      <c r="I1955" s="19" t="s">
        <v>34</v>
      </c>
      <c r="J1955" s="19">
        <v>15</v>
      </c>
      <c r="K1955" s="19">
        <v>1.6299999999999999E-2</v>
      </c>
      <c r="L1955" s="19" t="s">
        <v>541</v>
      </c>
      <c r="M1955" s="19" t="s">
        <v>541</v>
      </c>
      <c r="N1955" s="19">
        <v>50</v>
      </c>
      <c r="O1955" s="19">
        <v>85.861774744000002</v>
      </c>
      <c r="P1955" s="19">
        <v>79.692832764499997</v>
      </c>
      <c r="Q1955" s="19">
        <v>39.846416382299999</v>
      </c>
      <c r="R1955" s="19" t="s">
        <v>870</v>
      </c>
      <c r="S1955" s="19">
        <v>0.9</v>
      </c>
      <c r="T1955" s="19">
        <v>0.9</v>
      </c>
      <c r="U1955" s="19">
        <v>35.861774744000002</v>
      </c>
      <c r="AA1955" s="19">
        <v>0</v>
      </c>
    </row>
    <row r="1956" spans="1:27" x14ac:dyDescent="0.25">
      <c r="A1956" s="19" t="s">
        <v>2222</v>
      </c>
      <c r="B1956" s="19" t="s">
        <v>2217</v>
      </c>
      <c r="C1956" s="19" t="s">
        <v>2218</v>
      </c>
      <c r="D1956" s="19">
        <v>1.5434931740614299</v>
      </c>
      <c r="E1956" s="19" t="s">
        <v>49</v>
      </c>
      <c r="F1956" s="19" t="s">
        <v>50</v>
      </c>
      <c r="G1956" s="19" t="s">
        <v>32</v>
      </c>
      <c r="H1956" s="19" t="s">
        <v>33</v>
      </c>
      <c r="I1956" s="19" t="s">
        <v>34</v>
      </c>
      <c r="J1956" s="19">
        <v>12</v>
      </c>
      <c r="K1956" s="19">
        <v>1.6299999999999999E-2</v>
      </c>
      <c r="L1956" s="19" t="s">
        <v>541</v>
      </c>
      <c r="M1956" s="19" t="s">
        <v>541</v>
      </c>
      <c r="N1956" s="19">
        <v>50</v>
      </c>
      <c r="O1956" s="19">
        <v>94.692832764499997</v>
      </c>
      <c r="P1956" s="19">
        <v>99.317406143300005</v>
      </c>
      <c r="Q1956" s="19">
        <v>49.658703071700003</v>
      </c>
      <c r="R1956" s="19" t="s">
        <v>870</v>
      </c>
      <c r="S1956" s="19">
        <v>0.9</v>
      </c>
      <c r="T1956" s="19">
        <v>0.9</v>
      </c>
      <c r="U1956" s="19">
        <v>44.692832764499997</v>
      </c>
      <c r="AA1956" s="19">
        <v>0</v>
      </c>
    </row>
    <row r="1957" spans="1:27" x14ac:dyDescent="0.25">
      <c r="A1957" s="19" t="s">
        <v>2223</v>
      </c>
      <c r="B1957" s="19" t="s">
        <v>2217</v>
      </c>
      <c r="C1957" s="19" t="s">
        <v>2218</v>
      </c>
      <c r="D1957" s="19">
        <v>1.54474488054607</v>
      </c>
      <c r="E1957" s="19" t="s">
        <v>52</v>
      </c>
      <c r="F1957" s="19" t="s">
        <v>53</v>
      </c>
      <c r="G1957" s="19" t="s">
        <v>32</v>
      </c>
      <c r="H1957" s="19" t="s">
        <v>33</v>
      </c>
      <c r="I1957" s="19" t="s">
        <v>34</v>
      </c>
      <c r="J1957" s="19">
        <v>16</v>
      </c>
      <c r="K1957" s="19">
        <v>1.6299999999999999E-2</v>
      </c>
      <c r="L1957" s="19" t="s">
        <v>541</v>
      </c>
      <c r="M1957" s="19" t="s">
        <v>541</v>
      </c>
      <c r="N1957" s="19">
        <v>50</v>
      </c>
      <c r="O1957" s="19">
        <v>94.769624573399994</v>
      </c>
      <c r="P1957" s="19">
        <v>99.488054607500004</v>
      </c>
      <c r="Q1957" s="19">
        <v>49.744027303800003</v>
      </c>
      <c r="R1957" s="19" t="s">
        <v>870</v>
      </c>
      <c r="S1957" s="19">
        <v>0.9</v>
      </c>
      <c r="T1957" s="19">
        <v>0.9</v>
      </c>
      <c r="U1957" s="19">
        <v>44.769624573400002</v>
      </c>
      <c r="AA1957" s="19">
        <v>0</v>
      </c>
    </row>
    <row r="1958" spans="1:27" x14ac:dyDescent="0.25">
      <c r="A1958" s="19" t="s">
        <v>2224</v>
      </c>
      <c r="B1958" s="19" t="s">
        <v>2217</v>
      </c>
      <c r="C1958" s="19" t="s">
        <v>2218</v>
      </c>
      <c r="D1958" s="19">
        <v>1.54849999999999</v>
      </c>
      <c r="E1958" s="19" t="s">
        <v>55</v>
      </c>
      <c r="F1958" s="19" t="s">
        <v>56</v>
      </c>
      <c r="G1958" s="19" t="s">
        <v>32</v>
      </c>
      <c r="H1958" s="19" t="s">
        <v>33</v>
      </c>
      <c r="I1958" s="19" t="s">
        <v>34</v>
      </c>
      <c r="J1958" s="19">
        <v>14</v>
      </c>
      <c r="K1958" s="19">
        <v>1.6299999999999999E-2</v>
      </c>
      <c r="L1958" s="19" t="s">
        <v>541</v>
      </c>
      <c r="M1958" s="19" t="s">
        <v>541</v>
      </c>
      <c r="N1958" s="19">
        <v>50</v>
      </c>
      <c r="O1958" s="19">
        <v>95</v>
      </c>
      <c r="P1958" s="19">
        <v>100</v>
      </c>
      <c r="Q1958" s="19">
        <v>50</v>
      </c>
      <c r="R1958" s="19" t="s">
        <v>870</v>
      </c>
      <c r="S1958" s="19">
        <v>0.9</v>
      </c>
      <c r="T1958" s="19">
        <v>0.9</v>
      </c>
      <c r="U1958" s="19">
        <v>45</v>
      </c>
      <c r="AA1958" s="19">
        <v>0</v>
      </c>
    </row>
    <row r="1959" spans="1:27" x14ac:dyDescent="0.25">
      <c r="A1959" s="19" t="s">
        <v>2225</v>
      </c>
      <c r="B1959" s="19" t="s">
        <v>2217</v>
      </c>
      <c r="C1959" s="19" t="s">
        <v>2218</v>
      </c>
      <c r="D1959" s="19">
        <v>1.54599658703071</v>
      </c>
      <c r="E1959" s="19" t="s">
        <v>58</v>
      </c>
      <c r="F1959" s="19" t="s">
        <v>59</v>
      </c>
      <c r="G1959" s="19" t="s">
        <v>32</v>
      </c>
      <c r="H1959" s="19" t="s">
        <v>33</v>
      </c>
      <c r="I1959" s="19" t="s">
        <v>34</v>
      </c>
      <c r="J1959" s="19">
        <v>13</v>
      </c>
      <c r="K1959" s="19">
        <v>1.6299999999999999E-2</v>
      </c>
      <c r="L1959" s="19" t="s">
        <v>541</v>
      </c>
      <c r="M1959" s="19" t="s">
        <v>541</v>
      </c>
      <c r="N1959" s="19">
        <v>50</v>
      </c>
      <c r="O1959" s="19">
        <v>94.846416382300006</v>
      </c>
      <c r="P1959" s="19">
        <v>99.658703071700003</v>
      </c>
      <c r="Q1959" s="19">
        <v>49.829351535800001</v>
      </c>
      <c r="R1959" s="19" t="s">
        <v>870</v>
      </c>
      <c r="S1959" s="19">
        <v>0.9</v>
      </c>
      <c r="T1959" s="19">
        <v>0.9</v>
      </c>
      <c r="U1959" s="19">
        <v>44.846416382299999</v>
      </c>
      <c r="AA1959" s="19">
        <v>0</v>
      </c>
    </row>
    <row r="1960" spans="1:27" x14ac:dyDescent="0.25">
      <c r="A1960" s="19" t="s">
        <v>2226</v>
      </c>
      <c r="B1960" s="19" t="s">
        <v>2217</v>
      </c>
      <c r="C1960" s="19" t="s">
        <v>2218</v>
      </c>
      <c r="D1960" s="19">
        <v>1.7669999999999999</v>
      </c>
      <c r="E1960" s="19" t="s">
        <v>61</v>
      </c>
      <c r="F1960" s="19" t="s">
        <v>62</v>
      </c>
      <c r="G1960" s="19" t="s">
        <v>32</v>
      </c>
      <c r="H1960" s="19" t="s">
        <v>63</v>
      </c>
      <c r="I1960" s="19" t="s">
        <v>64</v>
      </c>
      <c r="J1960" s="19">
        <v>22</v>
      </c>
      <c r="K1960" s="19">
        <v>1.8599999999999998E-2</v>
      </c>
      <c r="L1960" s="19" t="s">
        <v>541</v>
      </c>
      <c r="M1960" s="19" t="s">
        <v>541</v>
      </c>
      <c r="N1960" s="19">
        <v>50</v>
      </c>
      <c r="O1960" s="19">
        <v>95</v>
      </c>
      <c r="P1960" s="19">
        <v>100</v>
      </c>
      <c r="Q1960" s="19">
        <v>50</v>
      </c>
      <c r="R1960" s="19" t="s">
        <v>870</v>
      </c>
      <c r="S1960" s="19">
        <v>0.9</v>
      </c>
      <c r="T1960" s="19">
        <v>0.9</v>
      </c>
      <c r="U1960" s="19">
        <v>45</v>
      </c>
      <c r="AA1960" s="19">
        <v>0</v>
      </c>
    </row>
    <row r="1961" spans="1:27" x14ac:dyDescent="0.25">
      <c r="A1961" s="19" t="s">
        <v>2227</v>
      </c>
      <c r="B1961" s="19" t="s">
        <v>2217</v>
      </c>
      <c r="C1961" s="19" t="s">
        <v>2218</v>
      </c>
      <c r="D1961" s="19">
        <v>1.7669999999999999</v>
      </c>
      <c r="E1961" s="19" t="s">
        <v>66</v>
      </c>
      <c r="F1961" s="19" t="s">
        <v>67</v>
      </c>
      <c r="G1961" s="19" t="s">
        <v>32</v>
      </c>
      <c r="H1961" s="19" t="s">
        <v>63</v>
      </c>
      <c r="I1961" s="19" t="s">
        <v>64</v>
      </c>
      <c r="J1961" s="19">
        <v>20</v>
      </c>
      <c r="K1961" s="19">
        <v>1.8599999999999998E-2</v>
      </c>
      <c r="L1961" s="19" t="s">
        <v>541</v>
      </c>
      <c r="M1961" s="19" t="s">
        <v>541</v>
      </c>
      <c r="N1961" s="19">
        <v>50</v>
      </c>
      <c r="O1961" s="19">
        <v>95</v>
      </c>
      <c r="P1961" s="19">
        <v>100</v>
      </c>
      <c r="Q1961" s="19">
        <v>50</v>
      </c>
      <c r="R1961" s="19" t="s">
        <v>870</v>
      </c>
      <c r="S1961" s="19">
        <v>0.9</v>
      </c>
      <c r="T1961" s="19">
        <v>0.9</v>
      </c>
      <c r="U1961" s="19">
        <v>45</v>
      </c>
      <c r="AA1961" s="19">
        <v>0</v>
      </c>
    </row>
    <row r="1962" spans="1:27" x14ac:dyDescent="0.25">
      <c r="A1962" s="19" t="s">
        <v>2228</v>
      </c>
      <c r="B1962" s="19" t="s">
        <v>2217</v>
      </c>
      <c r="C1962" s="19" t="s">
        <v>2218</v>
      </c>
      <c r="D1962" s="19">
        <v>1.7669999999999999</v>
      </c>
      <c r="E1962" s="19" t="s">
        <v>69</v>
      </c>
      <c r="F1962" s="19" t="s">
        <v>70</v>
      </c>
      <c r="G1962" s="19" t="s">
        <v>32</v>
      </c>
      <c r="H1962" s="19" t="s">
        <v>63</v>
      </c>
      <c r="I1962" s="19" t="s">
        <v>64</v>
      </c>
      <c r="J1962" s="19">
        <v>23</v>
      </c>
      <c r="K1962" s="19">
        <v>1.8599999999999998E-2</v>
      </c>
      <c r="L1962" s="19" t="s">
        <v>541</v>
      </c>
      <c r="M1962" s="19" t="s">
        <v>541</v>
      </c>
      <c r="N1962" s="19">
        <v>50</v>
      </c>
      <c r="O1962" s="19">
        <v>95</v>
      </c>
      <c r="P1962" s="19">
        <v>100</v>
      </c>
      <c r="Q1962" s="19">
        <v>50</v>
      </c>
      <c r="R1962" s="19" t="s">
        <v>870</v>
      </c>
      <c r="S1962" s="19">
        <v>0.9</v>
      </c>
      <c r="T1962" s="19">
        <v>0.9</v>
      </c>
      <c r="U1962" s="19">
        <v>45</v>
      </c>
      <c r="AA1962" s="19">
        <v>0</v>
      </c>
    </row>
    <row r="1963" spans="1:27" x14ac:dyDescent="0.25">
      <c r="A1963" s="19" t="s">
        <v>2229</v>
      </c>
      <c r="B1963" s="19" t="s">
        <v>2217</v>
      </c>
      <c r="C1963" s="19" t="s">
        <v>2218</v>
      </c>
      <c r="D1963" s="19">
        <v>1.7669999999999999</v>
      </c>
      <c r="E1963" s="19" t="s">
        <v>72</v>
      </c>
      <c r="F1963" s="19" t="s">
        <v>73</v>
      </c>
      <c r="G1963" s="19" t="s">
        <v>32</v>
      </c>
      <c r="H1963" s="19" t="s">
        <v>63</v>
      </c>
      <c r="I1963" s="19" t="s">
        <v>64</v>
      </c>
      <c r="J1963" s="19">
        <v>21</v>
      </c>
      <c r="K1963" s="19">
        <v>1.8599999999999998E-2</v>
      </c>
      <c r="L1963" s="19" t="s">
        <v>541</v>
      </c>
      <c r="M1963" s="19" t="s">
        <v>541</v>
      </c>
      <c r="N1963" s="19">
        <v>50</v>
      </c>
      <c r="O1963" s="19">
        <v>95</v>
      </c>
      <c r="P1963" s="19">
        <v>100</v>
      </c>
      <c r="Q1963" s="19">
        <v>50</v>
      </c>
      <c r="R1963" s="19" t="s">
        <v>870</v>
      </c>
      <c r="S1963" s="19">
        <v>0.9</v>
      </c>
      <c r="T1963" s="19">
        <v>0.9</v>
      </c>
      <c r="U1963" s="19">
        <v>45</v>
      </c>
      <c r="AA1963" s="19">
        <v>0</v>
      </c>
    </row>
    <row r="1964" spans="1:27" x14ac:dyDescent="0.25">
      <c r="A1964" s="19" t="s">
        <v>2230</v>
      </c>
      <c r="B1964" s="19" t="s">
        <v>2217</v>
      </c>
      <c r="C1964" s="19" t="s">
        <v>2218</v>
      </c>
      <c r="D1964" s="19">
        <v>1.7669999999999999</v>
      </c>
      <c r="E1964" s="19" t="s">
        <v>75</v>
      </c>
      <c r="F1964" s="19" t="s">
        <v>76</v>
      </c>
      <c r="G1964" s="19" t="s">
        <v>32</v>
      </c>
      <c r="H1964" s="19" t="s">
        <v>63</v>
      </c>
      <c r="I1964" s="19" t="s">
        <v>64</v>
      </c>
      <c r="J1964" s="19">
        <v>24</v>
      </c>
      <c r="K1964" s="19">
        <v>1.8599999999999998E-2</v>
      </c>
      <c r="L1964" s="19" t="s">
        <v>541</v>
      </c>
      <c r="M1964" s="19" t="s">
        <v>541</v>
      </c>
      <c r="N1964" s="19">
        <v>50</v>
      </c>
      <c r="O1964" s="19">
        <v>95</v>
      </c>
      <c r="P1964" s="19">
        <v>100</v>
      </c>
      <c r="Q1964" s="19">
        <v>50</v>
      </c>
      <c r="R1964" s="19" t="s">
        <v>870</v>
      </c>
      <c r="S1964" s="19">
        <v>0.9</v>
      </c>
      <c r="T1964" s="19">
        <v>0.9</v>
      </c>
      <c r="U1964" s="19">
        <v>45</v>
      </c>
      <c r="AA1964" s="19">
        <v>0</v>
      </c>
    </row>
    <row r="1965" spans="1:27" x14ac:dyDescent="0.25">
      <c r="A1965" s="19" t="s">
        <v>2231</v>
      </c>
      <c r="B1965" s="19" t="s">
        <v>2217</v>
      </c>
      <c r="C1965" s="19" t="s">
        <v>2218</v>
      </c>
      <c r="D1965" s="19">
        <v>1.7300300353356799</v>
      </c>
      <c r="E1965" s="19" t="s">
        <v>78</v>
      </c>
      <c r="F1965" s="19" t="s">
        <v>79</v>
      </c>
      <c r="G1965" s="19" t="s">
        <v>32</v>
      </c>
      <c r="H1965" s="19" t="s">
        <v>63</v>
      </c>
      <c r="I1965" s="19" t="s">
        <v>64</v>
      </c>
      <c r="J1965" s="19">
        <v>25</v>
      </c>
      <c r="K1965" s="19">
        <v>1.8599999999999998E-2</v>
      </c>
      <c r="L1965" s="19" t="s">
        <v>541</v>
      </c>
      <c r="M1965" s="19" t="s">
        <v>541</v>
      </c>
      <c r="N1965" s="19">
        <v>50</v>
      </c>
      <c r="O1965" s="19">
        <v>93.012367491199996</v>
      </c>
      <c r="P1965" s="19">
        <v>95.583038869299997</v>
      </c>
      <c r="Q1965" s="19">
        <v>47.791519434599998</v>
      </c>
      <c r="R1965" s="19" t="s">
        <v>870</v>
      </c>
      <c r="S1965" s="19">
        <v>0.9</v>
      </c>
      <c r="T1965" s="19">
        <v>0.9</v>
      </c>
      <c r="U1965" s="19">
        <v>43.012367491200003</v>
      </c>
      <c r="AA1965" s="19">
        <v>0</v>
      </c>
    </row>
    <row r="1966" spans="1:27" x14ac:dyDescent="0.25">
      <c r="A1966" s="19" t="s">
        <v>2232</v>
      </c>
      <c r="B1966" s="19" t="s">
        <v>2217</v>
      </c>
      <c r="C1966" s="19" t="s">
        <v>2218</v>
      </c>
      <c r="D1966" s="19">
        <v>1.72986348122866</v>
      </c>
      <c r="E1966" s="19" t="s">
        <v>82</v>
      </c>
      <c r="F1966" s="19" t="s">
        <v>83</v>
      </c>
      <c r="G1966" s="19" t="s">
        <v>32</v>
      </c>
      <c r="H1966" s="19" t="s">
        <v>63</v>
      </c>
      <c r="I1966" s="19" t="s">
        <v>64</v>
      </c>
      <c r="J1966" s="19">
        <v>26</v>
      </c>
      <c r="K1966" s="19">
        <v>1.8599999999999998E-2</v>
      </c>
      <c r="L1966" s="19" t="s">
        <v>541</v>
      </c>
      <c r="M1966" s="19" t="s">
        <v>541</v>
      </c>
      <c r="N1966" s="19">
        <v>50</v>
      </c>
      <c r="O1966" s="19">
        <v>93.003412969300001</v>
      </c>
      <c r="P1966" s="19">
        <v>95.563139931699993</v>
      </c>
      <c r="Q1966" s="19">
        <v>47.781569965899997</v>
      </c>
      <c r="R1966" s="19" t="s">
        <v>870</v>
      </c>
      <c r="S1966" s="19">
        <v>0.9</v>
      </c>
      <c r="T1966" s="19">
        <v>0.9</v>
      </c>
      <c r="U1966" s="19">
        <v>43.003412969300001</v>
      </c>
      <c r="AA1966" s="19">
        <v>0</v>
      </c>
    </row>
    <row r="1967" spans="1:27" x14ac:dyDescent="0.25">
      <c r="A1967" s="19" t="s">
        <v>2233</v>
      </c>
      <c r="B1967" s="19" t="s">
        <v>2217</v>
      </c>
      <c r="C1967" s="19" t="s">
        <v>2218</v>
      </c>
      <c r="D1967" s="19">
        <v>3.0276023890784902</v>
      </c>
      <c r="E1967" s="19" t="s">
        <v>85</v>
      </c>
      <c r="F1967" s="19" t="s">
        <v>86</v>
      </c>
      <c r="G1967" s="19" t="s">
        <v>32</v>
      </c>
      <c r="H1967" s="19" t="s">
        <v>87</v>
      </c>
      <c r="I1967" s="19" t="s">
        <v>88</v>
      </c>
      <c r="J1967" s="19">
        <v>35</v>
      </c>
      <c r="K1967" s="19">
        <v>3.2500000000000001E-2</v>
      </c>
      <c r="L1967" s="19" t="s">
        <v>541</v>
      </c>
      <c r="M1967" s="19" t="s">
        <v>541</v>
      </c>
      <c r="N1967" s="19">
        <v>50</v>
      </c>
      <c r="O1967" s="19">
        <v>93.156996586999995</v>
      </c>
      <c r="P1967" s="19">
        <v>95.904436860100006</v>
      </c>
      <c r="Q1967" s="19">
        <v>47.952218430000002</v>
      </c>
      <c r="R1967" s="19" t="s">
        <v>870</v>
      </c>
      <c r="S1967" s="19">
        <v>0.9</v>
      </c>
      <c r="T1967" s="19">
        <v>0.9</v>
      </c>
      <c r="U1967" s="19">
        <v>43.156996587000002</v>
      </c>
      <c r="AA1967" s="19">
        <v>0</v>
      </c>
    </row>
    <row r="1968" spans="1:27" x14ac:dyDescent="0.25">
      <c r="A1968" s="19" t="s">
        <v>2234</v>
      </c>
      <c r="B1968" s="19" t="s">
        <v>2217</v>
      </c>
      <c r="C1968" s="19" t="s">
        <v>2218</v>
      </c>
      <c r="D1968" s="19">
        <v>2.2113175675675598</v>
      </c>
      <c r="E1968" s="19" t="s">
        <v>90</v>
      </c>
      <c r="F1968" s="19" t="s">
        <v>91</v>
      </c>
      <c r="G1968" s="19" t="s">
        <v>32</v>
      </c>
      <c r="H1968" s="19" t="s">
        <v>87</v>
      </c>
      <c r="I1968" s="19" t="s">
        <v>88</v>
      </c>
      <c r="J1968" s="19">
        <v>33</v>
      </c>
      <c r="K1968" s="19">
        <v>3.2500000000000001E-2</v>
      </c>
      <c r="L1968" s="19" t="s">
        <v>541</v>
      </c>
      <c r="M1968" s="19" t="s">
        <v>541</v>
      </c>
      <c r="N1968" s="19">
        <v>50</v>
      </c>
      <c r="O1968" s="19">
        <v>68.040540540500004</v>
      </c>
      <c r="P1968" s="19">
        <v>40.090090090099999</v>
      </c>
      <c r="Q1968" s="19">
        <v>20.045045044999998</v>
      </c>
      <c r="R1968" s="19" t="s">
        <v>870</v>
      </c>
      <c r="S1968" s="19">
        <v>0.9</v>
      </c>
      <c r="T1968" s="19">
        <v>0.9</v>
      </c>
      <c r="U1968" s="19">
        <v>18.0405405405</v>
      </c>
      <c r="AA1968" s="19">
        <v>0</v>
      </c>
    </row>
    <row r="1969" spans="1:27" x14ac:dyDescent="0.25">
      <c r="A1969" s="19" t="s">
        <v>2235</v>
      </c>
      <c r="B1969" s="19" t="s">
        <v>2217</v>
      </c>
      <c r="C1969" s="19" t="s">
        <v>2218</v>
      </c>
      <c r="D1969" s="19">
        <v>3.0874999999999999</v>
      </c>
      <c r="E1969" s="19" t="s">
        <v>93</v>
      </c>
      <c r="F1969" s="19" t="s">
        <v>94</v>
      </c>
      <c r="G1969" s="19" t="s">
        <v>32</v>
      </c>
      <c r="H1969" s="19" t="s">
        <v>87</v>
      </c>
      <c r="I1969" s="19" t="s">
        <v>88</v>
      </c>
      <c r="J1969" s="19">
        <v>34</v>
      </c>
      <c r="K1969" s="19">
        <v>3.2500000000000001E-2</v>
      </c>
      <c r="L1969" s="19" t="s">
        <v>541</v>
      </c>
      <c r="M1969" s="19" t="s">
        <v>541</v>
      </c>
      <c r="N1969" s="19">
        <v>50</v>
      </c>
      <c r="O1969" s="19">
        <v>95</v>
      </c>
      <c r="P1969" s="19">
        <v>100</v>
      </c>
      <c r="Q1969" s="19">
        <v>50</v>
      </c>
      <c r="R1969" s="19" t="s">
        <v>870</v>
      </c>
      <c r="S1969" s="19">
        <v>0.9</v>
      </c>
      <c r="T1969" s="19">
        <v>0.9</v>
      </c>
      <c r="U1969" s="19">
        <v>45</v>
      </c>
      <c r="AA1969" s="19">
        <v>0</v>
      </c>
    </row>
    <row r="1970" spans="1:27" x14ac:dyDescent="0.25">
      <c r="A1970" s="19" t="s">
        <v>2236</v>
      </c>
      <c r="B1970" s="19" t="s">
        <v>2217</v>
      </c>
      <c r="C1970" s="19" t="s">
        <v>2218</v>
      </c>
      <c r="D1970" s="19">
        <v>4.17</v>
      </c>
      <c r="E1970" s="19" t="s">
        <v>132</v>
      </c>
      <c r="F1970" s="19" t="s">
        <v>133</v>
      </c>
      <c r="G1970" s="19" t="s">
        <v>134</v>
      </c>
      <c r="H1970" s="19" t="s">
        <v>87</v>
      </c>
      <c r="I1970" s="19" t="s">
        <v>135</v>
      </c>
      <c r="J1970" s="19">
        <v>11</v>
      </c>
      <c r="K1970" s="19">
        <v>4.1700000000000001E-2</v>
      </c>
      <c r="L1970" s="19" t="s">
        <v>541</v>
      </c>
      <c r="M1970" s="19" t="s">
        <v>541</v>
      </c>
      <c r="N1970" s="19">
        <v>50</v>
      </c>
      <c r="O1970" s="19">
        <v>100</v>
      </c>
      <c r="P1970" s="19">
        <v>100</v>
      </c>
      <c r="Q1970" s="19">
        <v>50</v>
      </c>
      <c r="R1970" s="19" t="s">
        <v>870</v>
      </c>
      <c r="S1970" s="19">
        <v>0.9</v>
      </c>
      <c r="T1970" s="19">
        <v>1</v>
      </c>
      <c r="U1970" s="19">
        <v>50</v>
      </c>
      <c r="AA1970" s="19">
        <v>0</v>
      </c>
    </row>
    <row r="1971" spans="1:27" x14ac:dyDescent="0.25">
      <c r="A1971" s="19" t="s">
        <v>2237</v>
      </c>
      <c r="B1971" s="19" t="s">
        <v>2217</v>
      </c>
      <c r="C1971" s="19" t="s">
        <v>2218</v>
      </c>
      <c r="D1971" s="19">
        <v>4.17</v>
      </c>
      <c r="E1971" s="19" t="s">
        <v>137</v>
      </c>
      <c r="F1971" s="19" t="s">
        <v>138</v>
      </c>
      <c r="G1971" s="19" t="s">
        <v>134</v>
      </c>
      <c r="H1971" s="19" t="s">
        <v>87</v>
      </c>
      <c r="I1971" s="19" t="s">
        <v>135</v>
      </c>
      <c r="J1971" s="19">
        <v>9</v>
      </c>
      <c r="K1971" s="19">
        <v>4.1700000000000001E-2</v>
      </c>
      <c r="L1971" s="19" t="s">
        <v>541</v>
      </c>
      <c r="M1971" s="19" t="s">
        <v>541</v>
      </c>
      <c r="N1971" s="19">
        <v>50</v>
      </c>
      <c r="O1971" s="19">
        <v>100</v>
      </c>
      <c r="P1971" s="19">
        <v>100</v>
      </c>
      <c r="Q1971" s="19">
        <v>50</v>
      </c>
      <c r="R1971" s="19" t="s">
        <v>870</v>
      </c>
      <c r="S1971" s="19">
        <v>0.9</v>
      </c>
      <c r="T1971" s="19">
        <v>1</v>
      </c>
      <c r="U1971" s="19">
        <v>50</v>
      </c>
      <c r="AA1971" s="19">
        <v>0</v>
      </c>
    </row>
    <row r="1972" spans="1:27" x14ac:dyDescent="0.25">
      <c r="A1972" s="19" t="s">
        <v>2238</v>
      </c>
      <c r="B1972" s="19" t="s">
        <v>2217</v>
      </c>
      <c r="C1972" s="19" t="s">
        <v>2218</v>
      </c>
      <c r="D1972" s="19">
        <v>2.78</v>
      </c>
      <c r="E1972" s="19" t="s">
        <v>140</v>
      </c>
      <c r="F1972" s="19" t="s">
        <v>141</v>
      </c>
      <c r="G1972" s="19" t="s">
        <v>134</v>
      </c>
      <c r="H1972" s="19" t="s">
        <v>87</v>
      </c>
      <c r="I1972" s="19" t="s">
        <v>135</v>
      </c>
      <c r="J1972" s="19">
        <v>10</v>
      </c>
      <c r="K1972" s="19">
        <v>4.1700000000000001E-2</v>
      </c>
      <c r="L1972" s="19" t="s">
        <v>541</v>
      </c>
      <c r="M1972" s="19" t="s">
        <v>541</v>
      </c>
      <c r="N1972" s="19">
        <v>50</v>
      </c>
      <c r="O1972" s="19">
        <v>66.666666666699996</v>
      </c>
      <c r="P1972" s="19">
        <v>33.333333333299997</v>
      </c>
      <c r="Q1972" s="19">
        <v>16.666666666699999</v>
      </c>
      <c r="R1972" s="19" t="s">
        <v>870</v>
      </c>
      <c r="S1972" s="19">
        <v>0.9</v>
      </c>
      <c r="T1972" s="19">
        <v>1</v>
      </c>
      <c r="U1972" s="19">
        <v>16.666666666699999</v>
      </c>
      <c r="AA1972" s="19">
        <v>0</v>
      </c>
    </row>
    <row r="1973" spans="1:27" x14ac:dyDescent="0.25">
      <c r="A1973" s="19" t="s">
        <v>2239</v>
      </c>
      <c r="B1973" s="19" t="s">
        <v>2217</v>
      </c>
      <c r="C1973" s="19" t="s">
        <v>2218</v>
      </c>
      <c r="D1973" s="19">
        <v>2.5</v>
      </c>
      <c r="E1973" s="19" t="s">
        <v>144</v>
      </c>
      <c r="F1973" s="19" t="s">
        <v>145</v>
      </c>
      <c r="G1973" s="19" t="s">
        <v>134</v>
      </c>
      <c r="H1973" s="19" t="s">
        <v>146</v>
      </c>
      <c r="I1973" s="19" t="s">
        <v>147</v>
      </c>
      <c r="J1973" s="19">
        <v>4</v>
      </c>
      <c r="K1973" s="19">
        <v>2.5000000000000001E-2</v>
      </c>
      <c r="L1973" s="19" t="s">
        <v>541</v>
      </c>
      <c r="M1973" s="19" t="s">
        <v>541</v>
      </c>
      <c r="N1973" s="19">
        <v>50</v>
      </c>
      <c r="O1973" s="19">
        <v>100</v>
      </c>
      <c r="P1973" s="19">
        <v>100</v>
      </c>
      <c r="Q1973" s="19">
        <v>50</v>
      </c>
      <c r="R1973" s="19" t="s">
        <v>870</v>
      </c>
      <c r="S1973" s="19">
        <v>0.9</v>
      </c>
      <c r="T1973" s="19">
        <v>1</v>
      </c>
      <c r="U1973" s="19">
        <v>50</v>
      </c>
      <c r="AA1973" s="19">
        <v>0</v>
      </c>
    </row>
    <row r="1974" spans="1:27" x14ac:dyDescent="0.25">
      <c r="A1974" s="19" t="s">
        <v>2240</v>
      </c>
      <c r="B1974" s="19" t="s">
        <v>2217</v>
      </c>
      <c r="C1974" s="19" t="s">
        <v>2218</v>
      </c>
      <c r="D1974" s="19">
        <v>2.5</v>
      </c>
      <c r="E1974" s="19" t="s">
        <v>149</v>
      </c>
      <c r="F1974" s="19" t="s">
        <v>150</v>
      </c>
      <c r="G1974" s="19" t="s">
        <v>134</v>
      </c>
      <c r="H1974" s="19" t="s">
        <v>146</v>
      </c>
      <c r="I1974" s="19" t="s">
        <v>147</v>
      </c>
      <c r="J1974" s="19">
        <v>5</v>
      </c>
      <c r="K1974" s="19">
        <v>2.5000000000000001E-2</v>
      </c>
      <c r="L1974" s="19" t="s">
        <v>541</v>
      </c>
      <c r="M1974" s="19" t="s">
        <v>541</v>
      </c>
      <c r="N1974" s="19">
        <v>50</v>
      </c>
      <c r="O1974" s="19">
        <v>100</v>
      </c>
      <c r="P1974" s="19">
        <v>100</v>
      </c>
      <c r="Q1974" s="19">
        <v>50</v>
      </c>
      <c r="R1974" s="19" t="s">
        <v>870</v>
      </c>
      <c r="S1974" s="19">
        <v>0.9</v>
      </c>
      <c r="T1974" s="19">
        <v>1</v>
      </c>
      <c r="U1974" s="19">
        <v>50</v>
      </c>
      <c r="AA1974" s="19">
        <v>0</v>
      </c>
    </row>
    <row r="1975" spans="1:27" x14ac:dyDescent="0.25">
      <c r="A1975" s="19" t="s">
        <v>2241</v>
      </c>
      <c r="B1975" s="19" t="s">
        <v>2217</v>
      </c>
      <c r="C1975" s="19" t="s">
        <v>2218</v>
      </c>
      <c r="D1975" s="19">
        <v>2.5</v>
      </c>
      <c r="E1975" s="19" t="s">
        <v>152</v>
      </c>
      <c r="F1975" s="19" t="s">
        <v>153</v>
      </c>
      <c r="G1975" s="19" t="s">
        <v>134</v>
      </c>
      <c r="H1975" s="19" t="s">
        <v>146</v>
      </c>
      <c r="I1975" s="19" t="s">
        <v>147</v>
      </c>
      <c r="J1975" s="19">
        <v>6</v>
      </c>
      <c r="K1975" s="19">
        <v>2.5000000000000001E-2</v>
      </c>
      <c r="L1975" s="19" t="s">
        <v>541</v>
      </c>
      <c r="M1975" s="19" t="s">
        <v>541</v>
      </c>
      <c r="N1975" s="19">
        <v>50</v>
      </c>
      <c r="O1975" s="19">
        <v>100</v>
      </c>
      <c r="P1975" s="19">
        <v>100</v>
      </c>
      <c r="Q1975" s="19">
        <v>50</v>
      </c>
      <c r="R1975" s="19" t="s">
        <v>870</v>
      </c>
      <c r="S1975" s="19">
        <v>0.9</v>
      </c>
      <c r="T1975" s="19">
        <v>1</v>
      </c>
      <c r="U1975" s="19">
        <v>50</v>
      </c>
      <c r="AA1975" s="19">
        <v>0</v>
      </c>
    </row>
    <row r="1976" spans="1:27" x14ac:dyDescent="0.25">
      <c r="A1976" s="19" t="s">
        <v>2242</v>
      </c>
      <c r="B1976" s="19" t="s">
        <v>2217</v>
      </c>
      <c r="C1976" s="19" t="s">
        <v>2218</v>
      </c>
      <c r="D1976" s="19">
        <v>2.5</v>
      </c>
      <c r="E1976" s="19" t="s">
        <v>155</v>
      </c>
      <c r="F1976" s="19" t="s">
        <v>156</v>
      </c>
      <c r="G1976" s="19" t="s">
        <v>134</v>
      </c>
      <c r="H1976" s="19" t="s">
        <v>146</v>
      </c>
      <c r="I1976" s="19" t="s">
        <v>147</v>
      </c>
      <c r="J1976" s="19">
        <v>7</v>
      </c>
      <c r="K1976" s="19">
        <v>2.5000000000000001E-2</v>
      </c>
      <c r="L1976" s="19" t="s">
        <v>541</v>
      </c>
      <c r="M1976" s="19" t="s">
        <v>541</v>
      </c>
      <c r="N1976" s="19">
        <v>50</v>
      </c>
      <c r="O1976" s="19">
        <v>100</v>
      </c>
      <c r="P1976" s="19">
        <v>100</v>
      </c>
      <c r="Q1976" s="19">
        <v>50</v>
      </c>
      <c r="R1976" s="19" t="s">
        <v>870</v>
      </c>
      <c r="S1976" s="19">
        <v>0.9</v>
      </c>
      <c r="T1976" s="19">
        <v>1</v>
      </c>
      <c r="U1976" s="19">
        <v>50</v>
      </c>
      <c r="AA1976" s="19">
        <v>0</v>
      </c>
    </row>
    <row r="1977" spans="1:27" x14ac:dyDescent="0.25">
      <c r="A1977" s="19" t="s">
        <v>2243</v>
      </c>
      <c r="B1977" s="19" t="s">
        <v>2217</v>
      </c>
      <c r="C1977" s="19" t="s">
        <v>2218</v>
      </c>
      <c r="D1977" s="19">
        <v>2.1666666666666599</v>
      </c>
      <c r="E1977" s="19" t="s">
        <v>158</v>
      </c>
      <c r="F1977" s="19" t="s">
        <v>159</v>
      </c>
      <c r="G1977" s="19" t="s">
        <v>134</v>
      </c>
      <c r="H1977" s="19" t="s">
        <v>146</v>
      </c>
      <c r="I1977" s="19" t="s">
        <v>147</v>
      </c>
      <c r="J1977" s="19">
        <v>8</v>
      </c>
      <c r="K1977" s="19">
        <v>2.5000000000000001E-2</v>
      </c>
      <c r="L1977" s="19" t="s">
        <v>541</v>
      </c>
      <c r="M1977" s="19" t="s">
        <v>541</v>
      </c>
      <c r="N1977" s="19">
        <v>50</v>
      </c>
      <c r="O1977" s="19">
        <v>86.666666666699996</v>
      </c>
      <c r="P1977" s="19">
        <v>73.333333333300004</v>
      </c>
      <c r="Q1977" s="19">
        <v>36.666666666700003</v>
      </c>
      <c r="R1977" s="19" t="s">
        <v>870</v>
      </c>
      <c r="S1977" s="19">
        <v>0.9</v>
      </c>
      <c r="T1977" s="19">
        <v>1</v>
      </c>
      <c r="U1977" s="19">
        <v>36.666666666700003</v>
      </c>
      <c r="AA1977" s="19">
        <v>0</v>
      </c>
    </row>
    <row r="1978" spans="1:27" x14ac:dyDescent="0.25">
      <c r="A1978" s="19" t="s">
        <v>2244</v>
      </c>
      <c r="B1978" s="19" t="s">
        <v>2217</v>
      </c>
      <c r="C1978" s="19" t="s">
        <v>2218</v>
      </c>
      <c r="D1978" s="19">
        <v>0</v>
      </c>
      <c r="E1978" s="19" t="s">
        <v>96</v>
      </c>
      <c r="F1978" s="19" t="s">
        <v>97</v>
      </c>
      <c r="G1978" s="19" t="s">
        <v>32</v>
      </c>
      <c r="H1978" s="19" t="s">
        <v>87</v>
      </c>
      <c r="I1978" s="19" t="s">
        <v>88</v>
      </c>
      <c r="J1978" s="19">
        <v>36</v>
      </c>
      <c r="K1978" s="19">
        <v>3.2500000000000001E-2</v>
      </c>
      <c r="L1978" s="19" t="s">
        <v>35</v>
      </c>
      <c r="N1978" s="19">
        <v>0</v>
      </c>
      <c r="O1978" s="19">
        <v>0</v>
      </c>
      <c r="P1978" s="19">
        <v>0</v>
      </c>
      <c r="Q1978" s="19">
        <v>0</v>
      </c>
      <c r="R1978" s="19" t="s">
        <v>870</v>
      </c>
      <c r="S1978" s="19">
        <v>0.9</v>
      </c>
      <c r="T1978" s="19">
        <v>1</v>
      </c>
      <c r="U1978" s="19">
        <v>0</v>
      </c>
      <c r="V1978" s="19" t="s">
        <v>36</v>
      </c>
      <c r="W1978" s="19">
        <v>0</v>
      </c>
      <c r="Z1978" s="19">
        <v>0</v>
      </c>
      <c r="AA1978" s="19">
        <v>0</v>
      </c>
    </row>
    <row r="1979" spans="1:27" x14ac:dyDescent="0.25">
      <c r="A1979" s="19" t="s">
        <v>2245</v>
      </c>
      <c r="B1979" s="19" t="s">
        <v>2217</v>
      </c>
      <c r="C1979" s="19" t="s">
        <v>2218</v>
      </c>
      <c r="D1979" s="19">
        <v>0</v>
      </c>
      <c r="E1979" s="19" t="s">
        <v>99</v>
      </c>
      <c r="F1979" s="19" t="s">
        <v>100</v>
      </c>
      <c r="G1979" s="19" t="s">
        <v>32</v>
      </c>
      <c r="H1979" s="19" t="s">
        <v>101</v>
      </c>
      <c r="I1979" s="19" t="s">
        <v>102</v>
      </c>
      <c r="J1979" s="19">
        <v>39</v>
      </c>
      <c r="K1979" s="19">
        <v>4.3299999999999998E-2</v>
      </c>
      <c r="L1979" s="19" t="s">
        <v>35</v>
      </c>
      <c r="M1979" s="19" t="s">
        <v>103</v>
      </c>
      <c r="N1979" s="19">
        <v>0</v>
      </c>
      <c r="O1979" s="19">
        <v>0</v>
      </c>
      <c r="P1979" s="19">
        <v>0</v>
      </c>
      <c r="Q1979" s="19">
        <v>0</v>
      </c>
      <c r="R1979" s="19" t="s">
        <v>870</v>
      </c>
      <c r="S1979" s="19">
        <v>0.9</v>
      </c>
      <c r="T1979" s="19">
        <v>1</v>
      </c>
      <c r="U1979" s="19">
        <v>0</v>
      </c>
      <c r="V1979" s="19" t="s">
        <v>36</v>
      </c>
      <c r="W1979" s="19">
        <v>0</v>
      </c>
      <c r="Y1979" s="19" t="s">
        <v>103</v>
      </c>
      <c r="Z1979" s="19">
        <v>50</v>
      </c>
      <c r="AA1979" s="19">
        <v>0</v>
      </c>
    </row>
    <row r="1980" spans="1:27" x14ac:dyDescent="0.25">
      <c r="A1980" s="19" t="s">
        <v>2246</v>
      </c>
      <c r="B1980" s="19" t="s">
        <v>2217</v>
      </c>
      <c r="C1980" s="19" t="s">
        <v>2218</v>
      </c>
      <c r="D1980" s="19">
        <v>0</v>
      </c>
      <c r="E1980" s="19" t="s">
        <v>105</v>
      </c>
      <c r="F1980" s="19" t="s">
        <v>106</v>
      </c>
      <c r="G1980" s="19" t="s">
        <v>32</v>
      </c>
      <c r="H1980" s="19" t="s">
        <v>101</v>
      </c>
      <c r="I1980" s="19" t="s">
        <v>102</v>
      </c>
      <c r="J1980" s="19">
        <v>38</v>
      </c>
      <c r="K1980" s="19">
        <v>4.3299999999999998E-2</v>
      </c>
      <c r="L1980" s="19" t="s">
        <v>35</v>
      </c>
      <c r="M1980" s="19" t="s">
        <v>103</v>
      </c>
      <c r="N1980" s="19">
        <v>0</v>
      </c>
      <c r="O1980" s="19">
        <v>0</v>
      </c>
      <c r="P1980" s="19">
        <v>0</v>
      </c>
      <c r="Q1980" s="19">
        <v>0</v>
      </c>
      <c r="R1980" s="19" t="s">
        <v>870</v>
      </c>
      <c r="S1980" s="19">
        <v>0.9</v>
      </c>
      <c r="T1980" s="19">
        <v>1</v>
      </c>
      <c r="U1980" s="19">
        <v>0</v>
      </c>
      <c r="V1980" s="19" t="s">
        <v>80</v>
      </c>
      <c r="W1980" s="19">
        <v>0</v>
      </c>
      <c r="Y1980" s="19" t="s">
        <v>103</v>
      </c>
      <c r="Z1980" s="19">
        <v>50</v>
      </c>
      <c r="AA1980" s="19">
        <v>0</v>
      </c>
    </row>
    <row r="1981" spans="1:27" x14ac:dyDescent="0.25">
      <c r="A1981" s="19" t="s">
        <v>2247</v>
      </c>
      <c r="B1981" s="19" t="s">
        <v>2217</v>
      </c>
      <c r="C1981" s="19" t="s">
        <v>2218</v>
      </c>
      <c r="D1981" s="19">
        <v>0</v>
      </c>
      <c r="E1981" s="19" t="s">
        <v>108</v>
      </c>
      <c r="F1981" s="19" t="s">
        <v>109</v>
      </c>
      <c r="G1981" s="19" t="s">
        <v>32</v>
      </c>
      <c r="H1981" s="19" t="s">
        <v>101</v>
      </c>
      <c r="I1981" s="19" t="s">
        <v>102</v>
      </c>
      <c r="J1981" s="19">
        <v>37</v>
      </c>
      <c r="K1981" s="19">
        <v>4.3299999999999998E-2</v>
      </c>
      <c r="L1981" s="19" t="s">
        <v>35</v>
      </c>
      <c r="M1981" s="19" t="s">
        <v>110</v>
      </c>
      <c r="N1981" s="19">
        <v>0</v>
      </c>
      <c r="O1981" s="19">
        <v>0</v>
      </c>
      <c r="P1981" s="19">
        <v>0</v>
      </c>
      <c r="Q1981" s="19">
        <v>0</v>
      </c>
      <c r="R1981" s="19" t="s">
        <v>870</v>
      </c>
      <c r="S1981" s="19">
        <v>0.9</v>
      </c>
      <c r="T1981" s="19">
        <v>1</v>
      </c>
      <c r="U1981" s="19">
        <v>0</v>
      </c>
      <c r="V1981" s="19" t="s">
        <v>80</v>
      </c>
      <c r="W1981" s="19">
        <v>0</v>
      </c>
      <c r="Y1981" s="19" t="s">
        <v>110</v>
      </c>
      <c r="Z1981" s="19">
        <v>16.664999999999999</v>
      </c>
      <c r="AA1981" s="19">
        <v>0</v>
      </c>
    </row>
    <row r="1982" spans="1:27" x14ac:dyDescent="0.25">
      <c r="A1982" s="19" t="s">
        <v>2248</v>
      </c>
      <c r="B1982" s="19" t="s">
        <v>2217</v>
      </c>
      <c r="C1982" s="19" t="s">
        <v>2218</v>
      </c>
      <c r="D1982" s="19">
        <v>0</v>
      </c>
      <c r="E1982" s="19" t="s">
        <v>112</v>
      </c>
      <c r="F1982" s="19" t="s">
        <v>113</v>
      </c>
      <c r="G1982" s="19" t="s">
        <v>32</v>
      </c>
      <c r="H1982" s="19" t="s">
        <v>114</v>
      </c>
      <c r="I1982" s="19" t="s">
        <v>115</v>
      </c>
      <c r="J1982" s="19">
        <v>30</v>
      </c>
      <c r="K1982" s="19">
        <v>2.1700000000000001E-2</v>
      </c>
      <c r="L1982" s="19" t="s">
        <v>35</v>
      </c>
      <c r="M1982" s="19" t="s">
        <v>103</v>
      </c>
      <c r="N1982" s="19">
        <v>0</v>
      </c>
      <c r="O1982" s="19">
        <v>0</v>
      </c>
      <c r="P1982" s="19">
        <v>0</v>
      </c>
      <c r="Q1982" s="19">
        <v>0</v>
      </c>
      <c r="R1982" s="19" t="s">
        <v>870</v>
      </c>
      <c r="S1982" s="19">
        <v>0.9</v>
      </c>
      <c r="T1982" s="19">
        <v>1</v>
      </c>
      <c r="U1982" s="19">
        <v>0</v>
      </c>
      <c r="V1982" s="19" t="s">
        <v>36</v>
      </c>
      <c r="W1982" s="19">
        <v>0</v>
      </c>
      <c r="Y1982" s="19" t="s">
        <v>103</v>
      </c>
      <c r="Z1982" s="19">
        <v>50</v>
      </c>
      <c r="AA1982" s="19">
        <v>0</v>
      </c>
    </row>
    <row r="1983" spans="1:27" x14ac:dyDescent="0.25">
      <c r="A1983" s="19" t="s">
        <v>2249</v>
      </c>
      <c r="B1983" s="19" t="s">
        <v>2217</v>
      </c>
      <c r="C1983" s="19" t="s">
        <v>2218</v>
      </c>
      <c r="D1983" s="19">
        <v>1.085</v>
      </c>
      <c r="E1983" s="19" t="s">
        <v>117</v>
      </c>
      <c r="F1983" s="19" t="s">
        <v>118</v>
      </c>
      <c r="G1983" s="19" t="s">
        <v>32</v>
      </c>
      <c r="H1983" s="19" t="s">
        <v>114</v>
      </c>
      <c r="I1983" s="19" t="s">
        <v>115</v>
      </c>
      <c r="J1983" s="19">
        <v>31</v>
      </c>
      <c r="K1983" s="19">
        <v>2.1700000000000001E-2</v>
      </c>
      <c r="L1983" s="19" t="s">
        <v>35</v>
      </c>
      <c r="M1983" s="19" t="s">
        <v>103</v>
      </c>
      <c r="N1983" s="19">
        <v>50</v>
      </c>
      <c r="O1983" s="19">
        <v>50</v>
      </c>
      <c r="P1983" s="19">
        <v>0</v>
      </c>
      <c r="Q1983" s="19">
        <v>0</v>
      </c>
      <c r="R1983" s="19" t="s">
        <v>870</v>
      </c>
      <c r="S1983" s="19">
        <v>0.9</v>
      </c>
      <c r="T1983" s="19">
        <v>1</v>
      </c>
      <c r="U1983" s="19">
        <v>0</v>
      </c>
      <c r="V1983" s="19" t="s">
        <v>41</v>
      </c>
      <c r="W1983" s="19">
        <v>1</v>
      </c>
      <c r="Y1983" s="19" t="s">
        <v>103</v>
      </c>
      <c r="Z1983" s="19">
        <v>50</v>
      </c>
      <c r="AA1983" s="19">
        <v>50</v>
      </c>
    </row>
    <row r="1984" spans="1:27" x14ac:dyDescent="0.25">
      <c r="A1984" s="19" t="s">
        <v>2250</v>
      </c>
      <c r="B1984" s="19" t="s">
        <v>2217</v>
      </c>
      <c r="C1984" s="19" t="s">
        <v>2218</v>
      </c>
      <c r="D1984" s="19">
        <v>1.085</v>
      </c>
      <c r="E1984" s="19" t="s">
        <v>120</v>
      </c>
      <c r="F1984" s="19" t="s">
        <v>121</v>
      </c>
      <c r="G1984" s="19" t="s">
        <v>32</v>
      </c>
      <c r="H1984" s="19" t="s">
        <v>114</v>
      </c>
      <c r="I1984" s="19" t="s">
        <v>115</v>
      </c>
      <c r="J1984" s="19">
        <v>28</v>
      </c>
      <c r="K1984" s="19">
        <v>2.1700000000000001E-2</v>
      </c>
      <c r="L1984" s="19" t="s">
        <v>35</v>
      </c>
      <c r="M1984" s="19" t="s">
        <v>103</v>
      </c>
      <c r="N1984" s="19">
        <v>50</v>
      </c>
      <c r="O1984" s="19">
        <v>50</v>
      </c>
      <c r="P1984" s="19">
        <v>0</v>
      </c>
      <c r="Q1984" s="19">
        <v>0</v>
      </c>
      <c r="R1984" s="19" t="s">
        <v>870</v>
      </c>
      <c r="S1984" s="19">
        <v>0.9</v>
      </c>
      <c r="T1984" s="19">
        <v>1</v>
      </c>
      <c r="U1984" s="19">
        <v>0</v>
      </c>
      <c r="V1984" s="19" t="s">
        <v>41</v>
      </c>
      <c r="W1984" s="19">
        <v>1</v>
      </c>
      <c r="Y1984" s="19" t="s">
        <v>103</v>
      </c>
      <c r="Z1984" s="19">
        <v>50</v>
      </c>
      <c r="AA1984" s="19">
        <v>50</v>
      </c>
    </row>
    <row r="1985" spans="1:27" x14ac:dyDescent="0.25">
      <c r="A1985" s="19" t="s">
        <v>2251</v>
      </c>
      <c r="B1985" s="19" t="s">
        <v>2217</v>
      </c>
      <c r="C1985" s="19" t="s">
        <v>2218</v>
      </c>
      <c r="D1985" s="19">
        <v>0</v>
      </c>
      <c r="E1985" s="19" t="s">
        <v>123</v>
      </c>
      <c r="F1985" s="19" t="s">
        <v>124</v>
      </c>
      <c r="G1985" s="19" t="s">
        <v>32</v>
      </c>
      <c r="H1985" s="19" t="s">
        <v>114</v>
      </c>
      <c r="I1985" s="19" t="s">
        <v>115</v>
      </c>
      <c r="J1985" s="19">
        <v>27</v>
      </c>
      <c r="K1985" s="19">
        <v>2.1700000000000001E-2</v>
      </c>
      <c r="L1985" s="19" t="s">
        <v>35</v>
      </c>
      <c r="M1985" s="19" t="s">
        <v>103</v>
      </c>
      <c r="N1985" s="19">
        <v>0</v>
      </c>
      <c r="O1985" s="19">
        <v>0</v>
      </c>
      <c r="P1985" s="19">
        <v>0</v>
      </c>
      <c r="Q1985" s="19">
        <v>0</v>
      </c>
      <c r="R1985" s="19" t="s">
        <v>870</v>
      </c>
      <c r="S1985" s="19">
        <v>0.9</v>
      </c>
      <c r="T1985" s="19">
        <v>1</v>
      </c>
      <c r="U1985" s="19">
        <v>0</v>
      </c>
      <c r="V1985" s="19" t="s">
        <v>36</v>
      </c>
      <c r="W1985" s="19">
        <v>0</v>
      </c>
      <c r="Y1985" s="19" t="s">
        <v>103</v>
      </c>
      <c r="Z1985" s="19">
        <v>50</v>
      </c>
      <c r="AA1985" s="19">
        <v>0</v>
      </c>
    </row>
    <row r="1986" spans="1:27" x14ac:dyDescent="0.25">
      <c r="A1986" s="19" t="s">
        <v>2252</v>
      </c>
      <c r="B1986" s="19" t="s">
        <v>2217</v>
      </c>
      <c r="C1986" s="19" t="s">
        <v>2218</v>
      </c>
      <c r="D1986" s="19">
        <v>0</v>
      </c>
      <c r="E1986" s="19" t="s">
        <v>126</v>
      </c>
      <c r="F1986" s="19" t="s">
        <v>127</v>
      </c>
      <c r="G1986" s="19" t="s">
        <v>32</v>
      </c>
      <c r="H1986" s="19" t="s">
        <v>114</v>
      </c>
      <c r="I1986" s="19" t="s">
        <v>115</v>
      </c>
      <c r="J1986" s="19">
        <v>29</v>
      </c>
      <c r="K1986" s="19">
        <v>2.1700000000000001E-2</v>
      </c>
      <c r="L1986" s="19" t="s">
        <v>35</v>
      </c>
      <c r="M1986" s="19" t="s">
        <v>103</v>
      </c>
      <c r="N1986" s="19">
        <v>0</v>
      </c>
      <c r="O1986" s="19">
        <v>0</v>
      </c>
      <c r="P1986" s="19">
        <v>0</v>
      </c>
      <c r="Q1986" s="19">
        <v>0</v>
      </c>
      <c r="R1986" s="19" t="s">
        <v>870</v>
      </c>
      <c r="S1986" s="19">
        <v>0.9</v>
      </c>
      <c r="T1986" s="19">
        <v>1</v>
      </c>
      <c r="U1986" s="19">
        <v>0</v>
      </c>
      <c r="V1986" s="19" t="s">
        <v>80</v>
      </c>
      <c r="W1986" s="19">
        <v>0</v>
      </c>
      <c r="Y1986" s="19" t="s">
        <v>103</v>
      </c>
      <c r="Z1986" s="19">
        <v>50</v>
      </c>
      <c r="AA1986" s="19">
        <v>0</v>
      </c>
    </row>
    <row r="1987" spans="1:27" x14ac:dyDescent="0.25">
      <c r="A1987" s="19" t="s">
        <v>2253</v>
      </c>
      <c r="B1987" s="19" t="s">
        <v>2217</v>
      </c>
      <c r="C1987" s="19" t="s">
        <v>2218</v>
      </c>
      <c r="D1987" s="19">
        <v>1.085</v>
      </c>
      <c r="E1987" s="19" t="s">
        <v>129</v>
      </c>
      <c r="F1987" s="19" t="s">
        <v>130</v>
      </c>
      <c r="G1987" s="19" t="s">
        <v>32</v>
      </c>
      <c r="H1987" s="19" t="s">
        <v>114</v>
      </c>
      <c r="I1987" s="19" t="s">
        <v>115</v>
      </c>
      <c r="J1987" s="19">
        <v>32</v>
      </c>
      <c r="K1987" s="19">
        <v>2.1700000000000001E-2</v>
      </c>
      <c r="L1987" s="19" t="s">
        <v>35</v>
      </c>
      <c r="M1987" s="19" t="s">
        <v>103</v>
      </c>
      <c r="N1987" s="19">
        <v>50</v>
      </c>
      <c r="O1987" s="19">
        <v>50</v>
      </c>
      <c r="P1987" s="19">
        <v>0</v>
      </c>
      <c r="Q1987" s="19">
        <v>0</v>
      </c>
      <c r="R1987" s="19" t="s">
        <v>870</v>
      </c>
      <c r="S1987" s="19">
        <v>0.9</v>
      </c>
      <c r="T1987" s="19">
        <v>1</v>
      </c>
      <c r="U1987" s="19">
        <v>0</v>
      </c>
      <c r="V1987" s="19" t="s">
        <v>41</v>
      </c>
      <c r="W1987" s="19">
        <v>1</v>
      </c>
      <c r="Y1987" s="19" t="s">
        <v>103</v>
      </c>
      <c r="Z1987" s="19">
        <v>50</v>
      </c>
      <c r="AA1987" s="19">
        <v>50</v>
      </c>
    </row>
    <row r="1988" spans="1:27" x14ac:dyDescent="0.25">
      <c r="A1988" s="19" t="s">
        <v>2254</v>
      </c>
      <c r="B1988" s="19" t="s">
        <v>2217</v>
      </c>
      <c r="C1988" s="19" t="s">
        <v>2218</v>
      </c>
      <c r="D1988" s="19">
        <v>3.33</v>
      </c>
      <c r="E1988" s="19" t="s">
        <v>161</v>
      </c>
      <c r="F1988" s="19" t="s">
        <v>162</v>
      </c>
      <c r="G1988" s="19" t="s">
        <v>163</v>
      </c>
      <c r="I1988" s="19" t="s">
        <v>164</v>
      </c>
      <c r="J1988" s="19">
        <v>1</v>
      </c>
      <c r="K1988" s="19">
        <v>3.3300000000000003E-2</v>
      </c>
      <c r="L1988" s="19" t="s">
        <v>35</v>
      </c>
      <c r="M1988" s="19" t="s">
        <v>165</v>
      </c>
      <c r="N1988" s="19">
        <v>100</v>
      </c>
      <c r="O1988" s="19">
        <v>100</v>
      </c>
      <c r="P1988" s="19">
        <v>0</v>
      </c>
      <c r="Q1988" s="19">
        <v>0</v>
      </c>
      <c r="R1988" s="19" t="s">
        <v>870</v>
      </c>
      <c r="S1988" s="19">
        <v>0.9</v>
      </c>
      <c r="T1988" s="19">
        <v>1</v>
      </c>
      <c r="U1988" s="19">
        <v>0</v>
      </c>
      <c r="W1988" s="19">
        <v>0</v>
      </c>
      <c r="X1988" s="19">
        <v>100</v>
      </c>
      <c r="Z1988" s="19">
        <v>0</v>
      </c>
      <c r="AA1988" s="19">
        <v>100</v>
      </c>
    </row>
    <row r="1989" spans="1:27" x14ac:dyDescent="0.25">
      <c r="A1989" s="19" t="s">
        <v>2255</v>
      </c>
      <c r="B1989" s="19" t="s">
        <v>2217</v>
      </c>
      <c r="C1989" s="19" t="s">
        <v>2218</v>
      </c>
      <c r="D1989" s="19">
        <v>3.33</v>
      </c>
      <c r="E1989" s="19" t="s">
        <v>167</v>
      </c>
      <c r="F1989" s="19" t="s">
        <v>168</v>
      </c>
      <c r="G1989" s="19" t="s">
        <v>163</v>
      </c>
      <c r="I1989" s="19" t="s">
        <v>164</v>
      </c>
      <c r="J1989" s="19">
        <v>3</v>
      </c>
      <c r="K1989" s="19">
        <v>3.3300000000000003E-2</v>
      </c>
      <c r="L1989" s="19" t="s">
        <v>35</v>
      </c>
      <c r="M1989" s="19" t="s">
        <v>165</v>
      </c>
      <c r="N1989" s="19">
        <v>100</v>
      </c>
      <c r="O1989" s="19">
        <v>100</v>
      </c>
      <c r="P1989" s="19">
        <v>0</v>
      </c>
      <c r="Q1989" s="19">
        <v>0</v>
      </c>
      <c r="R1989" s="19" t="s">
        <v>870</v>
      </c>
      <c r="S1989" s="19">
        <v>0.9</v>
      </c>
      <c r="T1989" s="19">
        <v>1</v>
      </c>
      <c r="U1989" s="19">
        <v>0</v>
      </c>
      <c r="W1989" s="19">
        <v>0</v>
      </c>
      <c r="X1989" s="19">
        <v>100</v>
      </c>
      <c r="Z1989" s="19">
        <v>0</v>
      </c>
      <c r="AA1989" s="19">
        <v>100</v>
      </c>
    </row>
    <row r="1990" spans="1:27" x14ac:dyDescent="0.25">
      <c r="A1990" s="19" t="s">
        <v>2256</v>
      </c>
      <c r="B1990" s="19" t="s">
        <v>2217</v>
      </c>
      <c r="C1990" s="19" t="s">
        <v>2218</v>
      </c>
      <c r="D1990" s="19">
        <v>3.0303</v>
      </c>
      <c r="E1990" s="19" t="s">
        <v>170</v>
      </c>
      <c r="F1990" s="19" t="s">
        <v>171</v>
      </c>
      <c r="G1990" s="19" t="s">
        <v>163</v>
      </c>
      <c r="I1990" s="19" t="s">
        <v>164</v>
      </c>
      <c r="J1990" s="19">
        <v>2</v>
      </c>
      <c r="K1990" s="19">
        <v>3.3300000000000003E-2</v>
      </c>
      <c r="L1990" s="19" t="s">
        <v>35</v>
      </c>
      <c r="M1990" s="19" t="s">
        <v>165</v>
      </c>
      <c r="N1990" s="19">
        <v>91</v>
      </c>
      <c r="O1990" s="19">
        <v>91</v>
      </c>
      <c r="P1990" s="19">
        <v>0</v>
      </c>
      <c r="Q1990" s="19">
        <v>0</v>
      </c>
      <c r="R1990" s="19" t="s">
        <v>870</v>
      </c>
      <c r="S1990" s="19">
        <v>0.9</v>
      </c>
      <c r="T1990" s="19">
        <v>1</v>
      </c>
      <c r="U1990" s="19">
        <v>0</v>
      </c>
      <c r="W1990" s="19">
        <v>0</v>
      </c>
      <c r="X1990" s="19">
        <v>91</v>
      </c>
      <c r="Z1990" s="19">
        <v>0</v>
      </c>
      <c r="AA1990" s="19">
        <v>91</v>
      </c>
    </row>
    <row r="1991" spans="1:27" x14ac:dyDescent="0.25">
      <c r="A1991" s="19" t="s">
        <v>2257</v>
      </c>
      <c r="B1991" s="19" t="s">
        <v>2258</v>
      </c>
      <c r="C1991" s="19" t="s">
        <v>2259</v>
      </c>
      <c r="D1991" s="19">
        <v>0</v>
      </c>
      <c r="E1991" s="19" t="s">
        <v>30</v>
      </c>
      <c r="F1991" s="19" t="s">
        <v>31</v>
      </c>
      <c r="G1991" s="19" t="s">
        <v>32</v>
      </c>
      <c r="H1991" s="19" t="s">
        <v>33</v>
      </c>
      <c r="I1991" s="19" t="s">
        <v>34</v>
      </c>
      <c r="J1991" s="19">
        <v>17</v>
      </c>
      <c r="K1991" s="19">
        <v>1.6299999999999999E-2</v>
      </c>
      <c r="L1991" s="19" t="s">
        <v>35</v>
      </c>
      <c r="N1991" s="19">
        <v>0</v>
      </c>
      <c r="O1991" s="19">
        <v>0</v>
      </c>
      <c r="P1991" s="19">
        <v>0</v>
      </c>
      <c r="Q1991" s="19">
        <v>0</v>
      </c>
      <c r="S1991" s="19">
        <v>1</v>
      </c>
      <c r="T1991" s="19">
        <v>1</v>
      </c>
      <c r="U1991" s="19">
        <v>0</v>
      </c>
      <c r="V1991" s="19" t="s">
        <v>36</v>
      </c>
      <c r="W1991" s="19">
        <v>0</v>
      </c>
      <c r="Z1991" s="19">
        <v>0</v>
      </c>
      <c r="AA1991" s="19">
        <v>0</v>
      </c>
    </row>
    <row r="1992" spans="1:27" x14ac:dyDescent="0.25">
      <c r="A1992" s="19" t="s">
        <v>2260</v>
      </c>
      <c r="B1992" s="19" t="s">
        <v>2258</v>
      </c>
      <c r="C1992" s="19" t="s">
        <v>2259</v>
      </c>
      <c r="D1992" s="19">
        <v>0</v>
      </c>
      <c r="E1992" s="19" t="s">
        <v>38</v>
      </c>
      <c r="F1992" s="19" t="s">
        <v>39</v>
      </c>
      <c r="G1992" s="19" t="s">
        <v>32</v>
      </c>
      <c r="H1992" s="19" t="s">
        <v>33</v>
      </c>
      <c r="I1992" s="19" t="s">
        <v>34</v>
      </c>
      <c r="J1992" s="19">
        <v>19</v>
      </c>
      <c r="K1992" s="19">
        <v>1.6299999999999999E-2</v>
      </c>
      <c r="L1992" s="19" t="s">
        <v>35</v>
      </c>
      <c r="N1992" s="19">
        <v>0</v>
      </c>
      <c r="O1992" s="19">
        <v>0</v>
      </c>
      <c r="P1992" s="19">
        <v>0</v>
      </c>
      <c r="Q1992" s="19">
        <v>0</v>
      </c>
      <c r="S1992" s="19">
        <v>1</v>
      </c>
      <c r="T1992" s="19">
        <v>1</v>
      </c>
      <c r="U1992" s="19">
        <v>0</v>
      </c>
      <c r="V1992" s="19" t="s">
        <v>36</v>
      </c>
      <c r="W1992" s="19">
        <v>0</v>
      </c>
      <c r="Z1992" s="19">
        <v>0</v>
      </c>
      <c r="AA1992" s="19">
        <v>0</v>
      </c>
    </row>
    <row r="1993" spans="1:27" x14ac:dyDescent="0.25">
      <c r="A1993" s="19" t="s">
        <v>2261</v>
      </c>
      <c r="B1993" s="19" t="s">
        <v>2258</v>
      </c>
      <c r="C1993" s="19" t="s">
        <v>2259</v>
      </c>
      <c r="D1993" s="19">
        <v>0</v>
      </c>
      <c r="E1993" s="19" t="s">
        <v>43</v>
      </c>
      <c r="F1993" s="19" t="s">
        <v>44</v>
      </c>
      <c r="G1993" s="19" t="s">
        <v>32</v>
      </c>
      <c r="H1993" s="19" t="s">
        <v>33</v>
      </c>
      <c r="I1993" s="19" t="s">
        <v>34</v>
      </c>
      <c r="J1993" s="19">
        <v>18</v>
      </c>
      <c r="K1993" s="19">
        <v>1.6299999999999999E-2</v>
      </c>
      <c r="L1993" s="19" t="s">
        <v>35</v>
      </c>
      <c r="N1993" s="19">
        <v>0</v>
      </c>
      <c r="O1993" s="19">
        <v>0</v>
      </c>
      <c r="P1993" s="19">
        <v>0</v>
      </c>
      <c r="Q1993" s="19">
        <v>0</v>
      </c>
      <c r="S1993" s="19">
        <v>1</v>
      </c>
      <c r="T1993" s="19">
        <v>1</v>
      </c>
      <c r="U1993" s="19">
        <v>0</v>
      </c>
      <c r="V1993" s="19" t="s">
        <v>36</v>
      </c>
      <c r="W1993" s="19">
        <v>0</v>
      </c>
      <c r="Z1993" s="19">
        <v>0</v>
      </c>
      <c r="AA1993" s="19">
        <v>0</v>
      </c>
    </row>
    <row r="1994" spans="1:27" x14ac:dyDescent="0.25">
      <c r="A1994" s="19" t="s">
        <v>2262</v>
      </c>
      <c r="B1994" s="19" t="s">
        <v>2258</v>
      </c>
      <c r="C1994" s="19" t="s">
        <v>2259</v>
      </c>
      <c r="D1994" s="19">
        <v>0</v>
      </c>
      <c r="E1994" s="19" t="s">
        <v>46</v>
      </c>
      <c r="F1994" s="19" t="s">
        <v>47</v>
      </c>
      <c r="G1994" s="19" t="s">
        <v>32</v>
      </c>
      <c r="H1994" s="19" t="s">
        <v>33</v>
      </c>
      <c r="I1994" s="19" t="s">
        <v>34</v>
      </c>
      <c r="J1994" s="19">
        <v>15</v>
      </c>
      <c r="K1994" s="19">
        <v>1.6299999999999999E-2</v>
      </c>
      <c r="L1994" s="19" t="s">
        <v>35</v>
      </c>
      <c r="N1994" s="19">
        <v>0</v>
      </c>
      <c r="O1994" s="19">
        <v>0</v>
      </c>
      <c r="P1994" s="19">
        <v>0</v>
      </c>
      <c r="Q1994" s="19">
        <v>0</v>
      </c>
      <c r="S1994" s="19">
        <v>1</v>
      </c>
      <c r="T1994" s="19">
        <v>1</v>
      </c>
      <c r="U1994" s="19">
        <v>0</v>
      </c>
      <c r="V1994" s="19" t="s">
        <v>36</v>
      </c>
      <c r="W1994" s="19">
        <v>0</v>
      </c>
      <c r="Z1994" s="19">
        <v>0</v>
      </c>
      <c r="AA1994" s="19">
        <v>0</v>
      </c>
    </row>
    <row r="1995" spans="1:27" x14ac:dyDescent="0.25">
      <c r="A1995" s="19" t="s">
        <v>2263</v>
      </c>
      <c r="B1995" s="19" t="s">
        <v>2258</v>
      </c>
      <c r="C1995" s="19" t="s">
        <v>2259</v>
      </c>
      <c r="D1995" s="19">
        <v>0</v>
      </c>
      <c r="E1995" s="19" t="s">
        <v>49</v>
      </c>
      <c r="F1995" s="19" t="s">
        <v>50</v>
      </c>
      <c r="G1995" s="19" t="s">
        <v>32</v>
      </c>
      <c r="H1995" s="19" t="s">
        <v>33</v>
      </c>
      <c r="I1995" s="19" t="s">
        <v>34</v>
      </c>
      <c r="J1995" s="19">
        <v>12</v>
      </c>
      <c r="K1995" s="19">
        <v>1.6299999999999999E-2</v>
      </c>
      <c r="L1995" s="19" t="s">
        <v>35</v>
      </c>
      <c r="N1995" s="19">
        <v>0</v>
      </c>
      <c r="O1995" s="19">
        <v>0</v>
      </c>
      <c r="P1995" s="19">
        <v>0</v>
      </c>
      <c r="Q1995" s="19">
        <v>0</v>
      </c>
      <c r="S1995" s="19">
        <v>1</v>
      </c>
      <c r="T1995" s="19">
        <v>1</v>
      </c>
      <c r="U1995" s="19">
        <v>0</v>
      </c>
      <c r="V1995" s="19" t="s">
        <v>36</v>
      </c>
      <c r="W1995" s="19">
        <v>0</v>
      </c>
      <c r="Z1995" s="19">
        <v>0</v>
      </c>
      <c r="AA1995" s="19">
        <v>0</v>
      </c>
    </row>
    <row r="1996" spans="1:27" x14ac:dyDescent="0.25">
      <c r="A1996" s="19" t="s">
        <v>2264</v>
      </c>
      <c r="B1996" s="19" t="s">
        <v>2258</v>
      </c>
      <c r="C1996" s="19" t="s">
        <v>2259</v>
      </c>
      <c r="D1996" s="19">
        <v>0</v>
      </c>
      <c r="E1996" s="19" t="s">
        <v>52</v>
      </c>
      <c r="F1996" s="19" t="s">
        <v>53</v>
      </c>
      <c r="G1996" s="19" t="s">
        <v>32</v>
      </c>
      <c r="H1996" s="19" t="s">
        <v>33</v>
      </c>
      <c r="I1996" s="19" t="s">
        <v>34</v>
      </c>
      <c r="J1996" s="19">
        <v>16</v>
      </c>
      <c r="K1996" s="19">
        <v>1.6299999999999999E-2</v>
      </c>
      <c r="L1996" s="19" t="s">
        <v>35</v>
      </c>
      <c r="N1996" s="19">
        <v>0</v>
      </c>
      <c r="O1996" s="19">
        <v>0</v>
      </c>
      <c r="P1996" s="19">
        <v>0</v>
      </c>
      <c r="Q1996" s="19">
        <v>0</v>
      </c>
      <c r="S1996" s="19">
        <v>1</v>
      </c>
      <c r="T1996" s="19">
        <v>1</v>
      </c>
      <c r="U1996" s="19">
        <v>0</v>
      </c>
      <c r="V1996" s="19" t="s">
        <v>36</v>
      </c>
      <c r="W1996" s="19">
        <v>0</v>
      </c>
      <c r="Z1996" s="19">
        <v>0</v>
      </c>
      <c r="AA1996" s="19">
        <v>0</v>
      </c>
    </row>
    <row r="1997" spans="1:27" x14ac:dyDescent="0.25">
      <c r="A1997" s="19" t="s">
        <v>2265</v>
      </c>
      <c r="B1997" s="19" t="s">
        <v>2258</v>
      </c>
      <c r="C1997" s="19" t="s">
        <v>2259</v>
      </c>
      <c r="D1997" s="19">
        <v>0</v>
      </c>
      <c r="E1997" s="19" t="s">
        <v>55</v>
      </c>
      <c r="F1997" s="19" t="s">
        <v>56</v>
      </c>
      <c r="G1997" s="19" t="s">
        <v>32</v>
      </c>
      <c r="H1997" s="19" t="s">
        <v>33</v>
      </c>
      <c r="I1997" s="19" t="s">
        <v>34</v>
      </c>
      <c r="J1997" s="19">
        <v>14</v>
      </c>
      <c r="K1997" s="19">
        <v>1.6299999999999999E-2</v>
      </c>
      <c r="L1997" s="19" t="s">
        <v>35</v>
      </c>
      <c r="N1997" s="19">
        <v>0</v>
      </c>
      <c r="O1997" s="19">
        <v>0</v>
      </c>
      <c r="P1997" s="19">
        <v>0</v>
      </c>
      <c r="Q1997" s="19">
        <v>0</v>
      </c>
      <c r="S1997" s="19">
        <v>1</v>
      </c>
      <c r="T1997" s="19">
        <v>1</v>
      </c>
      <c r="U1997" s="19">
        <v>0</v>
      </c>
      <c r="V1997" s="19" t="s">
        <v>36</v>
      </c>
      <c r="W1997" s="19">
        <v>0</v>
      </c>
      <c r="Z1997" s="19">
        <v>0</v>
      </c>
      <c r="AA1997" s="19">
        <v>0</v>
      </c>
    </row>
    <row r="1998" spans="1:27" x14ac:dyDescent="0.25">
      <c r="A1998" s="19" t="s">
        <v>2266</v>
      </c>
      <c r="B1998" s="19" t="s">
        <v>2258</v>
      </c>
      <c r="C1998" s="19" t="s">
        <v>2259</v>
      </c>
      <c r="D1998" s="19">
        <v>0</v>
      </c>
      <c r="E1998" s="19" t="s">
        <v>58</v>
      </c>
      <c r="F1998" s="19" t="s">
        <v>59</v>
      </c>
      <c r="G1998" s="19" t="s">
        <v>32</v>
      </c>
      <c r="H1998" s="19" t="s">
        <v>33</v>
      </c>
      <c r="I1998" s="19" t="s">
        <v>34</v>
      </c>
      <c r="J1998" s="19">
        <v>13</v>
      </c>
      <c r="K1998" s="19">
        <v>1.6299999999999999E-2</v>
      </c>
      <c r="L1998" s="19" t="s">
        <v>35</v>
      </c>
      <c r="N1998" s="19">
        <v>0</v>
      </c>
      <c r="O1998" s="19">
        <v>0</v>
      </c>
      <c r="P1998" s="19">
        <v>0</v>
      </c>
      <c r="Q1998" s="19">
        <v>0</v>
      </c>
      <c r="S1998" s="19">
        <v>1</v>
      </c>
      <c r="T1998" s="19">
        <v>1</v>
      </c>
      <c r="U1998" s="19">
        <v>0</v>
      </c>
      <c r="V1998" s="19" t="s">
        <v>36</v>
      </c>
      <c r="W1998" s="19">
        <v>0</v>
      </c>
      <c r="Z1998" s="19">
        <v>0</v>
      </c>
      <c r="AA1998" s="19">
        <v>0</v>
      </c>
    </row>
    <row r="1999" spans="1:27" x14ac:dyDescent="0.25">
      <c r="A1999" s="19" t="s">
        <v>2267</v>
      </c>
      <c r="B1999" s="19" t="s">
        <v>2258</v>
      </c>
      <c r="C1999" s="19" t="s">
        <v>2259</v>
      </c>
      <c r="D1999" s="19">
        <v>0</v>
      </c>
      <c r="E1999" s="19" t="s">
        <v>61</v>
      </c>
      <c r="F1999" s="19" t="s">
        <v>62</v>
      </c>
      <c r="G1999" s="19" t="s">
        <v>32</v>
      </c>
      <c r="H1999" s="19" t="s">
        <v>63</v>
      </c>
      <c r="I1999" s="19" t="s">
        <v>64</v>
      </c>
      <c r="J1999" s="19">
        <v>22</v>
      </c>
      <c r="K1999" s="19">
        <v>1.8599999999999998E-2</v>
      </c>
      <c r="L1999" s="19" t="s">
        <v>35</v>
      </c>
      <c r="N1999" s="19">
        <v>0</v>
      </c>
      <c r="O1999" s="19">
        <v>0</v>
      </c>
      <c r="P1999" s="19">
        <v>0</v>
      </c>
      <c r="Q1999" s="19">
        <v>0</v>
      </c>
      <c r="S1999" s="19">
        <v>1</v>
      </c>
      <c r="T1999" s="19">
        <v>1</v>
      </c>
      <c r="U1999" s="19">
        <v>0</v>
      </c>
      <c r="V1999" s="19" t="s">
        <v>36</v>
      </c>
      <c r="W1999" s="19">
        <v>0</v>
      </c>
      <c r="Z1999" s="19">
        <v>0</v>
      </c>
      <c r="AA1999" s="19">
        <v>0</v>
      </c>
    </row>
    <row r="2000" spans="1:27" x14ac:dyDescent="0.25">
      <c r="A2000" s="19" t="s">
        <v>2268</v>
      </c>
      <c r="B2000" s="19" t="s">
        <v>2258</v>
      </c>
      <c r="C2000" s="19" t="s">
        <v>2259</v>
      </c>
      <c r="D2000" s="19">
        <v>0</v>
      </c>
      <c r="E2000" s="19" t="s">
        <v>66</v>
      </c>
      <c r="F2000" s="19" t="s">
        <v>67</v>
      </c>
      <c r="G2000" s="19" t="s">
        <v>32</v>
      </c>
      <c r="H2000" s="19" t="s">
        <v>63</v>
      </c>
      <c r="I2000" s="19" t="s">
        <v>64</v>
      </c>
      <c r="J2000" s="19">
        <v>20</v>
      </c>
      <c r="K2000" s="19">
        <v>1.8599999999999998E-2</v>
      </c>
      <c r="L2000" s="19" t="s">
        <v>35</v>
      </c>
      <c r="N2000" s="19">
        <v>0</v>
      </c>
      <c r="O2000" s="19">
        <v>0</v>
      </c>
      <c r="P2000" s="19">
        <v>0</v>
      </c>
      <c r="Q2000" s="19">
        <v>0</v>
      </c>
      <c r="S2000" s="19">
        <v>1</v>
      </c>
      <c r="T2000" s="19">
        <v>1</v>
      </c>
      <c r="U2000" s="19">
        <v>0</v>
      </c>
      <c r="V2000" s="19" t="s">
        <v>36</v>
      </c>
      <c r="W2000" s="19">
        <v>0</v>
      </c>
      <c r="Z2000" s="19">
        <v>0</v>
      </c>
      <c r="AA2000" s="19">
        <v>0</v>
      </c>
    </row>
    <row r="2001" spans="1:27" x14ac:dyDescent="0.25">
      <c r="A2001" s="19" t="s">
        <v>2269</v>
      </c>
      <c r="B2001" s="19" t="s">
        <v>2258</v>
      </c>
      <c r="C2001" s="19" t="s">
        <v>2259</v>
      </c>
      <c r="D2001" s="19">
        <v>0</v>
      </c>
      <c r="E2001" s="19" t="s">
        <v>69</v>
      </c>
      <c r="F2001" s="19" t="s">
        <v>70</v>
      </c>
      <c r="G2001" s="19" t="s">
        <v>32</v>
      </c>
      <c r="H2001" s="19" t="s">
        <v>63</v>
      </c>
      <c r="I2001" s="19" t="s">
        <v>64</v>
      </c>
      <c r="J2001" s="19">
        <v>23</v>
      </c>
      <c r="K2001" s="19">
        <v>1.8599999999999998E-2</v>
      </c>
      <c r="L2001" s="19" t="s">
        <v>35</v>
      </c>
      <c r="N2001" s="19">
        <v>0</v>
      </c>
      <c r="O2001" s="19">
        <v>0</v>
      </c>
      <c r="P2001" s="19">
        <v>0</v>
      </c>
      <c r="Q2001" s="19">
        <v>0</v>
      </c>
      <c r="S2001" s="19">
        <v>1</v>
      </c>
      <c r="T2001" s="19">
        <v>1</v>
      </c>
      <c r="U2001" s="19">
        <v>0</v>
      </c>
      <c r="V2001" s="19" t="s">
        <v>36</v>
      </c>
      <c r="W2001" s="19">
        <v>0</v>
      </c>
      <c r="Z2001" s="19">
        <v>0</v>
      </c>
      <c r="AA2001" s="19">
        <v>0</v>
      </c>
    </row>
    <row r="2002" spans="1:27" x14ac:dyDescent="0.25">
      <c r="A2002" s="19" t="s">
        <v>2270</v>
      </c>
      <c r="B2002" s="19" t="s">
        <v>2258</v>
      </c>
      <c r="C2002" s="19" t="s">
        <v>2259</v>
      </c>
      <c r="D2002" s="19">
        <v>0.309968999999999</v>
      </c>
      <c r="E2002" s="19" t="s">
        <v>72</v>
      </c>
      <c r="F2002" s="19" t="s">
        <v>73</v>
      </c>
      <c r="G2002" s="19" t="s">
        <v>32</v>
      </c>
      <c r="H2002" s="19" t="s">
        <v>63</v>
      </c>
      <c r="I2002" s="19" t="s">
        <v>64</v>
      </c>
      <c r="J2002" s="19">
        <v>21</v>
      </c>
      <c r="K2002" s="19">
        <v>1.8599999999999998E-2</v>
      </c>
      <c r="L2002" s="19" t="s">
        <v>35</v>
      </c>
      <c r="M2002" s="19" t="s">
        <v>110</v>
      </c>
      <c r="N2002" s="19">
        <v>16.664999999999999</v>
      </c>
      <c r="O2002" s="19">
        <v>16.664999999999999</v>
      </c>
      <c r="P2002" s="19">
        <v>0</v>
      </c>
      <c r="Q2002" s="19">
        <v>0</v>
      </c>
      <c r="S2002" s="19">
        <v>1</v>
      </c>
      <c r="T2002" s="19">
        <v>1</v>
      </c>
      <c r="U2002" s="19">
        <v>0</v>
      </c>
      <c r="V2002" s="19" t="s">
        <v>41</v>
      </c>
      <c r="W2002" s="19">
        <v>1</v>
      </c>
      <c r="Y2002" s="19" t="s">
        <v>110</v>
      </c>
      <c r="Z2002" s="19">
        <v>16.664999999999999</v>
      </c>
      <c r="AA2002" s="19">
        <v>16.664999999999999</v>
      </c>
    </row>
    <row r="2003" spans="1:27" x14ac:dyDescent="0.25">
      <c r="A2003" s="19" t="s">
        <v>2271</v>
      </c>
      <c r="B2003" s="19" t="s">
        <v>2258</v>
      </c>
      <c r="C2003" s="19" t="s">
        <v>2259</v>
      </c>
      <c r="D2003" s="19">
        <v>0</v>
      </c>
      <c r="E2003" s="19" t="s">
        <v>75</v>
      </c>
      <c r="F2003" s="19" t="s">
        <v>76</v>
      </c>
      <c r="G2003" s="19" t="s">
        <v>32</v>
      </c>
      <c r="H2003" s="19" t="s">
        <v>63</v>
      </c>
      <c r="I2003" s="19" t="s">
        <v>64</v>
      </c>
      <c r="J2003" s="19">
        <v>24</v>
      </c>
      <c r="K2003" s="19">
        <v>1.8599999999999998E-2</v>
      </c>
      <c r="L2003" s="19" t="s">
        <v>35</v>
      </c>
      <c r="N2003" s="19">
        <v>0</v>
      </c>
      <c r="O2003" s="19">
        <v>0</v>
      </c>
      <c r="P2003" s="19">
        <v>0</v>
      </c>
      <c r="Q2003" s="19">
        <v>0</v>
      </c>
      <c r="S2003" s="19">
        <v>1</v>
      </c>
      <c r="T2003" s="19">
        <v>1</v>
      </c>
      <c r="U2003" s="19">
        <v>0</v>
      </c>
      <c r="V2003" s="19" t="s">
        <v>36</v>
      </c>
      <c r="W2003" s="19">
        <v>0</v>
      </c>
      <c r="Z2003" s="19">
        <v>0</v>
      </c>
      <c r="AA2003" s="19">
        <v>0</v>
      </c>
    </row>
    <row r="2004" spans="1:27" x14ac:dyDescent="0.25">
      <c r="A2004" s="19" t="s">
        <v>2272</v>
      </c>
      <c r="B2004" s="19" t="s">
        <v>2258</v>
      </c>
      <c r="C2004" s="19" t="s">
        <v>2259</v>
      </c>
      <c r="D2004" s="19">
        <v>0</v>
      </c>
      <c r="E2004" s="19" t="s">
        <v>78</v>
      </c>
      <c r="F2004" s="19" t="s">
        <v>79</v>
      </c>
      <c r="G2004" s="19" t="s">
        <v>32</v>
      </c>
      <c r="H2004" s="19" t="s">
        <v>63</v>
      </c>
      <c r="I2004" s="19" t="s">
        <v>64</v>
      </c>
      <c r="J2004" s="19">
        <v>25</v>
      </c>
      <c r="K2004" s="19">
        <v>1.8599999999999998E-2</v>
      </c>
      <c r="L2004" s="19" t="s">
        <v>35</v>
      </c>
      <c r="N2004" s="19">
        <v>0</v>
      </c>
      <c r="O2004" s="19">
        <v>0</v>
      </c>
      <c r="P2004" s="19">
        <v>0</v>
      </c>
      <c r="Q2004" s="19">
        <v>0</v>
      </c>
      <c r="S2004" s="19">
        <v>1</v>
      </c>
      <c r="T2004" s="19">
        <v>1</v>
      </c>
      <c r="U2004" s="19">
        <v>0</v>
      </c>
      <c r="V2004" s="19" t="s">
        <v>36</v>
      </c>
      <c r="W2004" s="19">
        <v>0</v>
      </c>
      <c r="Z2004" s="19">
        <v>0</v>
      </c>
      <c r="AA2004" s="19">
        <v>0</v>
      </c>
    </row>
    <row r="2005" spans="1:27" x14ac:dyDescent="0.25">
      <c r="A2005" s="19" t="s">
        <v>2273</v>
      </c>
      <c r="B2005" s="19" t="s">
        <v>2258</v>
      </c>
      <c r="C2005" s="19" t="s">
        <v>2259</v>
      </c>
      <c r="D2005" s="19">
        <v>0.309968999999999</v>
      </c>
      <c r="E2005" s="19" t="s">
        <v>82</v>
      </c>
      <c r="F2005" s="19" t="s">
        <v>83</v>
      </c>
      <c r="G2005" s="19" t="s">
        <v>32</v>
      </c>
      <c r="H2005" s="19" t="s">
        <v>63</v>
      </c>
      <c r="I2005" s="19" t="s">
        <v>64</v>
      </c>
      <c r="J2005" s="19">
        <v>26</v>
      </c>
      <c r="K2005" s="19">
        <v>1.8599999999999998E-2</v>
      </c>
      <c r="L2005" s="19" t="s">
        <v>35</v>
      </c>
      <c r="M2005" s="19" t="s">
        <v>110</v>
      </c>
      <c r="N2005" s="19">
        <v>16.664999999999999</v>
      </c>
      <c r="O2005" s="19">
        <v>16.664999999999999</v>
      </c>
      <c r="P2005" s="19">
        <v>0</v>
      </c>
      <c r="Q2005" s="19">
        <v>0</v>
      </c>
      <c r="S2005" s="19">
        <v>1</v>
      </c>
      <c r="T2005" s="19">
        <v>1</v>
      </c>
      <c r="U2005" s="19">
        <v>0</v>
      </c>
      <c r="V2005" s="19" t="s">
        <v>41</v>
      </c>
      <c r="W2005" s="19">
        <v>1</v>
      </c>
      <c r="Y2005" s="19" t="s">
        <v>110</v>
      </c>
      <c r="Z2005" s="19">
        <v>16.664999999999999</v>
      </c>
      <c r="AA2005" s="19">
        <v>16.664999999999999</v>
      </c>
    </row>
    <row r="2006" spans="1:27" x14ac:dyDescent="0.25">
      <c r="A2006" s="19" t="s">
        <v>2274</v>
      </c>
      <c r="B2006" s="19" t="s">
        <v>2258</v>
      </c>
      <c r="C2006" s="19" t="s">
        <v>2259</v>
      </c>
      <c r="D2006" s="19">
        <v>0</v>
      </c>
      <c r="E2006" s="19" t="s">
        <v>85</v>
      </c>
      <c r="F2006" s="19" t="s">
        <v>86</v>
      </c>
      <c r="G2006" s="19" t="s">
        <v>32</v>
      </c>
      <c r="H2006" s="19" t="s">
        <v>87</v>
      </c>
      <c r="I2006" s="19" t="s">
        <v>88</v>
      </c>
      <c r="J2006" s="19">
        <v>35</v>
      </c>
      <c r="K2006" s="19">
        <v>3.2500000000000001E-2</v>
      </c>
      <c r="L2006" s="19" t="s">
        <v>35</v>
      </c>
      <c r="N2006" s="19">
        <v>0</v>
      </c>
      <c r="O2006" s="19">
        <v>0</v>
      </c>
      <c r="P2006" s="19">
        <v>0</v>
      </c>
      <c r="Q2006" s="19">
        <v>0</v>
      </c>
      <c r="S2006" s="19">
        <v>1</v>
      </c>
      <c r="T2006" s="19">
        <v>1</v>
      </c>
      <c r="U2006" s="19">
        <v>0</v>
      </c>
      <c r="V2006" s="19" t="s">
        <v>36</v>
      </c>
      <c r="W2006" s="19">
        <v>0</v>
      </c>
      <c r="Z2006" s="19">
        <v>0</v>
      </c>
      <c r="AA2006" s="19">
        <v>0</v>
      </c>
    </row>
    <row r="2007" spans="1:27" x14ac:dyDescent="0.25">
      <c r="A2007" s="19" t="s">
        <v>2275</v>
      </c>
      <c r="B2007" s="19" t="s">
        <v>2258</v>
      </c>
      <c r="C2007" s="19" t="s">
        <v>2259</v>
      </c>
      <c r="D2007" s="19">
        <v>0</v>
      </c>
      <c r="E2007" s="19" t="s">
        <v>90</v>
      </c>
      <c r="F2007" s="19" t="s">
        <v>91</v>
      </c>
      <c r="G2007" s="19" t="s">
        <v>32</v>
      </c>
      <c r="H2007" s="19" t="s">
        <v>87</v>
      </c>
      <c r="I2007" s="19" t="s">
        <v>88</v>
      </c>
      <c r="J2007" s="19">
        <v>33</v>
      </c>
      <c r="K2007" s="19">
        <v>3.2500000000000001E-2</v>
      </c>
      <c r="L2007" s="19" t="s">
        <v>35</v>
      </c>
      <c r="N2007" s="19">
        <v>0</v>
      </c>
      <c r="O2007" s="19">
        <v>0</v>
      </c>
      <c r="P2007" s="19">
        <v>0</v>
      </c>
      <c r="Q2007" s="19">
        <v>0</v>
      </c>
      <c r="S2007" s="19">
        <v>1</v>
      </c>
      <c r="T2007" s="19">
        <v>1</v>
      </c>
      <c r="U2007" s="19">
        <v>0</v>
      </c>
      <c r="V2007" s="19" t="s">
        <v>36</v>
      </c>
      <c r="W2007" s="19">
        <v>0</v>
      </c>
      <c r="Z2007" s="19">
        <v>0</v>
      </c>
      <c r="AA2007" s="19">
        <v>0</v>
      </c>
    </row>
    <row r="2008" spans="1:27" x14ac:dyDescent="0.25">
      <c r="A2008" s="19" t="s">
        <v>2276</v>
      </c>
      <c r="B2008" s="19" t="s">
        <v>2258</v>
      </c>
      <c r="C2008" s="19" t="s">
        <v>2259</v>
      </c>
      <c r="D2008" s="19">
        <v>0</v>
      </c>
      <c r="E2008" s="19" t="s">
        <v>93</v>
      </c>
      <c r="F2008" s="19" t="s">
        <v>94</v>
      </c>
      <c r="G2008" s="19" t="s">
        <v>32</v>
      </c>
      <c r="H2008" s="19" t="s">
        <v>87</v>
      </c>
      <c r="I2008" s="19" t="s">
        <v>88</v>
      </c>
      <c r="J2008" s="19">
        <v>34</v>
      </c>
      <c r="K2008" s="19">
        <v>3.2500000000000001E-2</v>
      </c>
      <c r="L2008" s="19" t="s">
        <v>35</v>
      </c>
      <c r="N2008" s="19">
        <v>0</v>
      </c>
      <c r="O2008" s="19">
        <v>0</v>
      </c>
      <c r="P2008" s="19">
        <v>0</v>
      </c>
      <c r="Q2008" s="19">
        <v>0</v>
      </c>
      <c r="S2008" s="19">
        <v>1</v>
      </c>
      <c r="T2008" s="19">
        <v>1</v>
      </c>
      <c r="U2008" s="19">
        <v>0</v>
      </c>
      <c r="V2008" s="19" t="s">
        <v>36</v>
      </c>
      <c r="W2008" s="19">
        <v>0</v>
      </c>
      <c r="Z2008" s="19">
        <v>0</v>
      </c>
      <c r="AA2008" s="19">
        <v>0</v>
      </c>
    </row>
    <row r="2009" spans="1:27" x14ac:dyDescent="0.25">
      <c r="A2009" s="19" t="s">
        <v>2277</v>
      </c>
      <c r="B2009" s="19" t="s">
        <v>2258</v>
      </c>
      <c r="C2009" s="19" t="s">
        <v>2259</v>
      </c>
      <c r="D2009" s="19">
        <v>0</v>
      </c>
      <c r="E2009" s="19" t="s">
        <v>96</v>
      </c>
      <c r="F2009" s="19" t="s">
        <v>97</v>
      </c>
      <c r="G2009" s="19" t="s">
        <v>32</v>
      </c>
      <c r="H2009" s="19" t="s">
        <v>87</v>
      </c>
      <c r="I2009" s="19" t="s">
        <v>88</v>
      </c>
      <c r="J2009" s="19">
        <v>36</v>
      </c>
      <c r="K2009" s="19">
        <v>3.2500000000000001E-2</v>
      </c>
      <c r="L2009" s="19" t="s">
        <v>35</v>
      </c>
      <c r="N2009" s="19">
        <v>0</v>
      </c>
      <c r="O2009" s="19">
        <v>0</v>
      </c>
      <c r="P2009" s="19">
        <v>0</v>
      </c>
      <c r="Q2009" s="19">
        <v>0</v>
      </c>
      <c r="S2009" s="19">
        <v>1</v>
      </c>
      <c r="T2009" s="19">
        <v>1</v>
      </c>
      <c r="U2009" s="19">
        <v>0</v>
      </c>
      <c r="V2009" s="19" t="s">
        <v>36</v>
      </c>
      <c r="W2009" s="19">
        <v>0</v>
      </c>
      <c r="Z2009" s="19">
        <v>0</v>
      </c>
      <c r="AA2009" s="19">
        <v>0</v>
      </c>
    </row>
    <row r="2010" spans="1:27" x14ac:dyDescent="0.25">
      <c r="A2010" s="19" t="s">
        <v>2278</v>
      </c>
      <c r="B2010" s="19" t="s">
        <v>2258</v>
      </c>
      <c r="C2010" s="19" t="s">
        <v>2259</v>
      </c>
      <c r="D2010" s="19">
        <v>0</v>
      </c>
      <c r="E2010" s="19" t="s">
        <v>99</v>
      </c>
      <c r="F2010" s="19" t="s">
        <v>100</v>
      </c>
      <c r="G2010" s="19" t="s">
        <v>32</v>
      </c>
      <c r="H2010" s="19" t="s">
        <v>101</v>
      </c>
      <c r="I2010" s="19" t="s">
        <v>102</v>
      </c>
      <c r="J2010" s="19">
        <v>39</v>
      </c>
      <c r="K2010" s="19">
        <v>4.3299999999999998E-2</v>
      </c>
      <c r="L2010" s="19" t="s">
        <v>35</v>
      </c>
      <c r="M2010" s="19" t="s">
        <v>103</v>
      </c>
      <c r="N2010" s="19">
        <v>0</v>
      </c>
      <c r="O2010" s="19">
        <v>0</v>
      </c>
      <c r="P2010" s="19">
        <v>0</v>
      </c>
      <c r="Q2010" s="19">
        <v>0</v>
      </c>
      <c r="S2010" s="19">
        <v>1</v>
      </c>
      <c r="T2010" s="19">
        <v>1</v>
      </c>
      <c r="U2010" s="19">
        <v>0</v>
      </c>
      <c r="V2010" s="19" t="s">
        <v>36</v>
      </c>
      <c r="W2010" s="19">
        <v>0</v>
      </c>
      <c r="Y2010" s="19" t="s">
        <v>103</v>
      </c>
      <c r="Z2010" s="19">
        <v>50</v>
      </c>
      <c r="AA2010" s="19">
        <v>0</v>
      </c>
    </row>
    <row r="2011" spans="1:27" x14ac:dyDescent="0.25">
      <c r="A2011" s="19" t="s">
        <v>2279</v>
      </c>
      <c r="B2011" s="19" t="s">
        <v>2258</v>
      </c>
      <c r="C2011" s="19" t="s">
        <v>2259</v>
      </c>
      <c r="D2011" s="19">
        <v>0</v>
      </c>
      <c r="E2011" s="19" t="s">
        <v>105</v>
      </c>
      <c r="F2011" s="19" t="s">
        <v>106</v>
      </c>
      <c r="G2011" s="19" t="s">
        <v>32</v>
      </c>
      <c r="H2011" s="19" t="s">
        <v>101</v>
      </c>
      <c r="I2011" s="19" t="s">
        <v>102</v>
      </c>
      <c r="J2011" s="19">
        <v>38</v>
      </c>
      <c r="K2011" s="19">
        <v>4.3299999999999998E-2</v>
      </c>
      <c r="L2011" s="19" t="s">
        <v>35</v>
      </c>
      <c r="M2011" s="19" t="s">
        <v>103</v>
      </c>
      <c r="N2011" s="19">
        <v>0</v>
      </c>
      <c r="O2011" s="19">
        <v>0</v>
      </c>
      <c r="P2011" s="19">
        <v>0</v>
      </c>
      <c r="Q2011" s="19">
        <v>0</v>
      </c>
      <c r="S2011" s="19">
        <v>1</v>
      </c>
      <c r="T2011" s="19">
        <v>1</v>
      </c>
      <c r="U2011" s="19">
        <v>0</v>
      </c>
      <c r="V2011" s="19" t="s">
        <v>36</v>
      </c>
      <c r="W2011" s="19">
        <v>0</v>
      </c>
      <c r="Y2011" s="19" t="s">
        <v>103</v>
      </c>
      <c r="Z2011" s="19">
        <v>50</v>
      </c>
      <c r="AA2011" s="19">
        <v>0</v>
      </c>
    </row>
    <row r="2012" spans="1:27" x14ac:dyDescent="0.25">
      <c r="A2012" s="19" t="s">
        <v>2280</v>
      </c>
      <c r="B2012" s="19" t="s">
        <v>2258</v>
      </c>
      <c r="C2012" s="19" t="s">
        <v>2259</v>
      </c>
      <c r="D2012" s="19">
        <v>0</v>
      </c>
      <c r="E2012" s="19" t="s">
        <v>108</v>
      </c>
      <c r="F2012" s="19" t="s">
        <v>109</v>
      </c>
      <c r="G2012" s="19" t="s">
        <v>32</v>
      </c>
      <c r="H2012" s="19" t="s">
        <v>101</v>
      </c>
      <c r="I2012" s="19" t="s">
        <v>102</v>
      </c>
      <c r="J2012" s="19">
        <v>37</v>
      </c>
      <c r="K2012" s="19">
        <v>4.3299999999999998E-2</v>
      </c>
      <c r="L2012" s="19" t="s">
        <v>35</v>
      </c>
      <c r="N2012" s="19">
        <v>0</v>
      </c>
      <c r="O2012" s="19">
        <v>0</v>
      </c>
      <c r="P2012" s="19">
        <v>0</v>
      </c>
      <c r="Q2012" s="19">
        <v>0</v>
      </c>
      <c r="S2012" s="19">
        <v>1</v>
      </c>
      <c r="T2012" s="19">
        <v>1</v>
      </c>
      <c r="U2012" s="19">
        <v>0</v>
      </c>
      <c r="V2012" s="19" t="s">
        <v>36</v>
      </c>
      <c r="W2012" s="19">
        <v>0</v>
      </c>
      <c r="Z2012" s="19">
        <v>0</v>
      </c>
      <c r="AA2012" s="19">
        <v>0</v>
      </c>
    </row>
    <row r="2013" spans="1:27" x14ac:dyDescent="0.25">
      <c r="A2013" s="19" t="s">
        <v>2281</v>
      </c>
      <c r="B2013" s="19" t="s">
        <v>2258</v>
      </c>
      <c r="C2013" s="19" t="s">
        <v>2259</v>
      </c>
      <c r="D2013" s="19">
        <v>0</v>
      </c>
      <c r="E2013" s="19" t="s">
        <v>112</v>
      </c>
      <c r="F2013" s="19" t="s">
        <v>113</v>
      </c>
      <c r="G2013" s="19" t="s">
        <v>32</v>
      </c>
      <c r="H2013" s="19" t="s">
        <v>114</v>
      </c>
      <c r="I2013" s="19" t="s">
        <v>115</v>
      </c>
      <c r="J2013" s="19">
        <v>30</v>
      </c>
      <c r="K2013" s="19">
        <v>2.1700000000000001E-2</v>
      </c>
      <c r="L2013" s="19" t="s">
        <v>35</v>
      </c>
      <c r="M2013" s="19" t="s">
        <v>103</v>
      </c>
      <c r="N2013" s="19">
        <v>0</v>
      </c>
      <c r="O2013" s="19">
        <v>0</v>
      </c>
      <c r="P2013" s="19">
        <v>0</v>
      </c>
      <c r="Q2013" s="19">
        <v>0</v>
      </c>
      <c r="S2013" s="19">
        <v>1</v>
      </c>
      <c r="T2013" s="19">
        <v>1</v>
      </c>
      <c r="U2013" s="19">
        <v>0</v>
      </c>
      <c r="V2013" s="19" t="s">
        <v>36</v>
      </c>
      <c r="W2013" s="19">
        <v>0</v>
      </c>
      <c r="Y2013" s="19" t="s">
        <v>103</v>
      </c>
      <c r="Z2013" s="19">
        <v>50</v>
      </c>
      <c r="AA2013" s="19">
        <v>0</v>
      </c>
    </row>
    <row r="2014" spans="1:27" x14ac:dyDescent="0.25">
      <c r="A2014" s="19" t="s">
        <v>2282</v>
      </c>
      <c r="B2014" s="19" t="s">
        <v>2258</v>
      </c>
      <c r="C2014" s="19" t="s">
        <v>2259</v>
      </c>
      <c r="D2014" s="19">
        <v>0</v>
      </c>
      <c r="E2014" s="19" t="s">
        <v>117</v>
      </c>
      <c r="F2014" s="19" t="s">
        <v>118</v>
      </c>
      <c r="G2014" s="19" t="s">
        <v>32</v>
      </c>
      <c r="H2014" s="19" t="s">
        <v>114</v>
      </c>
      <c r="I2014" s="19" t="s">
        <v>115</v>
      </c>
      <c r="J2014" s="19">
        <v>31</v>
      </c>
      <c r="K2014" s="19">
        <v>2.1700000000000001E-2</v>
      </c>
      <c r="L2014" s="19" t="s">
        <v>35</v>
      </c>
      <c r="M2014" s="19" t="s">
        <v>103</v>
      </c>
      <c r="N2014" s="19">
        <v>0</v>
      </c>
      <c r="O2014" s="19">
        <v>0</v>
      </c>
      <c r="P2014" s="19">
        <v>0</v>
      </c>
      <c r="Q2014" s="19">
        <v>0</v>
      </c>
      <c r="S2014" s="19">
        <v>1</v>
      </c>
      <c r="T2014" s="19">
        <v>1</v>
      </c>
      <c r="U2014" s="19">
        <v>0</v>
      </c>
      <c r="V2014" s="19" t="s">
        <v>36</v>
      </c>
      <c r="W2014" s="19">
        <v>0</v>
      </c>
      <c r="Y2014" s="19" t="s">
        <v>103</v>
      </c>
      <c r="Z2014" s="19">
        <v>50</v>
      </c>
      <c r="AA2014" s="19">
        <v>0</v>
      </c>
    </row>
    <row r="2015" spans="1:27" x14ac:dyDescent="0.25">
      <c r="A2015" s="19" t="s">
        <v>2283</v>
      </c>
      <c r="B2015" s="19" t="s">
        <v>2258</v>
      </c>
      <c r="C2015" s="19" t="s">
        <v>2259</v>
      </c>
      <c r="D2015" s="19">
        <v>0</v>
      </c>
      <c r="E2015" s="19" t="s">
        <v>120</v>
      </c>
      <c r="F2015" s="19" t="s">
        <v>121</v>
      </c>
      <c r="G2015" s="19" t="s">
        <v>32</v>
      </c>
      <c r="H2015" s="19" t="s">
        <v>114</v>
      </c>
      <c r="I2015" s="19" t="s">
        <v>115</v>
      </c>
      <c r="J2015" s="19">
        <v>28</v>
      </c>
      <c r="K2015" s="19">
        <v>2.1700000000000001E-2</v>
      </c>
      <c r="L2015" s="19" t="s">
        <v>35</v>
      </c>
      <c r="M2015" s="19" t="s">
        <v>103</v>
      </c>
      <c r="N2015" s="19">
        <v>0</v>
      </c>
      <c r="O2015" s="19">
        <v>0</v>
      </c>
      <c r="P2015" s="19">
        <v>0</v>
      </c>
      <c r="Q2015" s="19">
        <v>0</v>
      </c>
      <c r="S2015" s="19">
        <v>1</v>
      </c>
      <c r="T2015" s="19">
        <v>1</v>
      </c>
      <c r="U2015" s="19">
        <v>0</v>
      </c>
      <c r="V2015" s="19" t="s">
        <v>36</v>
      </c>
      <c r="W2015" s="19">
        <v>0</v>
      </c>
      <c r="Y2015" s="19" t="s">
        <v>103</v>
      </c>
      <c r="Z2015" s="19">
        <v>50</v>
      </c>
      <c r="AA2015" s="19">
        <v>0</v>
      </c>
    </row>
    <row r="2016" spans="1:27" x14ac:dyDescent="0.25">
      <c r="A2016" s="19" t="s">
        <v>2284</v>
      </c>
      <c r="B2016" s="19" t="s">
        <v>2258</v>
      </c>
      <c r="C2016" s="19" t="s">
        <v>2259</v>
      </c>
      <c r="D2016" s="19">
        <v>0</v>
      </c>
      <c r="E2016" s="19" t="s">
        <v>123</v>
      </c>
      <c r="F2016" s="19" t="s">
        <v>124</v>
      </c>
      <c r="G2016" s="19" t="s">
        <v>32</v>
      </c>
      <c r="H2016" s="19" t="s">
        <v>114</v>
      </c>
      <c r="I2016" s="19" t="s">
        <v>115</v>
      </c>
      <c r="J2016" s="19">
        <v>27</v>
      </c>
      <c r="K2016" s="19">
        <v>2.1700000000000001E-2</v>
      </c>
      <c r="L2016" s="19" t="s">
        <v>35</v>
      </c>
      <c r="M2016" s="19" t="s">
        <v>103</v>
      </c>
      <c r="N2016" s="19">
        <v>0</v>
      </c>
      <c r="O2016" s="19">
        <v>0</v>
      </c>
      <c r="P2016" s="19">
        <v>0</v>
      </c>
      <c r="Q2016" s="19">
        <v>0</v>
      </c>
      <c r="S2016" s="19">
        <v>1</v>
      </c>
      <c r="T2016" s="19">
        <v>1</v>
      </c>
      <c r="U2016" s="19">
        <v>0</v>
      </c>
      <c r="V2016" s="19" t="s">
        <v>36</v>
      </c>
      <c r="W2016" s="19">
        <v>0</v>
      </c>
      <c r="Y2016" s="19" t="s">
        <v>103</v>
      </c>
      <c r="Z2016" s="19">
        <v>50</v>
      </c>
      <c r="AA2016" s="19">
        <v>0</v>
      </c>
    </row>
    <row r="2017" spans="1:27" x14ac:dyDescent="0.25">
      <c r="A2017" s="19" t="s">
        <v>2285</v>
      </c>
      <c r="B2017" s="19" t="s">
        <v>2258</v>
      </c>
      <c r="C2017" s="19" t="s">
        <v>2259</v>
      </c>
      <c r="D2017" s="19">
        <v>0</v>
      </c>
      <c r="E2017" s="19" t="s">
        <v>126</v>
      </c>
      <c r="F2017" s="19" t="s">
        <v>127</v>
      </c>
      <c r="G2017" s="19" t="s">
        <v>32</v>
      </c>
      <c r="H2017" s="19" t="s">
        <v>114</v>
      </c>
      <c r="I2017" s="19" t="s">
        <v>115</v>
      </c>
      <c r="J2017" s="19">
        <v>29</v>
      </c>
      <c r="K2017" s="19">
        <v>2.1700000000000001E-2</v>
      </c>
      <c r="L2017" s="19" t="s">
        <v>35</v>
      </c>
      <c r="M2017" s="19" t="s">
        <v>103</v>
      </c>
      <c r="N2017" s="19">
        <v>0</v>
      </c>
      <c r="O2017" s="19">
        <v>0</v>
      </c>
      <c r="P2017" s="19">
        <v>0</v>
      </c>
      <c r="Q2017" s="19">
        <v>0</v>
      </c>
      <c r="S2017" s="19">
        <v>1</v>
      </c>
      <c r="T2017" s="19">
        <v>1</v>
      </c>
      <c r="U2017" s="19">
        <v>0</v>
      </c>
      <c r="V2017" s="19" t="s">
        <v>36</v>
      </c>
      <c r="W2017" s="19">
        <v>0</v>
      </c>
      <c r="Y2017" s="19" t="s">
        <v>103</v>
      </c>
      <c r="Z2017" s="19">
        <v>50</v>
      </c>
      <c r="AA2017" s="19">
        <v>0</v>
      </c>
    </row>
    <row r="2018" spans="1:27" x14ac:dyDescent="0.25">
      <c r="A2018" s="19" t="s">
        <v>2286</v>
      </c>
      <c r="B2018" s="19" t="s">
        <v>2258</v>
      </c>
      <c r="C2018" s="19" t="s">
        <v>2259</v>
      </c>
      <c r="D2018" s="19">
        <v>0</v>
      </c>
      <c r="E2018" s="19" t="s">
        <v>129</v>
      </c>
      <c r="F2018" s="19" t="s">
        <v>130</v>
      </c>
      <c r="G2018" s="19" t="s">
        <v>32</v>
      </c>
      <c r="H2018" s="19" t="s">
        <v>114</v>
      </c>
      <c r="I2018" s="19" t="s">
        <v>115</v>
      </c>
      <c r="J2018" s="19">
        <v>32</v>
      </c>
      <c r="K2018" s="19">
        <v>2.1700000000000001E-2</v>
      </c>
      <c r="L2018" s="19" t="s">
        <v>35</v>
      </c>
      <c r="M2018" s="19" t="s">
        <v>103</v>
      </c>
      <c r="N2018" s="19">
        <v>0</v>
      </c>
      <c r="O2018" s="19">
        <v>0</v>
      </c>
      <c r="P2018" s="19">
        <v>0</v>
      </c>
      <c r="Q2018" s="19">
        <v>0</v>
      </c>
      <c r="S2018" s="19">
        <v>1</v>
      </c>
      <c r="T2018" s="19">
        <v>1</v>
      </c>
      <c r="U2018" s="19">
        <v>0</v>
      </c>
      <c r="V2018" s="19" t="s">
        <v>36</v>
      </c>
      <c r="W2018" s="19">
        <v>0</v>
      </c>
      <c r="Y2018" s="19" t="s">
        <v>103</v>
      </c>
      <c r="Z2018" s="19">
        <v>50</v>
      </c>
      <c r="AA2018" s="19">
        <v>0</v>
      </c>
    </row>
    <row r="2019" spans="1:27" x14ac:dyDescent="0.25">
      <c r="A2019" s="19" t="s">
        <v>2287</v>
      </c>
      <c r="B2019" s="19" t="s">
        <v>2258</v>
      </c>
      <c r="C2019" s="19" t="s">
        <v>2259</v>
      </c>
      <c r="D2019" s="19">
        <v>0</v>
      </c>
      <c r="E2019" s="19" t="s">
        <v>132</v>
      </c>
      <c r="F2019" s="19" t="s">
        <v>133</v>
      </c>
      <c r="G2019" s="19" t="s">
        <v>134</v>
      </c>
      <c r="H2019" s="19" t="s">
        <v>87</v>
      </c>
      <c r="I2019" s="19" t="s">
        <v>135</v>
      </c>
      <c r="J2019" s="19">
        <v>11</v>
      </c>
      <c r="K2019" s="19">
        <v>4.1700000000000001E-2</v>
      </c>
      <c r="L2019" s="19" t="s">
        <v>35</v>
      </c>
      <c r="M2019" s="19" t="s">
        <v>103</v>
      </c>
      <c r="N2019" s="19">
        <v>0</v>
      </c>
      <c r="O2019" s="19">
        <v>0</v>
      </c>
      <c r="P2019" s="19">
        <v>0</v>
      </c>
      <c r="Q2019" s="19">
        <v>0</v>
      </c>
      <c r="S2019" s="19">
        <v>1</v>
      </c>
      <c r="T2019" s="19">
        <v>1</v>
      </c>
      <c r="U2019" s="19">
        <v>0</v>
      </c>
      <c r="V2019" s="19" t="s">
        <v>36</v>
      </c>
      <c r="W2019" s="19">
        <v>0</v>
      </c>
      <c r="Y2019" s="19" t="s">
        <v>103</v>
      </c>
      <c r="Z2019" s="19">
        <v>50</v>
      </c>
      <c r="AA2019" s="19">
        <v>0</v>
      </c>
    </row>
    <row r="2020" spans="1:27" x14ac:dyDescent="0.25">
      <c r="A2020" s="19" t="s">
        <v>2288</v>
      </c>
      <c r="B2020" s="19" t="s">
        <v>2258</v>
      </c>
      <c r="C2020" s="19" t="s">
        <v>2259</v>
      </c>
      <c r="D2020" s="19">
        <v>0</v>
      </c>
      <c r="E2020" s="19" t="s">
        <v>137</v>
      </c>
      <c r="F2020" s="19" t="s">
        <v>138</v>
      </c>
      <c r="G2020" s="19" t="s">
        <v>134</v>
      </c>
      <c r="H2020" s="19" t="s">
        <v>87</v>
      </c>
      <c r="I2020" s="19" t="s">
        <v>135</v>
      </c>
      <c r="J2020" s="19">
        <v>9</v>
      </c>
      <c r="K2020" s="19">
        <v>4.1700000000000001E-2</v>
      </c>
      <c r="L2020" s="19" t="s">
        <v>35</v>
      </c>
      <c r="N2020" s="19">
        <v>0</v>
      </c>
      <c r="O2020" s="19">
        <v>0</v>
      </c>
      <c r="P2020" s="19">
        <v>0</v>
      </c>
      <c r="Q2020" s="19">
        <v>0</v>
      </c>
      <c r="S2020" s="19">
        <v>1</v>
      </c>
      <c r="T2020" s="19">
        <v>1</v>
      </c>
      <c r="U2020" s="19">
        <v>0</v>
      </c>
      <c r="W2020" s="19">
        <v>0</v>
      </c>
      <c r="X2020" s="19">
        <v>0</v>
      </c>
      <c r="Z2020" s="19">
        <v>0</v>
      </c>
      <c r="AA2020" s="19">
        <v>0</v>
      </c>
    </row>
    <row r="2021" spans="1:27" x14ac:dyDescent="0.25">
      <c r="A2021" s="19" t="s">
        <v>2289</v>
      </c>
      <c r="B2021" s="19" t="s">
        <v>2258</v>
      </c>
      <c r="C2021" s="19" t="s">
        <v>2259</v>
      </c>
      <c r="D2021" s="19">
        <v>0</v>
      </c>
      <c r="E2021" s="19" t="s">
        <v>140</v>
      </c>
      <c r="F2021" s="19" t="s">
        <v>141</v>
      </c>
      <c r="G2021" s="19" t="s">
        <v>134</v>
      </c>
      <c r="H2021" s="19" t="s">
        <v>87</v>
      </c>
      <c r="I2021" s="19" t="s">
        <v>135</v>
      </c>
      <c r="J2021" s="19">
        <v>10</v>
      </c>
      <c r="K2021" s="19">
        <v>4.1700000000000001E-2</v>
      </c>
      <c r="L2021" s="19" t="s">
        <v>35</v>
      </c>
      <c r="N2021" s="19">
        <v>0</v>
      </c>
      <c r="O2021" s="19">
        <v>0</v>
      </c>
      <c r="P2021" s="19">
        <v>0</v>
      </c>
      <c r="Q2021" s="19">
        <v>0</v>
      </c>
      <c r="S2021" s="19">
        <v>1</v>
      </c>
      <c r="T2021" s="19">
        <v>1</v>
      </c>
      <c r="U2021" s="19">
        <v>0</v>
      </c>
      <c r="W2021" s="19">
        <v>0</v>
      </c>
      <c r="X2021" s="19">
        <v>0</v>
      </c>
      <c r="Z2021" s="19">
        <v>0</v>
      </c>
      <c r="AA2021" s="19">
        <v>0</v>
      </c>
    </row>
    <row r="2022" spans="1:27" x14ac:dyDescent="0.25">
      <c r="A2022" s="19" t="s">
        <v>2290</v>
      </c>
      <c r="B2022" s="19" t="s">
        <v>2258</v>
      </c>
      <c r="C2022" s="19" t="s">
        <v>2259</v>
      </c>
      <c r="D2022" s="19">
        <v>1.25</v>
      </c>
      <c r="E2022" s="19" t="s">
        <v>144</v>
      </c>
      <c r="F2022" s="19" t="s">
        <v>145</v>
      </c>
      <c r="G2022" s="19" t="s">
        <v>134</v>
      </c>
      <c r="H2022" s="19" t="s">
        <v>146</v>
      </c>
      <c r="I2022" s="19" t="s">
        <v>147</v>
      </c>
      <c r="J2022" s="19">
        <v>4</v>
      </c>
      <c r="K2022" s="19">
        <v>2.5000000000000001E-2</v>
      </c>
      <c r="L2022" s="19" t="s">
        <v>35</v>
      </c>
      <c r="M2022" s="19" t="s">
        <v>103</v>
      </c>
      <c r="N2022" s="19">
        <v>50</v>
      </c>
      <c r="O2022" s="19">
        <v>50</v>
      </c>
      <c r="P2022" s="19">
        <v>0</v>
      </c>
      <c r="Q2022" s="19">
        <v>0</v>
      </c>
      <c r="S2022" s="19">
        <v>1</v>
      </c>
      <c r="T2022" s="19">
        <v>1</v>
      </c>
      <c r="U2022" s="19">
        <v>0</v>
      </c>
      <c r="V2022" s="19" t="s">
        <v>41</v>
      </c>
      <c r="W2022" s="19">
        <v>1</v>
      </c>
      <c r="Y2022" s="19" t="s">
        <v>103</v>
      </c>
      <c r="Z2022" s="19">
        <v>50</v>
      </c>
      <c r="AA2022" s="19">
        <v>50</v>
      </c>
    </row>
    <row r="2023" spans="1:27" x14ac:dyDescent="0.25">
      <c r="A2023" s="19" t="s">
        <v>2291</v>
      </c>
      <c r="B2023" s="19" t="s">
        <v>2258</v>
      </c>
      <c r="C2023" s="19" t="s">
        <v>2259</v>
      </c>
      <c r="D2023" s="19">
        <v>0</v>
      </c>
      <c r="E2023" s="19" t="s">
        <v>149</v>
      </c>
      <c r="F2023" s="19" t="s">
        <v>150</v>
      </c>
      <c r="G2023" s="19" t="s">
        <v>134</v>
      </c>
      <c r="H2023" s="19" t="s">
        <v>146</v>
      </c>
      <c r="I2023" s="19" t="s">
        <v>147</v>
      </c>
      <c r="J2023" s="19">
        <v>5</v>
      </c>
      <c r="K2023" s="19">
        <v>2.5000000000000001E-2</v>
      </c>
      <c r="L2023" s="19" t="s">
        <v>35</v>
      </c>
      <c r="M2023" s="19" t="s">
        <v>103</v>
      </c>
      <c r="N2023" s="19">
        <v>0</v>
      </c>
      <c r="O2023" s="19">
        <v>0</v>
      </c>
      <c r="P2023" s="19">
        <v>0</v>
      </c>
      <c r="Q2023" s="19">
        <v>0</v>
      </c>
      <c r="S2023" s="19">
        <v>1</v>
      </c>
      <c r="T2023" s="19">
        <v>1</v>
      </c>
      <c r="U2023" s="19">
        <v>0</v>
      </c>
      <c r="V2023" s="19" t="s">
        <v>36</v>
      </c>
      <c r="W2023" s="19">
        <v>0</v>
      </c>
      <c r="Y2023" s="19" t="s">
        <v>103</v>
      </c>
      <c r="Z2023" s="19">
        <v>50</v>
      </c>
      <c r="AA2023" s="19">
        <v>0</v>
      </c>
    </row>
    <row r="2024" spans="1:27" x14ac:dyDescent="0.25">
      <c r="A2024" s="19" t="s">
        <v>2292</v>
      </c>
      <c r="B2024" s="19" t="s">
        <v>2258</v>
      </c>
      <c r="C2024" s="19" t="s">
        <v>2259</v>
      </c>
      <c r="D2024" s="19">
        <v>1.25</v>
      </c>
      <c r="E2024" s="19" t="s">
        <v>152</v>
      </c>
      <c r="F2024" s="19" t="s">
        <v>153</v>
      </c>
      <c r="G2024" s="19" t="s">
        <v>134</v>
      </c>
      <c r="H2024" s="19" t="s">
        <v>146</v>
      </c>
      <c r="I2024" s="19" t="s">
        <v>147</v>
      </c>
      <c r="J2024" s="19">
        <v>6</v>
      </c>
      <c r="K2024" s="19">
        <v>2.5000000000000001E-2</v>
      </c>
      <c r="L2024" s="19" t="s">
        <v>35</v>
      </c>
      <c r="M2024" s="19" t="s">
        <v>103</v>
      </c>
      <c r="N2024" s="19">
        <v>50</v>
      </c>
      <c r="O2024" s="19">
        <v>50</v>
      </c>
      <c r="P2024" s="19">
        <v>0</v>
      </c>
      <c r="Q2024" s="19">
        <v>0</v>
      </c>
      <c r="S2024" s="19">
        <v>1</v>
      </c>
      <c r="T2024" s="19">
        <v>1</v>
      </c>
      <c r="U2024" s="19">
        <v>0</v>
      </c>
      <c r="V2024" s="19" t="s">
        <v>41</v>
      </c>
      <c r="W2024" s="19">
        <v>1</v>
      </c>
      <c r="Y2024" s="19" t="s">
        <v>103</v>
      </c>
      <c r="Z2024" s="19">
        <v>50</v>
      </c>
      <c r="AA2024" s="19">
        <v>50</v>
      </c>
    </row>
    <row r="2025" spans="1:27" x14ac:dyDescent="0.25">
      <c r="A2025" s="19" t="s">
        <v>2293</v>
      </c>
      <c r="B2025" s="19" t="s">
        <v>2258</v>
      </c>
      <c r="C2025" s="19" t="s">
        <v>2259</v>
      </c>
      <c r="D2025" s="19">
        <v>1.25</v>
      </c>
      <c r="E2025" s="19" t="s">
        <v>155</v>
      </c>
      <c r="F2025" s="19" t="s">
        <v>156</v>
      </c>
      <c r="G2025" s="19" t="s">
        <v>134</v>
      </c>
      <c r="H2025" s="19" t="s">
        <v>146</v>
      </c>
      <c r="I2025" s="19" t="s">
        <v>147</v>
      </c>
      <c r="J2025" s="19">
        <v>7</v>
      </c>
      <c r="K2025" s="19">
        <v>2.5000000000000001E-2</v>
      </c>
      <c r="L2025" s="19" t="s">
        <v>35</v>
      </c>
      <c r="M2025" s="19" t="s">
        <v>103</v>
      </c>
      <c r="N2025" s="19">
        <v>50</v>
      </c>
      <c r="O2025" s="19">
        <v>50</v>
      </c>
      <c r="P2025" s="19">
        <v>0</v>
      </c>
      <c r="Q2025" s="19">
        <v>0</v>
      </c>
      <c r="S2025" s="19">
        <v>1</v>
      </c>
      <c r="T2025" s="19">
        <v>1</v>
      </c>
      <c r="U2025" s="19">
        <v>0</v>
      </c>
      <c r="V2025" s="19" t="s">
        <v>41</v>
      </c>
      <c r="W2025" s="19">
        <v>1</v>
      </c>
      <c r="Y2025" s="19" t="s">
        <v>103</v>
      </c>
      <c r="Z2025" s="19">
        <v>50</v>
      </c>
      <c r="AA2025" s="19">
        <v>50</v>
      </c>
    </row>
    <row r="2026" spans="1:27" x14ac:dyDescent="0.25">
      <c r="A2026" s="19" t="s">
        <v>2294</v>
      </c>
      <c r="B2026" s="19" t="s">
        <v>2258</v>
      </c>
      <c r="C2026" s="19" t="s">
        <v>2259</v>
      </c>
      <c r="D2026" s="19">
        <v>0</v>
      </c>
      <c r="E2026" s="19" t="s">
        <v>158</v>
      </c>
      <c r="F2026" s="19" t="s">
        <v>159</v>
      </c>
      <c r="G2026" s="19" t="s">
        <v>134</v>
      </c>
      <c r="H2026" s="19" t="s">
        <v>146</v>
      </c>
      <c r="I2026" s="19" t="s">
        <v>147</v>
      </c>
      <c r="J2026" s="19">
        <v>8</v>
      </c>
      <c r="K2026" s="19">
        <v>2.5000000000000001E-2</v>
      </c>
      <c r="L2026" s="19" t="s">
        <v>35</v>
      </c>
      <c r="M2026" s="19" t="s">
        <v>103</v>
      </c>
      <c r="N2026" s="19">
        <v>0</v>
      </c>
      <c r="O2026" s="19">
        <v>0</v>
      </c>
      <c r="P2026" s="19">
        <v>0</v>
      </c>
      <c r="Q2026" s="19">
        <v>0</v>
      </c>
      <c r="S2026" s="19">
        <v>1</v>
      </c>
      <c r="T2026" s="19">
        <v>1</v>
      </c>
      <c r="U2026" s="19">
        <v>0</v>
      </c>
      <c r="V2026" s="19" t="s">
        <v>36</v>
      </c>
      <c r="W2026" s="19">
        <v>0</v>
      </c>
      <c r="Y2026" s="19" t="s">
        <v>103</v>
      </c>
      <c r="Z2026" s="19">
        <v>50</v>
      </c>
      <c r="AA2026" s="19">
        <v>0</v>
      </c>
    </row>
    <row r="2027" spans="1:27" x14ac:dyDescent="0.25">
      <c r="A2027" s="19" t="s">
        <v>2295</v>
      </c>
      <c r="B2027" s="19" t="s">
        <v>2258</v>
      </c>
      <c r="C2027" s="19" t="s">
        <v>2259</v>
      </c>
      <c r="D2027" s="19">
        <v>2.2197779999999998</v>
      </c>
      <c r="E2027" s="19" t="s">
        <v>161</v>
      </c>
      <c r="F2027" s="19" t="s">
        <v>162</v>
      </c>
      <c r="G2027" s="19" t="s">
        <v>163</v>
      </c>
      <c r="I2027" s="19" t="s">
        <v>164</v>
      </c>
      <c r="J2027" s="19">
        <v>1</v>
      </c>
      <c r="K2027" s="19">
        <v>3.3300000000000003E-2</v>
      </c>
      <c r="L2027" s="19" t="s">
        <v>35</v>
      </c>
      <c r="M2027" s="19" t="s">
        <v>165</v>
      </c>
      <c r="N2027" s="19">
        <v>66.66</v>
      </c>
      <c r="O2027" s="19">
        <v>66.66</v>
      </c>
      <c r="P2027" s="19">
        <v>0</v>
      </c>
      <c r="Q2027" s="19">
        <v>0</v>
      </c>
      <c r="S2027" s="19">
        <v>1</v>
      </c>
      <c r="T2027" s="19">
        <v>1</v>
      </c>
      <c r="U2027" s="19">
        <v>0</v>
      </c>
      <c r="W2027" s="19">
        <v>0</v>
      </c>
      <c r="X2027" s="19">
        <v>66.66</v>
      </c>
      <c r="Z2027" s="19">
        <v>0</v>
      </c>
      <c r="AA2027" s="19">
        <v>66.66</v>
      </c>
    </row>
    <row r="2028" spans="1:27" x14ac:dyDescent="0.25">
      <c r="A2028" s="19" t="s">
        <v>2296</v>
      </c>
      <c r="B2028" s="19" t="s">
        <v>2258</v>
      </c>
      <c r="C2028" s="19" t="s">
        <v>2259</v>
      </c>
      <c r="D2028" s="19">
        <v>0</v>
      </c>
      <c r="E2028" s="19" t="s">
        <v>167</v>
      </c>
      <c r="F2028" s="19" t="s">
        <v>168</v>
      </c>
      <c r="G2028" s="19" t="s">
        <v>163</v>
      </c>
      <c r="I2028" s="19" t="s">
        <v>164</v>
      </c>
      <c r="J2028" s="19">
        <v>3</v>
      </c>
      <c r="K2028" s="19">
        <v>3.3300000000000003E-2</v>
      </c>
      <c r="L2028" s="19" t="s">
        <v>35</v>
      </c>
      <c r="M2028" s="19" t="s">
        <v>165</v>
      </c>
      <c r="N2028" s="19">
        <v>0</v>
      </c>
      <c r="O2028" s="19">
        <v>0</v>
      </c>
      <c r="P2028" s="19">
        <v>0</v>
      </c>
      <c r="Q2028" s="19">
        <v>0</v>
      </c>
      <c r="S2028" s="19">
        <v>1</v>
      </c>
      <c r="T2028" s="19">
        <v>1</v>
      </c>
      <c r="U2028" s="19">
        <v>0</v>
      </c>
      <c r="W2028" s="19">
        <v>0</v>
      </c>
      <c r="X2028" s="19">
        <v>0</v>
      </c>
      <c r="Z2028" s="19">
        <v>0</v>
      </c>
      <c r="AA2028" s="19">
        <v>0</v>
      </c>
    </row>
    <row r="2029" spans="1:27" x14ac:dyDescent="0.25">
      <c r="A2029" s="19" t="s">
        <v>2297</v>
      </c>
      <c r="B2029" s="19" t="s">
        <v>2258</v>
      </c>
      <c r="C2029" s="19" t="s">
        <v>2259</v>
      </c>
      <c r="D2029" s="19">
        <v>0</v>
      </c>
      <c r="E2029" s="19" t="s">
        <v>170</v>
      </c>
      <c r="F2029" s="19" t="s">
        <v>171</v>
      </c>
      <c r="G2029" s="19" t="s">
        <v>163</v>
      </c>
      <c r="I2029" s="19" t="s">
        <v>164</v>
      </c>
      <c r="J2029" s="19">
        <v>2</v>
      </c>
      <c r="K2029" s="19">
        <v>3.3300000000000003E-2</v>
      </c>
      <c r="L2029" s="19" t="s">
        <v>35</v>
      </c>
      <c r="M2029" s="19" t="s">
        <v>165</v>
      </c>
      <c r="N2029" s="19">
        <v>0</v>
      </c>
      <c r="O2029" s="19">
        <v>0</v>
      </c>
      <c r="P2029" s="19">
        <v>0</v>
      </c>
      <c r="Q2029" s="19">
        <v>0</v>
      </c>
      <c r="S2029" s="19">
        <v>1</v>
      </c>
      <c r="T2029" s="19">
        <v>1</v>
      </c>
      <c r="U2029" s="19">
        <v>0</v>
      </c>
      <c r="W2029" s="19">
        <v>0</v>
      </c>
      <c r="X2029" s="19">
        <v>0</v>
      </c>
      <c r="Z2029" s="19">
        <v>0</v>
      </c>
      <c r="AA2029" s="19">
        <v>0</v>
      </c>
    </row>
    <row r="2030" spans="1:27" x14ac:dyDescent="0.25">
      <c r="A2030" s="19" t="s">
        <v>2339</v>
      </c>
      <c r="B2030" s="19" t="s">
        <v>2340</v>
      </c>
      <c r="C2030" s="19" t="s">
        <v>2341</v>
      </c>
      <c r="D2030" s="19">
        <v>0</v>
      </c>
      <c r="E2030" s="19" t="s">
        <v>30</v>
      </c>
      <c r="F2030" s="19" t="s">
        <v>31</v>
      </c>
      <c r="G2030" s="19" t="s">
        <v>32</v>
      </c>
      <c r="H2030" s="19" t="s">
        <v>33</v>
      </c>
      <c r="I2030" s="19" t="s">
        <v>34</v>
      </c>
      <c r="J2030" s="19">
        <v>17</v>
      </c>
      <c r="K2030" s="19">
        <v>1.6299999999999999E-2</v>
      </c>
      <c r="L2030" s="19" t="s">
        <v>35</v>
      </c>
      <c r="N2030" s="19">
        <v>0</v>
      </c>
      <c r="O2030" s="19">
        <v>0</v>
      </c>
      <c r="P2030" s="19">
        <v>0</v>
      </c>
      <c r="Q2030" s="19">
        <v>0</v>
      </c>
      <c r="S2030" s="19">
        <v>1</v>
      </c>
      <c r="T2030" s="19">
        <v>1</v>
      </c>
      <c r="U2030" s="19">
        <v>0</v>
      </c>
      <c r="V2030" s="19" t="s">
        <v>36</v>
      </c>
      <c r="W2030" s="19">
        <v>0</v>
      </c>
      <c r="Z2030" s="19">
        <v>0</v>
      </c>
      <c r="AA2030" s="19">
        <v>0</v>
      </c>
    </row>
    <row r="2031" spans="1:27" x14ac:dyDescent="0.25">
      <c r="A2031" s="19" t="s">
        <v>2342</v>
      </c>
      <c r="B2031" s="19" t="s">
        <v>2340</v>
      </c>
      <c r="C2031" s="19" t="s">
        <v>2341</v>
      </c>
      <c r="D2031" s="19">
        <v>0.54327899999999996</v>
      </c>
      <c r="E2031" s="19" t="s">
        <v>38</v>
      </c>
      <c r="F2031" s="19" t="s">
        <v>39</v>
      </c>
      <c r="G2031" s="19" t="s">
        <v>32</v>
      </c>
      <c r="H2031" s="19" t="s">
        <v>33</v>
      </c>
      <c r="I2031" s="19" t="s">
        <v>34</v>
      </c>
      <c r="J2031" s="19">
        <v>19</v>
      </c>
      <c r="K2031" s="19">
        <v>1.6299999999999999E-2</v>
      </c>
      <c r="L2031" s="19" t="s">
        <v>35</v>
      </c>
      <c r="M2031" s="19" t="s">
        <v>40</v>
      </c>
      <c r="N2031" s="19">
        <v>33.33</v>
      </c>
      <c r="O2031" s="19">
        <v>33.33</v>
      </c>
      <c r="P2031" s="19">
        <v>0</v>
      </c>
      <c r="Q2031" s="19">
        <v>0</v>
      </c>
      <c r="S2031" s="19">
        <v>1</v>
      </c>
      <c r="T2031" s="19">
        <v>1</v>
      </c>
      <c r="U2031" s="19">
        <v>0</v>
      </c>
      <c r="V2031" s="19" t="s">
        <v>41</v>
      </c>
      <c r="W2031" s="19">
        <v>1</v>
      </c>
      <c r="Y2031" s="19" t="s">
        <v>40</v>
      </c>
      <c r="Z2031" s="19">
        <v>33.33</v>
      </c>
      <c r="AA2031" s="19">
        <v>33.33</v>
      </c>
    </row>
    <row r="2032" spans="1:27" x14ac:dyDescent="0.25">
      <c r="A2032" s="19" t="s">
        <v>2343</v>
      </c>
      <c r="B2032" s="19" t="s">
        <v>2340</v>
      </c>
      <c r="C2032" s="19" t="s">
        <v>2341</v>
      </c>
      <c r="D2032" s="19">
        <v>0</v>
      </c>
      <c r="E2032" s="19" t="s">
        <v>43</v>
      </c>
      <c r="F2032" s="19" t="s">
        <v>44</v>
      </c>
      <c r="G2032" s="19" t="s">
        <v>32</v>
      </c>
      <c r="H2032" s="19" t="s">
        <v>33</v>
      </c>
      <c r="I2032" s="19" t="s">
        <v>34</v>
      </c>
      <c r="J2032" s="19">
        <v>18</v>
      </c>
      <c r="K2032" s="19">
        <v>1.6299999999999999E-2</v>
      </c>
      <c r="L2032" s="19" t="s">
        <v>35</v>
      </c>
      <c r="M2032" s="19" t="s">
        <v>40</v>
      </c>
      <c r="N2032" s="19">
        <v>0</v>
      </c>
      <c r="O2032" s="19">
        <v>0</v>
      </c>
      <c r="P2032" s="19">
        <v>0</v>
      </c>
      <c r="Q2032" s="19">
        <v>0</v>
      </c>
      <c r="S2032" s="19">
        <v>1</v>
      </c>
      <c r="T2032" s="19">
        <v>1</v>
      </c>
      <c r="U2032" s="19">
        <v>0</v>
      </c>
      <c r="V2032" s="19" t="s">
        <v>80</v>
      </c>
      <c r="W2032" s="19">
        <v>0</v>
      </c>
      <c r="Y2032" s="19" t="s">
        <v>40</v>
      </c>
      <c r="Z2032" s="19">
        <v>33.33</v>
      </c>
      <c r="AA2032" s="19">
        <v>0</v>
      </c>
    </row>
    <row r="2033" spans="1:27" x14ac:dyDescent="0.25">
      <c r="A2033" s="19" t="s">
        <v>2344</v>
      </c>
      <c r="B2033" s="19" t="s">
        <v>2340</v>
      </c>
      <c r="C2033" s="19" t="s">
        <v>2341</v>
      </c>
      <c r="D2033" s="19">
        <v>0.54327899999999996</v>
      </c>
      <c r="E2033" s="19" t="s">
        <v>46</v>
      </c>
      <c r="F2033" s="19" t="s">
        <v>47</v>
      </c>
      <c r="G2033" s="19" t="s">
        <v>32</v>
      </c>
      <c r="H2033" s="19" t="s">
        <v>33</v>
      </c>
      <c r="I2033" s="19" t="s">
        <v>34</v>
      </c>
      <c r="J2033" s="19">
        <v>15</v>
      </c>
      <c r="K2033" s="19">
        <v>1.6299999999999999E-2</v>
      </c>
      <c r="L2033" s="19" t="s">
        <v>35</v>
      </c>
      <c r="M2033" s="19" t="s">
        <v>40</v>
      </c>
      <c r="N2033" s="19">
        <v>33.33</v>
      </c>
      <c r="O2033" s="19">
        <v>33.33</v>
      </c>
      <c r="P2033" s="19">
        <v>0</v>
      </c>
      <c r="Q2033" s="19">
        <v>0</v>
      </c>
      <c r="S2033" s="19">
        <v>1</v>
      </c>
      <c r="T2033" s="19">
        <v>1</v>
      </c>
      <c r="U2033" s="19">
        <v>0</v>
      </c>
      <c r="V2033" s="19" t="s">
        <v>41</v>
      </c>
      <c r="W2033" s="19">
        <v>1</v>
      </c>
      <c r="Y2033" s="19" t="s">
        <v>40</v>
      </c>
      <c r="Z2033" s="19">
        <v>33.33</v>
      </c>
      <c r="AA2033" s="19">
        <v>33.33</v>
      </c>
    </row>
    <row r="2034" spans="1:27" x14ac:dyDescent="0.25">
      <c r="A2034" s="19" t="s">
        <v>2345</v>
      </c>
      <c r="B2034" s="19" t="s">
        <v>2340</v>
      </c>
      <c r="C2034" s="19" t="s">
        <v>2341</v>
      </c>
      <c r="D2034" s="19">
        <v>0.54327899999999996</v>
      </c>
      <c r="E2034" s="19" t="s">
        <v>49</v>
      </c>
      <c r="F2034" s="19" t="s">
        <v>50</v>
      </c>
      <c r="G2034" s="19" t="s">
        <v>32</v>
      </c>
      <c r="H2034" s="19" t="s">
        <v>33</v>
      </c>
      <c r="I2034" s="19" t="s">
        <v>34</v>
      </c>
      <c r="J2034" s="19">
        <v>12</v>
      </c>
      <c r="K2034" s="19">
        <v>1.6299999999999999E-2</v>
      </c>
      <c r="L2034" s="19" t="s">
        <v>35</v>
      </c>
      <c r="M2034" s="19" t="s">
        <v>40</v>
      </c>
      <c r="N2034" s="19">
        <v>33.33</v>
      </c>
      <c r="O2034" s="19">
        <v>33.33</v>
      </c>
      <c r="P2034" s="19">
        <v>0</v>
      </c>
      <c r="Q2034" s="19">
        <v>0</v>
      </c>
      <c r="S2034" s="19">
        <v>1</v>
      </c>
      <c r="T2034" s="19">
        <v>1</v>
      </c>
      <c r="U2034" s="19">
        <v>0</v>
      </c>
      <c r="V2034" s="19" t="s">
        <v>41</v>
      </c>
      <c r="W2034" s="19">
        <v>1</v>
      </c>
      <c r="Y2034" s="19" t="s">
        <v>40</v>
      </c>
      <c r="Z2034" s="19">
        <v>33.33</v>
      </c>
      <c r="AA2034" s="19">
        <v>33.33</v>
      </c>
    </row>
    <row r="2035" spans="1:27" x14ac:dyDescent="0.25">
      <c r="A2035" s="19" t="s">
        <v>2346</v>
      </c>
      <c r="B2035" s="19" t="s">
        <v>2340</v>
      </c>
      <c r="C2035" s="19" t="s">
        <v>2341</v>
      </c>
      <c r="D2035" s="19">
        <v>0</v>
      </c>
      <c r="E2035" s="19" t="s">
        <v>52</v>
      </c>
      <c r="F2035" s="19" t="s">
        <v>53</v>
      </c>
      <c r="G2035" s="19" t="s">
        <v>32</v>
      </c>
      <c r="H2035" s="19" t="s">
        <v>33</v>
      </c>
      <c r="I2035" s="19" t="s">
        <v>34</v>
      </c>
      <c r="J2035" s="19">
        <v>16</v>
      </c>
      <c r="K2035" s="19">
        <v>1.6299999999999999E-2</v>
      </c>
      <c r="L2035" s="19" t="s">
        <v>35</v>
      </c>
      <c r="M2035" s="19" t="s">
        <v>40</v>
      </c>
      <c r="N2035" s="19">
        <v>0</v>
      </c>
      <c r="O2035" s="19">
        <v>0</v>
      </c>
      <c r="P2035" s="19">
        <v>0</v>
      </c>
      <c r="Q2035" s="19">
        <v>0</v>
      </c>
      <c r="S2035" s="19">
        <v>1</v>
      </c>
      <c r="T2035" s="19">
        <v>1</v>
      </c>
      <c r="U2035" s="19">
        <v>0</v>
      </c>
      <c r="V2035" s="19" t="s">
        <v>80</v>
      </c>
      <c r="W2035" s="19">
        <v>0</v>
      </c>
      <c r="Y2035" s="19" t="s">
        <v>40</v>
      </c>
      <c r="Z2035" s="19">
        <v>33.33</v>
      </c>
      <c r="AA2035" s="19">
        <v>0</v>
      </c>
    </row>
    <row r="2036" spans="1:27" x14ac:dyDescent="0.25">
      <c r="A2036" s="19" t="s">
        <v>2347</v>
      </c>
      <c r="B2036" s="19" t="s">
        <v>2340</v>
      </c>
      <c r="C2036" s="19" t="s">
        <v>2341</v>
      </c>
      <c r="D2036" s="19">
        <v>0.54327899999999996</v>
      </c>
      <c r="E2036" s="19" t="s">
        <v>55</v>
      </c>
      <c r="F2036" s="19" t="s">
        <v>56</v>
      </c>
      <c r="G2036" s="19" t="s">
        <v>32</v>
      </c>
      <c r="H2036" s="19" t="s">
        <v>33</v>
      </c>
      <c r="I2036" s="19" t="s">
        <v>34</v>
      </c>
      <c r="J2036" s="19">
        <v>14</v>
      </c>
      <c r="K2036" s="19">
        <v>1.6299999999999999E-2</v>
      </c>
      <c r="L2036" s="19" t="s">
        <v>35</v>
      </c>
      <c r="M2036" s="19" t="s">
        <v>40</v>
      </c>
      <c r="N2036" s="19">
        <v>33.33</v>
      </c>
      <c r="O2036" s="19">
        <v>33.33</v>
      </c>
      <c r="P2036" s="19">
        <v>0</v>
      </c>
      <c r="Q2036" s="19">
        <v>0</v>
      </c>
      <c r="S2036" s="19">
        <v>1</v>
      </c>
      <c r="T2036" s="19">
        <v>1</v>
      </c>
      <c r="U2036" s="19">
        <v>0</v>
      </c>
      <c r="V2036" s="19" t="s">
        <v>41</v>
      </c>
      <c r="W2036" s="19">
        <v>1</v>
      </c>
      <c r="Y2036" s="19" t="s">
        <v>40</v>
      </c>
      <c r="Z2036" s="19">
        <v>33.33</v>
      </c>
      <c r="AA2036" s="19">
        <v>33.33</v>
      </c>
    </row>
    <row r="2037" spans="1:27" x14ac:dyDescent="0.25">
      <c r="A2037" s="19" t="s">
        <v>2348</v>
      </c>
      <c r="B2037" s="19" t="s">
        <v>2340</v>
      </c>
      <c r="C2037" s="19" t="s">
        <v>2341</v>
      </c>
      <c r="D2037" s="19">
        <v>0</v>
      </c>
      <c r="E2037" s="19" t="s">
        <v>58</v>
      </c>
      <c r="F2037" s="19" t="s">
        <v>59</v>
      </c>
      <c r="G2037" s="19" t="s">
        <v>32</v>
      </c>
      <c r="H2037" s="19" t="s">
        <v>33</v>
      </c>
      <c r="I2037" s="19" t="s">
        <v>34</v>
      </c>
      <c r="J2037" s="19">
        <v>13</v>
      </c>
      <c r="K2037" s="19">
        <v>1.6299999999999999E-2</v>
      </c>
      <c r="L2037" s="19" t="s">
        <v>35</v>
      </c>
      <c r="N2037" s="19">
        <v>0</v>
      </c>
      <c r="O2037" s="19">
        <v>0</v>
      </c>
      <c r="P2037" s="19">
        <v>0</v>
      </c>
      <c r="Q2037" s="19">
        <v>0</v>
      </c>
      <c r="S2037" s="19">
        <v>1</v>
      </c>
      <c r="T2037" s="19">
        <v>1</v>
      </c>
      <c r="U2037" s="19">
        <v>0</v>
      </c>
      <c r="V2037" s="19" t="s">
        <v>80</v>
      </c>
      <c r="W2037" s="19">
        <v>0</v>
      </c>
      <c r="Z2037" s="19">
        <v>0</v>
      </c>
      <c r="AA2037" s="19">
        <v>0</v>
      </c>
    </row>
    <row r="2038" spans="1:27" x14ac:dyDescent="0.25">
      <c r="A2038" s="19" t="s">
        <v>2349</v>
      </c>
      <c r="B2038" s="19" t="s">
        <v>2340</v>
      </c>
      <c r="C2038" s="19" t="s">
        <v>2341</v>
      </c>
      <c r="D2038" s="19">
        <v>0</v>
      </c>
      <c r="E2038" s="19" t="s">
        <v>61</v>
      </c>
      <c r="F2038" s="19" t="s">
        <v>62</v>
      </c>
      <c r="G2038" s="19" t="s">
        <v>32</v>
      </c>
      <c r="H2038" s="19" t="s">
        <v>63</v>
      </c>
      <c r="I2038" s="19" t="s">
        <v>64</v>
      </c>
      <c r="J2038" s="19">
        <v>22</v>
      </c>
      <c r="K2038" s="19">
        <v>1.8599999999999998E-2</v>
      </c>
      <c r="L2038" s="19" t="s">
        <v>35</v>
      </c>
      <c r="N2038" s="19">
        <v>0</v>
      </c>
      <c r="O2038" s="19">
        <v>0</v>
      </c>
      <c r="P2038" s="19">
        <v>0</v>
      </c>
      <c r="Q2038" s="19">
        <v>0</v>
      </c>
      <c r="S2038" s="19">
        <v>1</v>
      </c>
      <c r="T2038" s="19">
        <v>1</v>
      </c>
      <c r="U2038" s="19">
        <v>0</v>
      </c>
      <c r="V2038" s="19" t="s">
        <v>36</v>
      </c>
      <c r="W2038" s="19">
        <v>0</v>
      </c>
      <c r="Z2038" s="19">
        <v>0</v>
      </c>
      <c r="AA2038" s="19">
        <v>0</v>
      </c>
    </row>
    <row r="2039" spans="1:27" x14ac:dyDescent="0.25">
      <c r="A2039" s="19" t="s">
        <v>2350</v>
      </c>
      <c r="B2039" s="19" t="s">
        <v>2340</v>
      </c>
      <c r="C2039" s="19" t="s">
        <v>2341</v>
      </c>
      <c r="D2039" s="19">
        <v>0.61993799999999899</v>
      </c>
      <c r="E2039" s="19" t="s">
        <v>66</v>
      </c>
      <c r="F2039" s="19" t="s">
        <v>67</v>
      </c>
      <c r="G2039" s="19" t="s">
        <v>32</v>
      </c>
      <c r="H2039" s="19" t="s">
        <v>63</v>
      </c>
      <c r="I2039" s="19" t="s">
        <v>64</v>
      </c>
      <c r="J2039" s="19">
        <v>20</v>
      </c>
      <c r="K2039" s="19">
        <v>1.8599999999999998E-2</v>
      </c>
      <c r="L2039" s="19" t="s">
        <v>35</v>
      </c>
      <c r="M2039" s="19" t="s">
        <v>40</v>
      </c>
      <c r="N2039" s="19">
        <v>33.33</v>
      </c>
      <c r="O2039" s="19">
        <v>33.33</v>
      </c>
      <c r="P2039" s="19">
        <v>0</v>
      </c>
      <c r="Q2039" s="19">
        <v>0</v>
      </c>
      <c r="S2039" s="19">
        <v>1</v>
      </c>
      <c r="T2039" s="19">
        <v>1</v>
      </c>
      <c r="U2039" s="19">
        <v>0</v>
      </c>
      <c r="V2039" s="19" t="s">
        <v>41</v>
      </c>
      <c r="W2039" s="19">
        <v>1</v>
      </c>
      <c r="Y2039" s="19" t="s">
        <v>40</v>
      </c>
      <c r="Z2039" s="19">
        <v>33.33</v>
      </c>
      <c r="AA2039" s="19">
        <v>33.33</v>
      </c>
    </row>
    <row r="2040" spans="1:27" x14ac:dyDescent="0.25">
      <c r="A2040" s="19" t="s">
        <v>2351</v>
      </c>
      <c r="B2040" s="19" t="s">
        <v>2340</v>
      </c>
      <c r="C2040" s="19" t="s">
        <v>2341</v>
      </c>
      <c r="D2040" s="19">
        <v>0.61993799999999899</v>
      </c>
      <c r="E2040" s="19" t="s">
        <v>69</v>
      </c>
      <c r="F2040" s="19" t="s">
        <v>70</v>
      </c>
      <c r="G2040" s="19" t="s">
        <v>32</v>
      </c>
      <c r="H2040" s="19" t="s">
        <v>63</v>
      </c>
      <c r="I2040" s="19" t="s">
        <v>64</v>
      </c>
      <c r="J2040" s="19">
        <v>23</v>
      </c>
      <c r="K2040" s="19">
        <v>1.8599999999999998E-2</v>
      </c>
      <c r="L2040" s="19" t="s">
        <v>35</v>
      </c>
      <c r="M2040" s="19" t="s">
        <v>40</v>
      </c>
      <c r="N2040" s="19">
        <v>33.33</v>
      </c>
      <c r="O2040" s="19">
        <v>33.33</v>
      </c>
      <c r="P2040" s="19">
        <v>0</v>
      </c>
      <c r="Q2040" s="19">
        <v>0</v>
      </c>
      <c r="S2040" s="19">
        <v>1</v>
      </c>
      <c r="T2040" s="19">
        <v>1</v>
      </c>
      <c r="U2040" s="19">
        <v>0</v>
      </c>
      <c r="V2040" s="19" t="s">
        <v>41</v>
      </c>
      <c r="W2040" s="19">
        <v>1</v>
      </c>
      <c r="Y2040" s="19" t="s">
        <v>40</v>
      </c>
      <c r="Z2040" s="19">
        <v>33.33</v>
      </c>
      <c r="AA2040" s="19">
        <v>33.33</v>
      </c>
    </row>
    <row r="2041" spans="1:27" x14ac:dyDescent="0.25">
      <c r="A2041" s="19" t="s">
        <v>2352</v>
      </c>
      <c r="B2041" s="19" t="s">
        <v>2340</v>
      </c>
      <c r="C2041" s="19" t="s">
        <v>2341</v>
      </c>
      <c r="D2041" s="19">
        <v>0</v>
      </c>
      <c r="E2041" s="19" t="s">
        <v>72</v>
      </c>
      <c r="F2041" s="19" t="s">
        <v>73</v>
      </c>
      <c r="G2041" s="19" t="s">
        <v>32</v>
      </c>
      <c r="H2041" s="19" t="s">
        <v>63</v>
      </c>
      <c r="I2041" s="19" t="s">
        <v>64</v>
      </c>
      <c r="J2041" s="19">
        <v>21</v>
      </c>
      <c r="K2041" s="19">
        <v>1.8599999999999998E-2</v>
      </c>
      <c r="L2041" s="19" t="s">
        <v>35</v>
      </c>
      <c r="N2041" s="19">
        <v>0</v>
      </c>
      <c r="O2041" s="19">
        <v>0</v>
      </c>
      <c r="P2041" s="19">
        <v>0</v>
      </c>
      <c r="Q2041" s="19">
        <v>0</v>
      </c>
      <c r="S2041" s="19">
        <v>1</v>
      </c>
      <c r="T2041" s="19">
        <v>1</v>
      </c>
      <c r="U2041" s="19">
        <v>0</v>
      </c>
      <c r="V2041" s="19" t="s">
        <v>36</v>
      </c>
      <c r="W2041" s="19">
        <v>0</v>
      </c>
      <c r="Z2041" s="19">
        <v>0</v>
      </c>
      <c r="AA2041" s="19">
        <v>0</v>
      </c>
    </row>
    <row r="2042" spans="1:27" x14ac:dyDescent="0.25">
      <c r="A2042" s="19" t="s">
        <v>2353</v>
      </c>
      <c r="B2042" s="19" t="s">
        <v>2340</v>
      </c>
      <c r="C2042" s="19" t="s">
        <v>2341</v>
      </c>
      <c r="D2042" s="19">
        <v>0.61993799999999899</v>
      </c>
      <c r="E2042" s="19" t="s">
        <v>75</v>
      </c>
      <c r="F2042" s="19" t="s">
        <v>76</v>
      </c>
      <c r="G2042" s="19" t="s">
        <v>32</v>
      </c>
      <c r="H2042" s="19" t="s">
        <v>63</v>
      </c>
      <c r="I2042" s="19" t="s">
        <v>64</v>
      </c>
      <c r="J2042" s="19">
        <v>24</v>
      </c>
      <c r="K2042" s="19">
        <v>1.8599999999999998E-2</v>
      </c>
      <c r="L2042" s="19" t="s">
        <v>35</v>
      </c>
      <c r="M2042" s="19" t="s">
        <v>40</v>
      </c>
      <c r="N2042" s="19">
        <v>33.33</v>
      </c>
      <c r="O2042" s="19">
        <v>33.33</v>
      </c>
      <c r="P2042" s="19">
        <v>0</v>
      </c>
      <c r="Q2042" s="19">
        <v>0</v>
      </c>
      <c r="S2042" s="19">
        <v>1</v>
      </c>
      <c r="T2042" s="19">
        <v>1</v>
      </c>
      <c r="U2042" s="19">
        <v>0</v>
      </c>
      <c r="V2042" s="19" t="s">
        <v>41</v>
      </c>
      <c r="W2042" s="19">
        <v>1</v>
      </c>
      <c r="Y2042" s="19" t="s">
        <v>40</v>
      </c>
      <c r="Z2042" s="19">
        <v>33.33</v>
      </c>
      <c r="AA2042" s="19">
        <v>33.33</v>
      </c>
    </row>
    <row r="2043" spans="1:27" x14ac:dyDescent="0.25">
      <c r="A2043" s="19" t="s">
        <v>2354</v>
      </c>
      <c r="B2043" s="19" t="s">
        <v>2340</v>
      </c>
      <c r="C2043" s="19" t="s">
        <v>2341</v>
      </c>
      <c r="D2043" s="19">
        <v>0</v>
      </c>
      <c r="E2043" s="19" t="s">
        <v>78</v>
      </c>
      <c r="F2043" s="19" t="s">
        <v>79</v>
      </c>
      <c r="G2043" s="19" t="s">
        <v>32</v>
      </c>
      <c r="H2043" s="19" t="s">
        <v>63</v>
      </c>
      <c r="I2043" s="19" t="s">
        <v>64</v>
      </c>
      <c r="J2043" s="19">
        <v>25</v>
      </c>
      <c r="K2043" s="19">
        <v>1.8599999999999998E-2</v>
      </c>
      <c r="L2043" s="19" t="s">
        <v>35</v>
      </c>
      <c r="M2043" s="19" t="s">
        <v>40</v>
      </c>
      <c r="N2043" s="19">
        <v>0</v>
      </c>
      <c r="O2043" s="19">
        <v>0</v>
      </c>
      <c r="P2043" s="19">
        <v>0</v>
      </c>
      <c r="Q2043" s="19">
        <v>0</v>
      </c>
      <c r="S2043" s="19">
        <v>1</v>
      </c>
      <c r="T2043" s="19">
        <v>1</v>
      </c>
      <c r="U2043" s="19">
        <v>0</v>
      </c>
      <c r="V2043" s="19" t="s">
        <v>80</v>
      </c>
      <c r="W2043" s="19">
        <v>0</v>
      </c>
      <c r="Y2043" s="19" t="s">
        <v>40</v>
      </c>
      <c r="Z2043" s="19">
        <v>33.33</v>
      </c>
      <c r="AA2043" s="19">
        <v>0</v>
      </c>
    </row>
    <row r="2044" spans="1:27" x14ac:dyDescent="0.25">
      <c r="A2044" s="19" t="s">
        <v>2355</v>
      </c>
      <c r="B2044" s="19" t="s">
        <v>2340</v>
      </c>
      <c r="C2044" s="19" t="s">
        <v>2341</v>
      </c>
      <c r="D2044" s="19">
        <v>0</v>
      </c>
      <c r="E2044" s="19" t="s">
        <v>82</v>
      </c>
      <c r="F2044" s="19" t="s">
        <v>83</v>
      </c>
      <c r="G2044" s="19" t="s">
        <v>32</v>
      </c>
      <c r="H2044" s="19" t="s">
        <v>63</v>
      </c>
      <c r="I2044" s="19" t="s">
        <v>64</v>
      </c>
      <c r="J2044" s="19">
        <v>26</v>
      </c>
      <c r="K2044" s="19">
        <v>1.8599999999999998E-2</v>
      </c>
      <c r="L2044" s="19" t="s">
        <v>35</v>
      </c>
      <c r="N2044" s="19">
        <v>0</v>
      </c>
      <c r="O2044" s="19">
        <v>0</v>
      </c>
      <c r="P2044" s="19">
        <v>0</v>
      </c>
      <c r="Q2044" s="19">
        <v>0</v>
      </c>
      <c r="S2044" s="19">
        <v>1</v>
      </c>
      <c r="T2044" s="19">
        <v>1</v>
      </c>
      <c r="U2044" s="19">
        <v>0</v>
      </c>
      <c r="V2044" s="19" t="s">
        <v>36</v>
      </c>
      <c r="W2044" s="19">
        <v>0</v>
      </c>
      <c r="Z2044" s="19">
        <v>0</v>
      </c>
      <c r="AA2044" s="19">
        <v>0</v>
      </c>
    </row>
    <row r="2045" spans="1:27" x14ac:dyDescent="0.25">
      <c r="A2045" s="19" t="s">
        <v>2356</v>
      </c>
      <c r="B2045" s="19" t="s">
        <v>2340</v>
      </c>
      <c r="C2045" s="19" t="s">
        <v>2341</v>
      </c>
      <c r="D2045" s="19">
        <v>0</v>
      </c>
      <c r="E2045" s="19" t="s">
        <v>85</v>
      </c>
      <c r="F2045" s="19" t="s">
        <v>86</v>
      </c>
      <c r="G2045" s="19" t="s">
        <v>32</v>
      </c>
      <c r="H2045" s="19" t="s">
        <v>87</v>
      </c>
      <c r="I2045" s="19" t="s">
        <v>88</v>
      </c>
      <c r="J2045" s="19">
        <v>35</v>
      </c>
      <c r="K2045" s="19">
        <v>3.2500000000000001E-2</v>
      </c>
      <c r="L2045" s="19" t="s">
        <v>35</v>
      </c>
      <c r="N2045" s="19">
        <v>0</v>
      </c>
      <c r="O2045" s="19">
        <v>0</v>
      </c>
      <c r="P2045" s="19">
        <v>0</v>
      </c>
      <c r="Q2045" s="19">
        <v>0</v>
      </c>
      <c r="S2045" s="19">
        <v>1</v>
      </c>
      <c r="T2045" s="19">
        <v>1</v>
      </c>
      <c r="U2045" s="19">
        <v>0</v>
      </c>
      <c r="V2045" s="19" t="s">
        <v>36</v>
      </c>
      <c r="W2045" s="19">
        <v>0</v>
      </c>
      <c r="Z2045" s="19">
        <v>0</v>
      </c>
      <c r="AA2045" s="19">
        <v>0</v>
      </c>
    </row>
    <row r="2046" spans="1:27" x14ac:dyDescent="0.25">
      <c r="A2046" s="19" t="s">
        <v>2357</v>
      </c>
      <c r="B2046" s="19" t="s">
        <v>2340</v>
      </c>
      <c r="C2046" s="19" t="s">
        <v>2341</v>
      </c>
      <c r="D2046" s="19">
        <v>0</v>
      </c>
      <c r="E2046" s="19" t="s">
        <v>90</v>
      </c>
      <c r="F2046" s="19" t="s">
        <v>91</v>
      </c>
      <c r="G2046" s="19" t="s">
        <v>32</v>
      </c>
      <c r="H2046" s="19" t="s">
        <v>87</v>
      </c>
      <c r="I2046" s="19" t="s">
        <v>88</v>
      </c>
      <c r="J2046" s="19">
        <v>33</v>
      </c>
      <c r="K2046" s="19">
        <v>3.2500000000000001E-2</v>
      </c>
      <c r="L2046" s="19" t="s">
        <v>35</v>
      </c>
      <c r="N2046" s="19">
        <v>0</v>
      </c>
      <c r="O2046" s="19">
        <v>0</v>
      </c>
      <c r="P2046" s="19">
        <v>0</v>
      </c>
      <c r="Q2046" s="19">
        <v>0</v>
      </c>
      <c r="S2046" s="19">
        <v>1</v>
      </c>
      <c r="T2046" s="19">
        <v>1</v>
      </c>
      <c r="U2046" s="19">
        <v>0</v>
      </c>
      <c r="V2046" s="19" t="s">
        <v>36</v>
      </c>
      <c r="W2046" s="19">
        <v>0</v>
      </c>
      <c r="Z2046" s="19">
        <v>0</v>
      </c>
      <c r="AA2046" s="19">
        <v>0</v>
      </c>
    </row>
    <row r="2047" spans="1:27" x14ac:dyDescent="0.25">
      <c r="A2047" s="19" t="s">
        <v>2358</v>
      </c>
      <c r="B2047" s="19" t="s">
        <v>2340</v>
      </c>
      <c r="C2047" s="19" t="s">
        <v>2341</v>
      </c>
      <c r="D2047" s="19">
        <v>1.0832249999999899</v>
      </c>
      <c r="E2047" s="19" t="s">
        <v>93</v>
      </c>
      <c r="F2047" s="19" t="s">
        <v>94</v>
      </c>
      <c r="G2047" s="19" t="s">
        <v>32</v>
      </c>
      <c r="H2047" s="19" t="s">
        <v>87</v>
      </c>
      <c r="I2047" s="19" t="s">
        <v>88</v>
      </c>
      <c r="J2047" s="19">
        <v>34</v>
      </c>
      <c r="K2047" s="19">
        <v>3.2500000000000001E-2</v>
      </c>
      <c r="L2047" s="19" t="s">
        <v>35</v>
      </c>
      <c r="M2047" s="19" t="s">
        <v>40</v>
      </c>
      <c r="N2047" s="19">
        <v>33.33</v>
      </c>
      <c r="O2047" s="19">
        <v>33.33</v>
      </c>
      <c r="P2047" s="19">
        <v>0</v>
      </c>
      <c r="Q2047" s="19">
        <v>0</v>
      </c>
      <c r="S2047" s="19">
        <v>1</v>
      </c>
      <c r="T2047" s="19">
        <v>1</v>
      </c>
      <c r="U2047" s="19">
        <v>0</v>
      </c>
      <c r="V2047" s="19" t="s">
        <v>41</v>
      </c>
      <c r="W2047" s="19">
        <v>1</v>
      </c>
      <c r="Y2047" s="19" t="s">
        <v>40</v>
      </c>
      <c r="Z2047" s="19">
        <v>33.33</v>
      </c>
      <c r="AA2047" s="19">
        <v>33.33</v>
      </c>
    </row>
    <row r="2048" spans="1:27" x14ac:dyDescent="0.25">
      <c r="A2048" s="19" t="s">
        <v>2359</v>
      </c>
      <c r="B2048" s="19" t="s">
        <v>2340</v>
      </c>
      <c r="C2048" s="19" t="s">
        <v>2341</v>
      </c>
      <c r="D2048" s="19">
        <v>0</v>
      </c>
      <c r="E2048" s="19" t="s">
        <v>96</v>
      </c>
      <c r="F2048" s="19" t="s">
        <v>97</v>
      </c>
      <c r="G2048" s="19" t="s">
        <v>32</v>
      </c>
      <c r="H2048" s="19" t="s">
        <v>87</v>
      </c>
      <c r="I2048" s="19" t="s">
        <v>88</v>
      </c>
      <c r="J2048" s="19">
        <v>36</v>
      </c>
      <c r="K2048" s="19">
        <v>3.2500000000000001E-2</v>
      </c>
      <c r="L2048" s="19" t="s">
        <v>35</v>
      </c>
      <c r="N2048" s="19">
        <v>0</v>
      </c>
      <c r="O2048" s="19">
        <v>0</v>
      </c>
      <c r="P2048" s="19">
        <v>0</v>
      </c>
      <c r="Q2048" s="19">
        <v>0</v>
      </c>
      <c r="S2048" s="19">
        <v>1</v>
      </c>
      <c r="T2048" s="19">
        <v>1</v>
      </c>
      <c r="U2048" s="19">
        <v>0</v>
      </c>
      <c r="V2048" s="19" t="s">
        <v>36</v>
      </c>
      <c r="W2048" s="19">
        <v>0</v>
      </c>
      <c r="Z2048" s="19">
        <v>0</v>
      </c>
      <c r="AA2048" s="19">
        <v>0</v>
      </c>
    </row>
    <row r="2049" spans="1:27" x14ac:dyDescent="0.25">
      <c r="A2049" s="19" t="s">
        <v>2360</v>
      </c>
      <c r="B2049" s="19" t="s">
        <v>2340</v>
      </c>
      <c r="C2049" s="19" t="s">
        <v>2341</v>
      </c>
      <c r="D2049" s="19">
        <v>0</v>
      </c>
      <c r="E2049" s="19" t="s">
        <v>99</v>
      </c>
      <c r="F2049" s="19" t="s">
        <v>100</v>
      </c>
      <c r="G2049" s="19" t="s">
        <v>32</v>
      </c>
      <c r="H2049" s="19" t="s">
        <v>101</v>
      </c>
      <c r="I2049" s="19" t="s">
        <v>102</v>
      </c>
      <c r="J2049" s="19">
        <v>39</v>
      </c>
      <c r="K2049" s="19">
        <v>4.3299999999999998E-2</v>
      </c>
      <c r="L2049" s="19" t="s">
        <v>35</v>
      </c>
      <c r="M2049" s="19" t="s">
        <v>103</v>
      </c>
      <c r="N2049" s="19">
        <v>0</v>
      </c>
      <c r="O2049" s="19">
        <v>0</v>
      </c>
      <c r="P2049" s="19">
        <v>0</v>
      </c>
      <c r="Q2049" s="19">
        <v>0</v>
      </c>
      <c r="S2049" s="19">
        <v>1</v>
      </c>
      <c r="T2049" s="19">
        <v>1</v>
      </c>
      <c r="U2049" s="19">
        <v>0</v>
      </c>
      <c r="V2049" s="19" t="s">
        <v>36</v>
      </c>
      <c r="W2049" s="19">
        <v>0</v>
      </c>
      <c r="Y2049" s="19" t="s">
        <v>103</v>
      </c>
      <c r="Z2049" s="19">
        <v>50</v>
      </c>
      <c r="AA2049" s="19">
        <v>0</v>
      </c>
    </row>
    <row r="2050" spans="1:27" x14ac:dyDescent="0.25">
      <c r="A2050" s="19" t="s">
        <v>2361</v>
      </c>
      <c r="B2050" s="19" t="s">
        <v>2340</v>
      </c>
      <c r="C2050" s="19" t="s">
        <v>2341</v>
      </c>
      <c r="D2050" s="19">
        <v>0</v>
      </c>
      <c r="E2050" s="19" t="s">
        <v>105</v>
      </c>
      <c r="F2050" s="19" t="s">
        <v>106</v>
      </c>
      <c r="G2050" s="19" t="s">
        <v>32</v>
      </c>
      <c r="H2050" s="19" t="s">
        <v>101</v>
      </c>
      <c r="I2050" s="19" t="s">
        <v>102</v>
      </c>
      <c r="J2050" s="19">
        <v>38</v>
      </c>
      <c r="K2050" s="19">
        <v>4.3299999999999998E-2</v>
      </c>
      <c r="L2050" s="19" t="s">
        <v>35</v>
      </c>
      <c r="M2050" s="19" t="s">
        <v>103</v>
      </c>
      <c r="N2050" s="19">
        <v>0</v>
      </c>
      <c r="O2050" s="19">
        <v>0</v>
      </c>
      <c r="P2050" s="19">
        <v>0</v>
      </c>
      <c r="Q2050" s="19">
        <v>0</v>
      </c>
      <c r="S2050" s="19">
        <v>1</v>
      </c>
      <c r="T2050" s="19">
        <v>1</v>
      </c>
      <c r="U2050" s="19">
        <v>0</v>
      </c>
      <c r="V2050" s="19" t="s">
        <v>36</v>
      </c>
      <c r="W2050" s="19">
        <v>0</v>
      </c>
      <c r="Y2050" s="19" t="s">
        <v>103</v>
      </c>
      <c r="Z2050" s="19">
        <v>50</v>
      </c>
      <c r="AA2050" s="19">
        <v>0</v>
      </c>
    </row>
    <row r="2051" spans="1:27" x14ac:dyDescent="0.25">
      <c r="A2051" s="19" t="s">
        <v>2362</v>
      </c>
      <c r="B2051" s="19" t="s">
        <v>2340</v>
      </c>
      <c r="C2051" s="19" t="s">
        <v>2341</v>
      </c>
      <c r="D2051" s="19">
        <v>0</v>
      </c>
      <c r="E2051" s="19" t="s">
        <v>108</v>
      </c>
      <c r="F2051" s="19" t="s">
        <v>109</v>
      </c>
      <c r="G2051" s="19" t="s">
        <v>32</v>
      </c>
      <c r="H2051" s="19" t="s">
        <v>101</v>
      </c>
      <c r="I2051" s="19" t="s">
        <v>102</v>
      </c>
      <c r="J2051" s="19">
        <v>37</v>
      </c>
      <c r="K2051" s="19">
        <v>4.3299999999999998E-2</v>
      </c>
      <c r="L2051" s="19" t="s">
        <v>35</v>
      </c>
      <c r="M2051" s="19" t="s">
        <v>110</v>
      </c>
      <c r="N2051" s="19">
        <v>0</v>
      </c>
      <c r="O2051" s="19">
        <v>0</v>
      </c>
      <c r="P2051" s="19">
        <v>0</v>
      </c>
      <c r="Q2051" s="19">
        <v>0</v>
      </c>
      <c r="S2051" s="19">
        <v>1</v>
      </c>
      <c r="T2051" s="19">
        <v>1</v>
      </c>
      <c r="U2051" s="19">
        <v>0</v>
      </c>
      <c r="V2051" s="19" t="s">
        <v>80</v>
      </c>
      <c r="W2051" s="19">
        <v>0</v>
      </c>
      <c r="Y2051" s="19" t="s">
        <v>110</v>
      </c>
      <c r="Z2051" s="19">
        <v>16.664999999999999</v>
      </c>
      <c r="AA2051" s="19">
        <v>0</v>
      </c>
    </row>
    <row r="2052" spans="1:27" x14ac:dyDescent="0.25">
      <c r="A2052" s="19" t="s">
        <v>2363</v>
      </c>
      <c r="B2052" s="19" t="s">
        <v>2340</v>
      </c>
      <c r="C2052" s="19" t="s">
        <v>2341</v>
      </c>
      <c r="D2052" s="19">
        <v>0</v>
      </c>
      <c r="E2052" s="19" t="s">
        <v>112</v>
      </c>
      <c r="F2052" s="19" t="s">
        <v>113</v>
      </c>
      <c r="G2052" s="19" t="s">
        <v>32</v>
      </c>
      <c r="H2052" s="19" t="s">
        <v>114</v>
      </c>
      <c r="I2052" s="19" t="s">
        <v>115</v>
      </c>
      <c r="J2052" s="19">
        <v>30</v>
      </c>
      <c r="K2052" s="19">
        <v>2.1700000000000001E-2</v>
      </c>
      <c r="L2052" s="19" t="s">
        <v>35</v>
      </c>
      <c r="M2052" s="19" t="s">
        <v>103</v>
      </c>
      <c r="N2052" s="19">
        <v>0</v>
      </c>
      <c r="O2052" s="19">
        <v>0</v>
      </c>
      <c r="P2052" s="19">
        <v>0</v>
      </c>
      <c r="Q2052" s="19">
        <v>0</v>
      </c>
      <c r="S2052" s="19">
        <v>1</v>
      </c>
      <c r="T2052" s="19">
        <v>1</v>
      </c>
      <c r="U2052" s="19">
        <v>0</v>
      </c>
      <c r="V2052" s="19" t="s">
        <v>36</v>
      </c>
      <c r="W2052" s="19">
        <v>0</v>
      </c>
      <c r="Y2052" s="19" t="s">
        <v>103</v>
      </c>
      <c r="Z2052" s="19">
        <v>50</v>
      </c>
      <c r="AA2052" s="19">
        <v>0</v>
      </c>
    </row>
    <row r="2053" spans="1:27" x14ac:dyDescent="0.25">
      <c r="A2053" s="19" t="s">
        <v>2364</v>
      </c>
      <c r="B2053" s="19" t="s">
        <v>2340</v>
      </c>
      <c r="C2053" s="19" t="s">
        <v>2341</v>
      </c>
      <c r="D2053" s="19">
        <v>0</v>
      </c>
      <c r="E2053" s="19" t="s">
        <v>117</v>
      </c>
      <c r="F2053" s="19" t="s">
        <v>118</v>
      </c>
      <c r="G2053" s="19" t="s">
        <v>32</v>
      </c>
      <c r="H2053" s="19" t="s">
        <v>114</v>
      </c>
      <c r="I2053" s="19" t="s">
        <v>115</v>
      </c>
      <c r="J2053" s="19">
        <v>31</v>
      </c>
      <c r="K2053" s="19">
        <v>2.1700000000000001E-2</v>
      </c>
      <c r="L2053" s="19" t="s">
        <v>35</v>
      </c>
      <c r="M2053" s="19" t="s">
        <v>103</v>
      </c>
      <c r="N2053" s="19">
        <v>0</v>
      </c>
      <c r="O2053" s="19">
        <v>0</v>
      </c>
      <c r="P2053" s="19">
        <v>0</v>
      </c>
      <c r="Q2053" s="19">
        <v>0</v>
      </c>
      <c r="S2053" s="19">
        <v>1</v>
      </c>
      <c r="T2053" s="19">
        <v>1</v>
      </c>
      <c r="U2053" s="19">
        <v>0</v>
      </c>
      <c r="V2053" s="19" t="s">
        <v>36</v>
      </c>
      <c r="W2053" s="19">
        <v>0</v>
      </c>
      <c r="Y2053" s="19" t="s">
        <v>103</v>
      </c>
      <c r="Z2053" s="19">
        <v>50</v>
      </c>
      <c r="AA2053" s="19">
        <v>0</v>
      </c>
    </row>
    <row r="2054" spans="1:27" x14ac:dyDescent="0.25">
      <c r="A2054" s="19" t="s">
        <v>2365</v>
      </c>
      <c r="B2054" s="19" t="s">
        <v>2340</v>
      </c>
      <c r="C2054" s="19" t="s">
        <v>2341</v>
      </c>
      <c r="D2054" s="19">
        <v>0</v>
      </c>
      <c r="E2054" s="19" t="s">
        <v>120</v>
      </c>
      <c r="F2054" s="19" t="s">
        <v>121</v>
      </c>
      <c r="G2054" s="19" t="s">
        <v>32</v>
      </c>
      <c r="H2054" s="19" t="s">
        <v>114</v>
      </c>
      <c r="I2054" s="19" t="s">
        <v>115</v>
      </c>
      <c r="J2054" s="19">
        <v>28</v>
      </c>
      <c r="K2054" s="19">
        <v>2.1700000000000001E-2</v>
      </c>
      <c r="L2054" s="19" t="s">
        <v>35</v>
      </c>
      <c r="M2054" s="19" t="s">
        <v>103</v>
      </c>
      <c r="N2054" s="19">
        <v>0</v>
      </c>
      <c r="O2054" s="19">
        <v>0</v>
      </c>
      <c r="P2054" s="19">
        <v>0</v>
      </c>
      <c r="Q2054" s="19">
        <v>0</v>
      </c>
      <c r="S2054" s="19">
        <v>1</v>
      </c>
      <c r="T2054" s="19">
        <v>1</v>
      </c>
      <c r="U2054" s="19">
        <v>0</v>
      </c>
      <c r="V2054" s="19" t="s">
        <v>80</v>
      </c>
      <c r="W2054" s="19">
        <v>0</v>
      </c>
      <c r="Y2054" s="19" t="s">
        <v>103</v>
      </c>
      <c r="Z2054" s="19">
        <v>50</v>
      </c>
      <c r="AA2054" s="19">
        <v>0</v>
      </c>
    </row>
    <row r="2055" spans="1:27" x14ac:dyDescent="0.25">
      <c r="A2055" s="19" t="s">
        <v>2366</v>
      </c>
      <c r="B2055" s="19" t="s">
        <v>2340</v>
      </c>
      <c r="C2055" s="19" t="s">
        <v>2341</v>
      </c>
      <c r="D2055" s="19">
        <v>0</v>
      </c>
      <c r="E2055" s="19" t="s">
        <v>123</v>
      </c>
      <c r="F2055" s="19" t="s">
        <v>124</v>
      </c>
      <c r="G2055" s="19" t="s">
        <v>32</v>
      </c>
      <c r="H2055" s="19" t="s">
        <v>114</v>
      </c>
      <c r="I2055" s="19" t="s">
        <v>115</v>
      </c>
      <c r="J2055" s="19">
        <v>27</v>
      </c>
      <c r="K2055" s="19">
        <v>2.1700000000000001E-2</v>
      </c>
      <c r="L2055" s="19" t="s">
        <v>35</v>
      </c>
      <c r="M2055" s="19" t="s">
        <v>103</v>
      </c>
      <c r="N2055" s="19">
        <v>0</v>
      </c>
      <c r="O2055" s="19">
        <v>0</v>
      </c>
      <c r="P2055" s="19">
        <v>0</v>
      </c>
      <c r="Q2055" s="19">
        <v>0</v>
      </c>
      <c r="S2055" s="19">
        <v>1</v>
      </c>
      <c r="T2055" s="19">
        <v>1</v>
      </c>
      <c r="U2055" s="19">
        <v>0</v>
      </c>
      <c r="V2055" s="19" t="s">
        <v>36</v>
      </c>
      <c r="W2055" s="19">
        <v>0</v>
      </c>
      <c r="Y2055" s="19" t="s">
        <v>103</v>
      </c>
      <c r="Z2055" s="19">
        <v>50</v>
      </c>
      <c r="AA2055" s="19">
        <v>0</v>
      </c>
    </row>
    <row r="2056" spans="1:27" x14ac:dyDescent="0.25">
      <c r="A2056" s="19" t="s">
        <v>2367</v>
      </c>
      <c r="B2056" s="19" t="s">
        <v>2340</v>
      </c>
      <c r="C2056" s="19" t="s">
        <v>2341</v>
      </c>
      <c r="D2056" s="19">
        <v>0</v>
      </c>
      <c r="E2056" s="19" t="s">
        <v>126</v>
      </c>
      <c r="F2056" s="19" t="s">
        <v>127</v>
      </c>
      <c r="G2056" s="19" t="s">
        <v>32</v>
      </c>
      <c r="H2056" s="19" t="s">
        <v>114</v>
      </c>
      <c r="I2056" s="19" t="s">
        <v>115</v>
      </c>
      <c r="J2056" s="19">
        <v>29</v>
      </c>
      <c r="K2056" s="19">
        <v>2.1700000000000001E-2</v>
      </c>
      <c r="L2056" s="19" t="s">
        <v>35</v>
      </c>
      <c r="M2056" s="19" t="s">
        <v>103</v>
      </c>
      <c r="N2056" s="19">
        <v>0</v>
      </c>
      <c r="O2056" s="19">
        <v>0</v>
      </c>
      <c r="P2056" s="19">
        <v>0</v>
      </c>
      <c r="Q2056" s="19">
        <v>0</v>
      </c>
      <c r="S2056" s="19">
        <v>1</v>
      </c>
      <c r="T2056" s="19">
        <v>1</v>
      </c>
      <c r="U2056" s="19">
        <v>0</v>
      </c>
      <c r="V2056" s="19" t="s">
        <v>80</v>
      </c>
      <c r="W2056" s="19">
        <v>0</v>
      </c>
      <c r="Y2056" s="19" t="s">
        <v>103</v>
      </c>
      <c r="Z2056" s="19">
        <v>50</v>
      </c>
      <c r="AA2056" s="19">
        <v>0</v>
      </c>
    </row>
    <row r="2057" spans="1:27" x14ac:dyDescent="0.25">
      <c r="A2057" s="19" t="s">
        <v>2368</v>
      </c>
      <c r="B2057" s="19" t="s">
        <v>2340</v>
      </c>
      <c r="C2057" s="19" t="s">
        <v>2341</v>
      </c>
      <c r="D2057" s="19">
        <v>1.085</v>
      </c>
      <c r="E2057" s="19" t="s">
        <v>129</v>
      </c>
      <c r="F2057" s="19" t="s">
        <v>130</v>
      </c>
      <c r="G2057" s="19" t="s">
        <v>32</v>
      </c>
      <c r="H2057" s="19" t="s">
        <v>114</v>
      </c>
      <c r="I2057" s="19" t="s">
        <v>115</v>
      </c>
      <c r="J2057" s="19">
        <v>32</v>
      </c>
      <c r="K2057" s="19">
        <v>2.1700000000000001E-2</v>
      </c>
      <c r="L2057" s="19" t="s">
        <v>35</v>
      </c>
      <c r="M2057" s="19" t="s">
        <v>103</v>
      </c>
      <c r="N2057" s="19">
        <v>50</v>
      </c>
      <c r="O2057" s="19">
        <v>50</v>
      </c>
      <c r="P2057" s="19">
        <v>0</v>
      </c>
      <c r="Q2057" s="19">
        <v>0</v>
      </c>
      <c r="S2057" s="19">
        <v>1</v>
      </c>
      <c r="T2057" s="19">
        <v>1</v>
      </c>
      <c r="U2057" s="19">
        <v>0</v>
      </c>
      <c r="V2057" s="19" t="s">
        <v>41</v>
      </c>
      <c r="W2057" s="19">
        <v>1</v>
      </c>
      <c r="Y2057" s="19" t="s">
        <v>103</v>
      </c>
      <c r="Z2057" s="19">
        <v>50</v>
      </c>
      <c r="AA2057" s="19">
        <v>50</v>
      </c>
    </row>
    <row r="2058" spans="1:27" x14ac:dyDescent="0.25">
      <c r="A2058" s="19" t="s">
        <v>2369</v>
      </c>
      <c r="B2058" s="19" t="s">
        <v>2340</v>
      </c>
      <c r="C2058" s="19" t="s">
        <v>2341</v>
      </c>
      <c r="D2058" s="19">
        <v>2.085</v>
      </c>
      <c r="E2058" s="19" t="s">
        <v>132</v>
      </c>
      <c r="F2058" s="19" t="s">
        <v>133</v>
      </c>
      <c r="G2058" s="19" t="s">
        <v>134</v>
      </c>
      <c r="H2058" s="19" t="s">
        <v>87</v>
      </c>
      <c r="I2058" s="19" t="s">
        <v>135</v>
      </c>
      <c r="J2058" s="19">
        <v>11</v>
      </c>
      <c r="K2058" s="19">
        <v>4.1700000000000001E-2</v>
      </c>
      <c r="L2058" s="19" t="s">
        <v>35</v>
      </c>
      <c r="M2058" s="19" t="s">
        <v>103</v>
      </c>
      <c r="N2058" s="19">
        <v>50</v>
      </c>
      <c r="O2058" s="19">
        <v>50</v>
      </c>
      <c r="P2058" s="19">
        <v>0</v>
      </c>
      <c r="Q2058" s="19">
        <v>0</v>
      </c>
      <c r="S2058" s="19">
        <v>1</v>
      </c>
      <c r="T2058" s="19">
        <v>1</v>
      </c>
      <c r="U2058" s="19">
        <v>0</v>
      </c>
      <c r="V2058" s="19" t="s">
        <v>41</v>
      </c>
      <c r="W2058" s="19">
        <v>1</v>
      </c>
      <c r="Y2058" s="19" t="s">
        <v>103</v>
      </c>
      <c r="Z2058" s="19">
        <v>50</v>
      </c>
      <c r="AA2058" s="19">
        <v>50</v>
      </c>
    </row>
    <row r="2059" spans="1:27" x14ac:dyDescent="0.25">
      <c r="A2059" s="19" t="s">
        <v>2370</v>
      </c>
      <c r="B2059" s="19" t="s">
        <v>2340</v>
      </c>
      <c r="C2059" s="19" t="s">
        <v>2341</v>
      </c>
      <c r="D2059" s="19">
        <v>0</v>
      </c>
      <c r="E2059" s="19" t="s">
        <v>137</v>
      </c>
      <c r="F2059" s="19" t="s">
        <v>138</v>
      </c>
      <c r="G2059" s="19" t="s">
        <v>134</v>
      </c>
      <c r="H2059" s="19" t="s">
        <v>87</v>
      </c>
      <c r="I2059" s="19" t="s">
        <v>135</v>
      </c>
      <c r="J2059" s="19">
        <v>9</v>
      </c>
      <c r="K2059" s="19">
        <v>4.1700000000000001E-2</v>
      </c>
      <c r="L2059" s="19" t="s">
        <v>35</v>
      </c>
      <c r="N2059" s="19">
        <v>0</v>
      </c>
      <c r="O2059" s="19">
        <v>0</v>
      </c>
      <c r="P2059" s="19">
        <v>0</v>
      </c>
      <c r="Q2059" s="19">
        <v>0</v>
      </c>
      <c r="S2059" s="19">
        <v>1</v>
      </c>
      <c r="T2059" s="19">
        <v>1</v>
      </c>
      <c r="U2059" s="19">
        <v>0</v>
      </c>
      <c r="W2059" s="19">
        <v>0</v>
      </c>
      <c r="X2059" s="19">
        <v>0</v>
      </c>
      <c r="Z2059" s="19">
        <v>0</v>
      </c>
      <c r="AA2059" s="19">
        <v>0</v>
      </c>
    </row>
    <row r="2060" spans="1:27" x14ac:dyDescent="0.25">
      <c r="A2060" s="19" t="s">
        <v>2371</v>
      </c>
      <c r="B2060" s="19" t="s">
        <v>2340</v>
      </c>
      <c r="C2060" s="19" t="s">
        <v>2341</v>
      </c>
      <c r="D2060" s="19">
        <v>0</v>
      </c>
      <c r="E2060" s="19" t="s">
        <v>140</v>
      </c>
      <c r="F2060" s="19" t="s">
        <v>141</v>
      </c>
      <c r="G2060" s="19" t="s">
        <v>134</v>
      </c>
      <c r="H2060" s="19" t="s">
        <v>87</v>
      </c>
      <c r="I2060" s="19" t="s">
        <v>135</v>
      </c>
      <c r="J2060" s="19">
        <v>10</v>
      </c>
      <c r="K2060" s="19">
        <v>4.1700000000000001E-2</v>
      </c>
      <c r="L2060" s="19" t="s">
        <v>35</v>
      </c>
      <c r="N2060" s="19">
        <v>0</v>
      </c>
      <c r="O2060" s="19">
        <v>0</v>
      </c>
      <c r="P2060" s="19">
        <v>0</v>
      </c>
      <c r="Q2060" s="19">
        <v>0</v>
      </c>
      <c r="S2060" s="19">
        <v>1</v>
      </c>
      <c r="T2060" s="19">
        <v>1</v>
      </c>
      <c r="U2060" s="19">
        <v>0</v>
      </c>
      <c r="W2060" s="19">
        <v>0</v>
      </c>
      <c r="X2060" s="19">
        <v>0</v>
      </c>
      <c r="Z2060" s="19">
        <v>0</v>
      </c>
      <c r="AA2060" s="19">
        <v>0</v>
      </c>
    </row>
    <row r="2061" spans="1:27" x14ac:dyDescent="0.25">
      <c r="A2061" s="19" t="s">
        <v>2372</v>
      </c>
      <c r="B2061" s="19" t="s">
        <v>2340</v>
      </c>
      <c r="C2061" s="19" t="s">
        <v>2341</v>
      </c>
      <c r="D2061" s="19">
        <v>1.25</v>
      </c>
      <c r="E2061" s="19" t="s">
        <v>144</v>
      </c>
      <c r="F2061" s="19" t="s">
        <v>145</v>
      </c>
      <c r="G2061" s="19" t="s">
        <v>134</v>
      </c>
      <c r="H2061" s="19" t="s">
        <v>146</v>
      </c>
      <c r="I2061" s="19" t="s">
        <v>147</v>
      </c>
      <c r="J2061" s="19">
        <v>4</v>
      </c>
      <c r="K2061" s="19">
        <v>2.5000000000000001E-2</v>
      </c>
      <c r="L2061" s="19" t="s">
        <v>35</v>
      </c>
      <c r="M2061" s="19" t="s">
        <v>103</v>
      </c>
      <c r="N2061" s="19">
        <v>50</v>
      </c>
      <c r="O2061" s="19">
        <v>50</v>
      </c>
      <c r="P2061" s="19">
        <v>0</v>
      </c>
      <c r="Q2061" s="19">
        <v>0</v>
      </c>
      <c r="S2061" s="19">
        <v>1</v>
      </c>
      <c r="T2061" s="19">
        <v>1</v>
      </c>
      <c r="U2061" s="19">
        <v>0</v>
      </c>
      <c r="V2061" s="19" t="s">
        <v>41</v>
      </c>
      <c r="W2061" s="19">
        <v>1</v>
      </c>
      <c r="Y2061" s="19" t="s">
        <v>103</v>
      </c>
      <c r="Z2061" s="19">
        <v>50</v>
      </c>
      <c r="AA2061" s="19">
        <v>50</v>
      </c>
    </row>
    <row r="2062" spans="1:27" x14ac:dyDescent="0.25">
      <c r="A2062" s="19" t="s">
        <v>2373</v>
      </c>
      <c r="B2062" s="19" t="s">
        <v>2340</v>
      </c>
      <c r="C2062" s="19" t="s">
        <v>2341</v>
      </c>
      <c r="D2062" s="19">
        <v>1.25</v>
      </c>
      <c r="E2062" s="19" t="s">
        <v>149</v>
      </c>
      <c r="F2062" s="19" t="s">
        <v>150</v>
      </c>
      <c r="G2062" s="19" t="s">
        <v>134</v>
      </c>
      <c r="H2062" s="19" t="s">
        <v>146</v>
      </c>
      <c r="I2062" s="19" t="s">
        <v>147</v>
      </c>
      <c r="J2062" s="19">
        <v>5</v>
      </c>
      <c r="K2062" s="19">
        <v>2.5000000000000001E-2</v>
      </c>
      <c r="L2062" s="19" t="s">
        <v>35</v>
      </c>
      <c r="M2062" s="19" t="s">
        <v>103</v>
      </c>
      <c r="N2062" s="19">
        <v>50</v>
      </c>
      <c r="O2062" s="19">
        <v>50</v>
      </c>
      <c r="P2062" s="19">
        <v>0</v>
      </c>
      <c r="Q2062" s="19">
        <v>0</v>
      </c>
      <c r="S2062" s="19">
        <v>1</v>
      </c>
      <c r="T2062" s="19">
        <v>1</v>
      </c>
      <c r="U2062" s="19">
        <v>0</v>
      </c>
      <c r="V2062" s="19" t="s">
        <v>41</v>
      </c>
      <c r="W2062" s="19">
        <v>1</v>
      </c>
      <c r="Y2062" s="19" t="s">
        <v>103</v>
      </c>
      <c r="Z2062" s="19">
        <v>50</v>
      </c>
      <c r="AA2062" s="19">
        <v>50</v>
      </c>
    </row>
    <row r="2063" spans="1:27" x14ac:dyDescent="0.25">
      <c r="A2063" s="19" t="s">
        <v>2374</v>
      </c>
      <c r="B2063" s="19" t="s">
        <v>2340</v>
      </c>
      <c r="C2063" s="19" t="s">
        <v>2341</v>
      </c>
      <c r="D2063" s="19">
        <v>1.25</v>
      </c>
      <c r="E2063" s="19" t="s">
        <v>152</v>
      </c>
      <c r="F2063" s="19" t="s">
        <v>153</v>
      </c>
      <c r="G2063" s="19" t="s">
        <v>134</v>
      </c>
      <c r="H2063" s="19" t="s">
        <v>146</v>
      </c>
      <c r="I2063" s="19" t="s">
        <v>147</v>
      </c>
      <c r="J2063" s="19">
        <v>6</v>
      </c>
      <c r="K2063" s="19">
        <v>2.5000000000000001E-2</v>
      </c>
      <c r="L2063" s="19" t="s">
        <v>35</v>
      </c>
      <c r="M2063" s="19" t="s">
        <v>103</v>
      </c>
      <c r="N2063" s="19">
        <v>50</v>
      </c>
      <c r="O2063" s="19">
        <v>50</v>
      </c>
      <c r="P2063" s="19">
        <v>0</v>
      </c>
      <c r="Q2063" s="19">
        <v>0</v>
      </c>
      <c r="S2063" s="19">
        <v>1</v>
      </c>
      <c r="T2063" s="19">
        <v>1</v>
      </c>
      <c r="U2063" s="19">
        <v>0</v>
      </c>
      <c r="V2063" s="19" t="s">
        <v>41</v>
      </c>
      <c r="W2063" s="19">
        <v>1</v>
      </c>
      <c r="Y2063" s="19" t="s">
        <v>103</v>
      </c>
      <c r="Z2063" s="19">
        <v>50</v>
      </c>
      <c r="AA2063" s="19">
        <v>50</v>
      </c>
    </row>
    <row r="2064" spans="1:27" x14ac:dyDescent="0.25">
      <c r="A2064" s="19" t="s">
        <v>2375</v>
      </c>
      <c r="B2064" s="19" t="s">
        <v>2340</v>
      </c>
      <c r="C2064" s="19" t="s">
        <v>2341</v>
      </c>
      <c r="D2064" s="19">
        <v>1.25</v>
      </c>
      <c r="E2064" s="19" t="s">
        <v>155</v>
      </c>
      <c r="F2064" s="19" t="s">
        <v>156</v>
      </c>
      <c r="G2064" s="19" t="s">
        <v>134</v>
      </c>
      <c r="H2064" s="19" t="s">
        <v>146</v>
      </c>
      <c r="I2064" s="19" t="s">
        <v>147</v>
      </c>
      <c r="J2064" s="19">
        <v>7</v>
      </c>
      <c r="K2064" s="19">
        <v>2.5000000000000001E-2</v>
      </c>
      <c r="L2064" s="19" t="s">
        <v>35</v>
      </c>
      <c r="M2064" s="19" t="s">
        <v>103</v>
      </c>
      <c r="N2064" s="19">
        <v>50</v>
      </c>
      <c r="O2064" s="19">
        <v>50</v>
      </c>
      <c r="P2064" s="19">
        <v>0</v>
      </c>
      <c r="Q2064" s="19">
        <v>0</v>
      </c>
      <c r="S2064" s="19">
        <v>1</v>
      </c>
      <c r="T2064" s="19">
        <v>1</v>
      </c>
      <c r="U2064" s="19">
        <v>0</v>
      </c>
      <c r="V2064" s="19" t="s">
        <v>41</v>
      </c>
      <c r="W2064" s="19">
        <v>1</v>
      </c>
      <c r="Y2064" s="19" t="s">
        <v>103</v>
      </c>
      <c r="Z2064" s="19">
        <v>50</v>
      </c>
      <c r="AA2064" s="19">
        <v>50</v>
      </c>
    </row>
    <row r="2065" spans="1:27" x14ac:dyDescent="0.25">
      <c r="A2065" s="19" t="s">
        <v>2376</v>
      </c>
      <c r="B2065" s="19" t="s">
        <v>2340</v>
      </c>
      <c r="C2065" s="19" t="s">
        <v>2341</v>
      </c>
      <c r="D2065" s="19">
        <v>1.25</v>
      </c>
      <c r="E2065" s="19" t="s">
        <v>158</v>
      </c>
      <c r="F2065" s="19" t="s">
        <v>159</v>
      </c>
      <c r="G2065" s="19" t="s">
        <v>134</v>
      </c>
      <c r="H2065" s="19" t="s">
        <v>146</v>
      </c>
      <c r="I2065" s="19" t="s">
        <v>147</v>
      </c>
      <c r="J2065" s="19">
        <v>8</v>
      </c>
      <c r="K2065" s="19">
        <v>2.5000000000000001E-2</v>
      </c>
      <c r="L2065" s="19" t="s">
        <v>35</v>
      </c>
      <c r="M2065" s="19" t="s">
        <v>103</v>
      </c>
      <c r="N2065" s="19">
        <v>50</v>
      </c>
      <c r="O2065" s="19">
        <v>50</v>
      </c>
      <c r="P2065" s="19">
        <v>0</v>
      </c>
      <c r="Q2065" s="19">
        <v>0</v>
      </c>
      <c r="S2065" s="19">
        <v>1</v>
      </c>
      <c r="T2065" s="19">
        <v>1</v>
      </c>
      <c r="U2065" s="19">
        <v>0</v>
      </c>
      <c r="V2065" s="19" t="s">
        <v>41</v>
      </c>
      <c r="W2065" s="19">
        <v>1</v>
      </c>
      <c r="Y2065" s="19" t="s">
        <v>103</v>
      </c>
      <c r="Z2065" s="19">
        <v>50</v>
      </c>
      <c r="AA2065" s="19">
        <v>50</v>
      </c>
    </row>
    <row r="2066" spans="1:27" x14ac:dyDescent="0.25">
      <c r="A2066" s="19" t="s">
        <v>2377</v>
      </c>
      <c r="B2066" s="19" t="s">
        <v>2340</v>
      </c>
      <c r="C2066" s="19" t="s">
        <v>2341</v>
      </c>
      <c r="D2066" s="19">
        <v>1.1098889999999999</v>
      </c>
      <c r="E2066" s="19" t="s">
        <v>161</v>
      </c>
      <c r="F2066" s="19" t="s">
        <v>162</v>
      </c>
      <c r="G2066" s="19" t="s">
        <v>163</v>
      </c>
      <c r="I2066" s="19" t="s">
        <v>164</v>
      </c>
      <c r="J2066" s="19">
        <v>1</v>
      </c>
      <c r="K2066" s="19">
        <v>3.3300000000000003E-2</v>
      </c>
      <c r="L2066" s="19" t="s">
        <v>35</v>
      </c>
      <c r="M2066" s="19" t="s">
        <v>165</v>
      </c>
      <c r="N2066" s="19">
        <v>33.33</v>
      </c>
      <c r="O2066" s="19">
        <v>33.33</v>
      </c>
      <c r="P2066" s="19">
        <v>0</v>
      </c>
      <c r="Q2066" s="19">
        <v>0</v>
      </c>
      <c r="S2066" s="19">
        <v>1</v>
      </c>
      <c r="T2066" s="19">
        <v>1</v>
      </c>
      <c r="U2066" s="19">
        <v>0</v>
      </c>
      <c r="W2066" s="19">
        <v>0</v>
      </c>
      <c r="X2066" s="19">
        <v>33.33</v>
      </c>
      <c r="Z2066" s="19">
        <v>0</v>
      </c>
      <c r="AA2066" s="19">
        <v>33.33</v>
      </c>
    </row>
    <row r="2067" spans="1:27" x14ac:dyDescent="0.25">
      <c r="A2067" s="19" t="s">
        <v>2378</v>
      </c>
      <c r="B2067" s="19" t="s">
        <v>2340</v>
      </c>
      <c r="C2067" s="19" t="s">
        <v>2341</v>
      </c>
      <c r="D2067" s="19">
        <v>0</v>
      </c>
      <c r="E2067" s="19" t="s">
        <v>167</v>
      </c>
      <c r="F2067" s="19" t="s">
        <v>168</v>
      </c>
      <c r="G2067" s="19" t="s">
        <v>163</v>
      </c>
      <c r="I2067" s="19" t="s">
        <v>164</v>
      </c>
      <c r="J2067" s="19">
        <v>3</v>
      </c>
      <c r="K2067" s="19">
        <v>3.3300000000000003E-2</v>
      </c>
      <c r="L2067" s="19" t="s">
        <v>35</v>
      </c>
      <c r="M2067" s="19" t="s">
        <v>165</v>
      </c>
      <c r="N2067" s="19">
        <v>0</v>
      </c>
      <c r="O2067" s="19">
        <v>0</v>
      </c>
      <c r="P2067" s="19">
        <v>0</v>
      </c>
      <c r="Q2067" s="19">
        <v>0</v>
      </c>
      <c r="S2067" s="19">
        <v>1</v>
      </c>
      <c r="T2067" s="19">
        <v>1</v>
      </c>
      <c r="U2067" s="19">
        <v>0</v>
      </c>
      <c r="W2067" s="19">
        <v>0</v>
      </c>
      <c r="X2067" s="19">
        <v>0</v>
      </c>
      <c r="Z2067" s="19">
        <v>0</v>
      </c>
      <c r="AA2067" s="19">
        <v>0</v>
      </c>
    </row>
    <row r="2068" spans="1:27" x14ac:dyDescent="0.25">
      <c r="A2068" s="19" t="s">
        <v>2379</v>
      </c>
      <c r="B2068" s="19" t="s">
        <v>2340</v>
      </c>
      <c r="C2068" s="19" t="s">
        <v>2341</v>
      </c>
      <c r="D2068" s="19">
        <v>0</v>
      </c>
      <c r="E2068" s="19" t="s">
        <v>170</v>
      </c>
      <c r="F2068" s="19" t="s">
        <v>171</v>
      </c>
      <c r="G2068" s="19" t="s">
        <v>163</v>
      </c>
      <c r="I2068" s="19" t="s">
        <v>164</v>
      </c>
      <c r="J2068" s="19">
        <v>2</v>
      </c>
      <c r="K2068" s="19">
        <v>3.3300000000000003E-2</v>
      </c>
      <c r="L2068" s="19" t="s">
        <v>35</v>
      </c>
      <c r="M2068" s="19" t="s">
        <v>165</v>
      </c>
      <c r="N2068" s="19">
        <v>0</v>
      </c>
      <c r="O2068" s="19">
        <v>0</v>
      </c>
      <c r="P2068" s="19">
        <v>0</v>
      </c>
      <c r="Q2068" s="19">
        <v>0</v>
      </c>
      <c r="S2068" s="19">
        <v>1</v>
      </c>
      <c r="T2068" s="19">
        <v>1</v>
      </c>
      <c r="U2068" s="19">
        <v>0</v>
      </c>
      <c r="W2068" s="19">
        <v>0</v>
      </c>
      <c r="X2068" s="19">
        <v>0</v>
      </c>
      <c r="Z2068" s="19">
        <v>0</v>
      </c>
      <c r="AA2068" s="19">
        <v>0</v>
      </c>
    </row>
    <row r="2069" spans="1:27" x14ac:dyDescent="0.25">
      <c r="A2069" s="19" t="s">
        <v>867</v>
      </c>
      <c r="B2069" s="19" t="s">
        <v>868</v>
      </c>
      <c r="C2069" s="19" t="s">
        <v>869</v>
      </c>
      <c r="D2069" s="19">
        <v>1.5454371379619001</v>
      </c>
      <c r="E2069" s="19" t="s">
        <v>30</v>
      </c>
      <c r="F2069" s="19" t="s">
        <v>31</v>
      </c>
      <c r="G2069" s="19" t="s">
        <v>32</v>
      </c>
      <c r="H2069" s="19" t="s">
        <v>33</v>
      </c>
      <c r="I2069" s="19" t="s">
        <v>34</v>
      </c>
      <c r="J2069" s="19">
        <v>17</v>
      </c>
      <c r="K2069" s="19">
        <v>1.6299999999999999E-2</v>
      </c>
      <c r="L2069" s="19" t="s">
        <v>541</v>
      </c>
      <c r="M2069" s="19" t="s">
        <v>541</v>
      </c>
      <c r="N2069" s="19">
        <v>50</v>
      </c>
      <c r="O2069" s="19">
        <v>94.812094353500001</v>
      </c>
      <c r="P2069" s="19">
        <v>99.582431896599999</v>
      </c>
      <c r="Q2069" s="19">
        <v>49.7912159483</v>
      </c>
      <c r="R2069" s="19" t="s">
        <v>870</v>
      </c>
      <c r="S2069" s="19">
        <v>0.9</v>
      </c>
      <c r="T2069" s="19">
        <v>0.9</v>
      </c>
      <c r="U2069" s="19">
        <v>44.812094353500001</v>
      </c>
      <c r="AA2069" s="19">
        <v>0</v>
      </c>
    </row>
    <row r="2070" spans="1:27" x14ac:dyDescent="0.25">
      <c r="A2070" s="19" t="s">
        <v>871</v>
      </c>
      <c r="B2070" s="19" t="s">
        <v>868</v>
      </c>
      <c r="C2070" s="19" t="s">
        <v>869</v>
      </c>
      <c r="D2070" s="19">
        <v>1.54849999999999</v>
      </c>
      <c r="E2070" s="19" t="s">
        <v>38</v>
      </c>
      <c r="F2070" s="19" t="s">
        <v>39</v>
      </c>
      <c r="G2070" s="19" t="s">
        <v>32</v>
      </c>
      <c r="H2070" s="19" t="s">
        <v>33</v>
      </c>
      <c r="I2070" s="19" t="s">
        <v>34</v>
      </c>
      <c r="J2070" s="19">
        <v>19</v>
      </c>
      <c r="K2070" s="19">
        <v>1.6299999999999999E-2</v>
      </c>
      <c r="L2070" s="19" t="s">
        <v>541</v>
      </c>
      <c r="M2070" s="19" t="s">
        <v>541</v>
      </c>
      <c r="N2070" s="19">
        <v>50</v>
      </c>
      <c r="O2070" s="19">
        <v>95</v>
      </c>
      <c r="P2070" s="19">
        <v>100</v>
      </c>
      <c r="Q2070" s="19">
        <v>50</v>
      </c>
      <c r="R2070" s="19" t="s">
        <v>870</v>
      </c>
      <c r="S2070" s="19">
        <v>0.9</v>
      </c>
      <c r="T2070" s="19">
        <v>0.9</v>
      </c>
      <c r="U2070" s="19">
        <v>45</v>
      </c>
      <c r="AA2070" s="19">
        <v>0</v>
      </c>
    </row>
    <row r="2071" spans="1:27" x14ac:dyDescent="0.25">
      <c r="A2071" s="19" t="s">
        <v>872</v>
      </c>
      <c r="B2071" s="19" t="s">
        <v>868</v>
      </c>
      <c r="C2071" s="19" t="s">
        <v>869</v>
      </c>
      <c r="D2071" s="19">
        <v>1.54849999999999</v>
      </c>
      <c r="E2071" s="19" t="s">
        <v>43</v>
      </c>
      <c r="F2071" s="19" t="s">
        <v>44</v>
      </c>
      <c r="G2071" s="19" t="s">
        <v>32</v>
      </c>
      <c r="H2071" s="19" t="s">
        <v>33</v>
      </c>
      <c r="I2071" s="19" t="s">
        <v>34</v>
      </c>
      <c r="J2071" s="19">
        <v>18</v>
      </c>
      <c r="K2071" s="19">
        <v>1.6299999999999999E-2</v>
      </c>
      <c r="L2071" s="19" t="s">
        <v>541</v>
      </c>
      <c r="M2071" s="19" t="s">
        <v>541</v>
      </c>
      <c r="N2071" s="19">
        <v>50</v>
      </c>
      <c r="O2071" s="19">
        <v>95</v>
      </c>
      <c r="P2071" s="19">
        <v>100</v>
      </c>
      <c r="Q2071" s="19">
        <v>50</v>
      </c>
      <c r="R2071" s="19" t="s">
        <v>870</v>
      </c>
      <c r="S2071" s="19">
        <v>0.9</v>
      </c>
      <c r="T2071" s="19">
        <v>0.9</v>
      </c>
      <c r="U2071" s="19">
        <v>45</v>
      </c>
      <c r="AA2071" s="19">
        <v>0</v>
      </c>
    </row>
    <row r="2072" spans="1:27" x14ac:dyDescent="0.25">
      <c r="A2072" s="19" t="s">
        <v>873</v>
      </c>
      <c r="B2072" s="19" t="s">
        <v>868</v>
      </c>
      <c r="C2072" s="19" t="s">
        <v>869</v>
      </c>
      <c r="D2072" s="19">
        <v>1.30277043655039</v>
      </c>
      <c r="E2072" s="19" t="s">
        <v>46</v>
      </c>
      <c r="F2072" s="19" t="s">
        <v>47</v>
      </c>
      <c r="G2072" s="19" t="s">
        <v>32</v>
      </c>
      <c r="H2072" s="19" t="s">
        <v>33</v>
      </c>
      <c r="I2072" s="19" t="s">
        <v>34</v>
      </c>
      <c r="J2072" s="19">
        <v>15</v>
      </c>
      <c r="K2072" s="19">
        <v>1.6299999999999999E-2</v>
      </c>
      <c r="L2072" s="19" t="s">
        <v>541</v>
      </c>
      <c r="M2072" s="19" t="s">
        <v>541</v>
      </c>
      <c r="N2072" s="19">
        <v>50</v>
      </c>
      <c r="O2072" s="19">
        <v>79.924566659500002</v>
      </c>
      <c r="P2072" s="19">
        <v>66.499037021199996</v>
      </c>
      <c r="Q2072" s="19">
        <v>33.249518510599998</v>
      </c>
      <c r="R2072" s="19" t="s">
        <v>870</v>
      </c>
      <c r="S2072" s="19">
        <v>0.9</v>
      </c>
      <c r="T2072" s="19">
        <v>0.9</v>
      </c>
      <c r="U2072" s="19">
        <v>29.924566659500002</v>
      </c>
      <c r="AA2072" s="19">
        <v>0</v>
      </c>
    </row>
    <row r="2073" spans="1:27" x14ac:dyDescent="0.25">
      <c r="A2073" s="19" t="s">
        <v>874</v>
      </c>
      <c r="B2073" s="19" t="s">
        <v>868</v>
      </c>
      <c r="C2073" s="19" t="s">
        <v>869</v>
      </c>
      <c r="D2073" s="19">
        <v>1.48219983801295</v>
      </c>
      <c r="E2073" s="19" t="s">
        <v>49</v>
      </c>
      <c r="F2073" s="19" t="s">
        <v>50</v>
      </c>
      <c r="G2073" s="19" t="s">
        <v>32</v>
      </c>
      <c r="H2073" s="19" t="s">
        <v>33</v>
      </c>
      <c r="I2073" s="19" t="s">
        <v>34</v>
      </c>
      <c r="J2073" s="19">
        <v>12</v>
      </c>
      <c r="K2073" s="19">
        <v>1.6299999999999999E-2</v>
      </c>
      <c r="L2073" s="19" t="s">
        <v>541</v>
      </c>
      <c r="M2073" s="19" t="s">
        <v>541</v>
      </c>
      <c r="N2073" s="19">
        <v>50</v>
      </c>
      <c r="O2073" s="19">
        <v>90.932505399600004</v>
      </c>
      <c r="P2073" s="19">
        <v>90.961123110200006</v>
      </c>
      <c r="Q2073" s="19">
        <v>45.480561555100003</v>
      </c>
      <c r="R2073" s="19" t="s">
        <v>870</v>
      </c>
      <c r="S2073" s="19">
        <v>0.9</v>
      </c>
      <c r="T2073" s="19">
        <v>0.9</v>
      </c>
      <c r="U2073" s="19">
        <v>40.932505399599997</v>
      </c>
      <c r="AA2073" s="19">
        <v>0</v>
      </c>
    </row>
    <row r="2074" spans="1:27" x14ac:dyDescent="0.25">
      <c r="A2074" s="19" t="s">
        <v>875</v>
      </c>
      <c r="B2074" s="19" t="s">
        <v>868</v>
      </c>
      <c r="C2074" s="19" t="s">
        <v>869</v>
      </c>
      <c r="D2074" s="19">
        <v>1.5436340680505001</v>
      </c>
      <c r="E2074" s="19" t="s">
        <v>52</v>
      </c>
      <c r="F2074" s="19" t="s">
        <v>53</v>
      </c>
      <c r="G2074" s="19" t="s">
        <v>32</v>
      </c>
      <c r="H2074" s="19" t="s">
        <v>33</v>
      </c>
      <c r="I2074" s="19" t="s">
        <v>34</v>
      </c>
      <c r="J2074" s="19">
        <v>16</v>
      </c>
      <c r="K2074" s="19">
        <v>1.6299999999999999E-2</v>
      </c>
      <c r="L2074" s="19" t="s">
        <v>541</v>
      </c>
      <c r="M2074" s="19" t="s">
        <v>541</v>
      </c>
      <c r="N2074" s="19">
        <v>50</v>
      </c>
      <c r="O2074" s="19">
        <v>94.701476567499995</v>
      </c>
      <c r="P2074" s="19">
        <v>99.336614594500006</v>
      </c>
      <c r="Q2074" s="19">
        <v>49.668307297200002</v>
      </c>
      <c r="R2074" s="19" t="s">
        <v>870</v>
      </c>
      <c r="S2074" s="19">
        <v>0.9</v>
      </c>
      <c r="T2074" s="19">
        <v>0.9</v>
      </c>
      <c r="U2074" s="19">
        <v>44.701476567500002</v>
      </c>
      <c r="AA2074" s="19">
        <v>0</v>
      </c>
    </row>
    <row r="2075" spans="1:27" x14ac:dyDescent="0.25">
      <c r="A2075" s="19" t="s">
        <v>876</v>
      </c>
      <c r="B2075" s="19" t="s">
        <v>868</v>
      </c>
      <c r="C2075" s="19" t="s">
        <v>869</v>
      </c>
      <c r="D2075" s="19">
        <v>1.5467733789856599</v>
      </c>
      <c r="E2075" s="19" t="s">
        <v>55</v>
      </c>
      <c r="F2075" s="19" t="s">
        <v>56</v>
      </c>
      <c r="G2075" s="19" t="s">
        <v>32</v>
      </c>
      <c r="H2075" s="19" t="s">
        <v>33</v>
      </c>
      <c r="I2075" s="19" t="s">
        <v>34</v>
      </c>
      <c r="J2075" s="19">
        <v>14</v>
      </c>
      <c r="K2075" s="19">
        <v>1.6299999999999999E-2</v>
      </c>
      <c r="L2075" s="19" t="s">
        <v>541</v>
      </c>
      <c r="M2075" s="19" t="s">
        <v>541</v>
      </c>
      <c r="N2075" s="19">
        <v>50</v>
      </c>
      <c r="O2075" s="19">
        <v>94.894072330399993</v>
      </c>
      <c r="P2075" s="19">
        <v>99.764605178699995</v>
      </c>
      <c r="Q2075" s="19">
        <v>49.882302589299996</v>
      </c>
      <c r="R2075" s="19" t="s">
        <v>870</v>
      </c>
      <c r="S2075" s="19">
        <v>0.9</v>
      </c>
      <c r="T2075" s="19">
        <v>0.9</v>
      </c>
      <c r="U2075" s="19">
        <v>44.8940723304</v>
      </c>
      <c r="AA2075" s="19">
        <v>0</v>
      </c>
    </row>
    <row r="2076" spans="1:27" x14ac:dyDescent="0.25">
      <c r="A2076" s="19" t="s">
        <v>877</v>
      </c>
      <c r="B2076" s="19" t="s">
        <v>868</v>
      </c>
      <c r="C2076" s="19" t="s">
        <v>869</v>
      </c>
      <c r="D2076" s="19">
        <v>1.54849999999999</v>
      </c>
      <c r="E2076" s="19" t="s">
        <v>58</v>
      </c>
      <c r="F2076" s="19" t="s">
        <v>59</v>
      </c>
      <c r="G2076" s="19" t="s">
        <v>32</v>
      </c>
      <c r="H2076" s="19" t="s">
        <v>33</v>
      </c>
      <c r="I2076" s="19" t="s">
        <v>34</v>
      </c>
      <c r="J2076" s="19">
        <v>13</v>
      </c>
      <c r="K2076" s="19">
        <v>1.6299999999999999E-2</v>
      </c>
      <c r="L2076" s="19" t="s">
        <v>541</v>
      </c>
      <c r="M2076" s="19" t="s">
        <v>541</v>
      </c>
      <c r="N2076" s="19">
        <v>50</v>
      </c>
      <c r="O2076" s="19">
        <v>95</v>
      </c>
      <c r="P2076" s="19">
        <v>100</v>
      </c>
      <c r="Q2076" s="19">
        <v>50</v>
      </c>
      <c r="R2076" s="19" t="s">
        <v>870</v>
      </c>
      <c r="S2076" s="19">
        <v>0.9</v>
      </c>
      <c r="T2076" s="19">
        <v>0.9</v>
      </c>
      <c r="U2076" s="19">
        <v>45</v>
      </c>
      <c r="AA2076" s="19">
        <v>0</v>
      </c>
    </row>
    <row r="2077" spans="1:27" x14ac:dyDescent="0.25">
      <c r="A2077" s="19" t="s">
        <v>878</v>
      </c>
      <c r="B2077" s="19" t="s">
        <v>868</v>
      </c>
      <c r="C2077" s="19" t="s">
        <v>869</v>
      </c>
      <c r="D2077" s="19">
        <v>1.7669999999999999</v>
      </c>
      <c r="E2077" s="19" t="s">
        <v>61</v>
      </c>
      <c r="F2077" s="19" t="s">
        <v>62</v>
      </c>
      <c r="G2077" s="19" t="s">
        <v>32</v>
      </c>
      <c r="H2077" s="19" t="s">
        <v>63</v>
      </c>
      <c r="I2077" s="19" t="s">
        <v>64</v>
      </c>
      <c r="J2077" s="19">
        <v>22</v>
      </c>
      <c r="K2077" s="19">
        <v>1.8599999999999998E-2</v>
      </c>
      <c r="L2077" s="19" t="s">
        <v>541</v>
      </c>
      <c r="M2077" s="19" t="s">
        <v>541</v>
      </c>
      <c r="N2077" s="19">
        <v>50</v>
      </c>
      <c r="O2077" s="19">
        <v>95</v>
      </c>
      <c r="P2077" s="19">
        <v>100</v>
      </c>
      <c r="Q2077" s="19">
        <v>50</v>
      </c>
      <c r="R2077" s="19" t="s">
        <v>870</v>
      </c>
      <c r="S2077" s="19">
        <v>0.9</v>
      </c>
      <c r="T2077" s="19">
        <v>0.9</v>
      </c>
      <c r="U2077" s="19">
        <v>45</v>
      </c>
      <c r="AA2077" s="19">
        <v>0</v>
      </c>
    </row>
    <row r="2078" spans="1:27" x14ac:dyDescent="0.25">
      <c r="A2078" s="19" t="s">
        <v>879</v>
      </c>
      <c r="B2078" s="19" t="s">
        <v>868</v>
      </c>
      <c r="C2078" s="19" t="s">
        <v>869</v>
      </c>
      <c r="D2078" s="19">
        <v>1.7669999999999999</v>
      </c>
      <c r="E2078" s="19" t="s">
        <v>66</v>
      </c>
      <c r="F2078" s="19" t="s">
        <v>67</v>
      </c>
      <c r="G2078" s="19" t="s">
        <v>32</v>
      </c>
      <c r="H2078" s="19" t="s">
        <v>63</v>
      </c>
      <c r="I2078" s="19" t="s">
        <v>64</v>
      </c>
      <c r="J2078" s="19">
        <v>20</v>
      </c>
      <c r="K2078" s="19">
        <v>1.8599999999999998E-2</v>
      </c>
      <c r="L2078" s="19" t="s">
        <v>541</v>
      </c>
      <c r="M2078" s="19" t="s">
        <v>541</v>
      </c>
      <c r="N2078" s="19">
        <v>50</v>
      </c>
      <c r="O2078" s="19">
        <v>95</v>
      </c>
      <c r="P2078" s="19">
        <v>100</v>
      </c>
      <c r="Q2078" s="19">
        <v>50</v>
      </c>
      <c r="R2078" s="19" t="s">
        <v>870</v>
      </c>
      <c r="S2078" s="19">
        <v>0.9</v>
      </c>
      <c r="T2078" s="19">
        <v>0.9</v>
      </c>
      <c r="U2078" s="19">
        <v>45</v>
      </c>
      <c r="AA2078" s="19">
        <v>0</v>
      </c>
    </row>
    <row r="2079" spans="1:27" x14ac:dyDescent="0.25">
      <c r="A2079" s="19" t="s">
        <v>880</v>
      </c>
      <c r="B2079" s="19" t="s">
        <v>868</v>
      </c>
      <c r="C2079" s="19" t="s">
        <v>869</v>
      </c>
      <c r="D2079" s="19">
        <v>1.7669999999999999</v>
      </c>
      <c r="E2079" s="19" t="s">
        <v>69</v>
      </c>
      <c r="F2079" s="19" t="s">
        <v>70</v>
      </c>
      <c r="G2079" s="19" t="s">
        <v>32</v>
      </c>
      <c r="H2079" s="19" t="s">
        <v>63</v>
      </c>
      <c r="I2079" s="19" t="s">
        <v>64</v>
      </c>
      <c r="J2079" s="19">
        <v>23</v>
      </c>
      <c r="K2079" s="19">
        <v>1.8599999999999998E-2</v>
      </c>
      <c r="L2079" s="19" t="s">
        <v>541</v>
      </c>
      <c r="M2079" s="19" t="s">
        <v>541</v>
      </c>
      <c r="N2079" s="19">
        <v>50</v>
      </c>
      <c r="O2079" s="19">
        <v>95</v>
      </c>
      <c r="P2079" s="19">
        <v>100</v>
      </c>
      <c r="Q2079" s="19">
        <v>50</v>
      </c>
      <c r="R2079" s="19" t="s">
        <v>870</v>
      </c>
      <c r="S2079" s="19">
        <v>0.9</v>
      </c>
      <c r="T2079" s="19">
        <v>0.9</v>
      </c>
      <c r="U2079" s="19">
        <v>45</v>
      </c>
      <c r="AA2079" s="19">
        <v>0</v>
      </c>
    </row>
    <row r="2080" spans="1:27" x14ac:dyDescent="0.25">
      <c r="A2080" s="19" t="s">
        <v>881</v>
      </c>
      <c r="B2080" s="19" t="s">
        <v>868</v>
      </c>
      <c r="C2080" s="19" t="s">
        <v>869</v>
      </c>
      <c r="D2080" s="19">
        <v>1.7669999999999999</v>
      </c>
      <c r="E2080" s="19" t="s">
        <v>72</v>
      </c>
      <c r="F2080" s="19" t="s">
        <v>73</v>
      </c>
      <c r="G2080" s="19" t="s">
        <v>32</v>
      </c>
      <c r="H2080" s="19" t="s">
        <v>63</v>
      </c>
      <c r="I2080" s="19" t="s">
        <v>64</v>
      </c>
      <c r="J2080" s="19">
        <v>21</v>
      </c>
      <c r="K2080" s="19">
        <v>1.8599999999999998E-2</v>
      </c>
      <c r="L2080" s="19" t="s">
        <v>541</v>
      </c>
      <c r="M2080" s="19" t="s">
        <v>541</v>
      </c>
      <c r="N2080" s="19">
        <v>50</v>
      </c>
      <c r="O2080" s="19">
        <v>95</v>
      </c>
      <c r="P2080" s="19">
        <v>100</v>
      </c>
      <c r="Q2080" s="19">
        <v>50</v>
      </c>
      <c r="R2080" s="19" t="s">
        <v>870</v>
      </c>
      <c r="S2080" s="19">
        <v>0.9</v>
      </c>
      <c r="T2080" s="19">
        <v>0.9</v>
      </c>
      <c r="U2080" s="19">
        <v>45</v>
      </c>
      <c r="AA2080" s="19">
        <v>0</v>
      </c>
    </row>
    <row r="2081" spans="1:27" x14ac:dyDescent="0.25">
      <c r="A2081" s="19" t="s">
        <v>882</v>
      </c>
      <c r="B2081" s="19" t="s">
        <v>868</v>
      </c>
      <c r="C2081" s="19" t="s">
        <v>869</v>
      </c>
      <c r="D2081" s="19">
        <v>1.7669999999999999</v>
      </c>
      <c r="E2081" s="19" t="s">
        <v>75</v>
      </c>
      <c r="F2081" s="19" t="s">
        <v>76</v>
      </c>
      <c r="G2081" s="19" t="s">
        <v>32</v>
      </c>
      <c r="H2081" s="19" t="s">
        <v>63</v>
      </c>
      <c r="I2081" s="19" t="s">
        <v>64</v>
      </c>
      <c r="J2081" s="19">
        <v>24</v>
      </c>
      <c r="K2081" s="19">
        <v>1.8599999999999998E-2</v>
      </c>
      <c r="L2081" s="19" t="s">
        <v>541</v>
      </c>
      <c r="M2081" s="19" t="s">
        <v>541</v>
      </c>
      <c r="N2081" s="19">
        <v>50</v>
      </c>
      <c r="O2081" s="19">
        <v>95</v>
      </c>
      <c r="P2081" s="19">
        <v>100</v>
      </c>
      <c r="Q2081" s="19">
        <v>50</v>
      </c>
      <c r="R2081" s="19" t="s">
        <v>870</v>
      </c>
      <c r="S2081" s="19">
        <v>0.9</v>
      </c>
      <c r="T2081" s="19">
        <v>0.9</v>
      </c>
      <c r="U2081" s="19">
        <v>45</v>
      </c>
      <c r="AA2081" s="19">
        <v>0</v>
      </c>
    </row>
    <row r="2082" spans="1:27" x14ac:dyDescent="0.25">
      <c r="A2082" s="19" t="s">
        <v>883</v>
      </c>
      <c r="B2082" s="19" t="s">
        <v>868</v>
      </c>
      <c r="C2082" s="19" t="s">
        <v>869</v>
      </c>
      <c r="D2082" s="19">
        <v>1.62311821816105</v>
      </c>
      <c r="E2082" s="19" t="s">
        <v>78</v>
      </c>
      <c r="F2082" s="19" t="s">
        <v>79</v>
      </c>
      <c r="G2082" s="19" t="s">
        <v>32</v>
      </c>
      <c r="H2082" s="19" t="s">
        <v>63</v>
      </c>
      <c r="I2082" s="19" t="s">
        <v>64</v>
      </c>
      <c r="J2082" s="19">
        <v>25</v>
      </c>
      <c r="K2082" s="19">
        <v>1.8599999999999998E-2</v>
      </c>
      <c r="L2082" s="19" t="s">
        <v>541</v>
      </c>
      <c r="M2082" s="19" t="s">
        <v>541</v>
      </c>
      <c r="N2082" s="19">
        <v>50</v>
      </c>
      <c r="O2082" s="19">
        <v>87.2644203312</v>
      </c>
      <c r="P2082" s="19">
        <v>82.809822958300003</v>
      </c>
      <c r="Q2082" s="19">
        <v>41.404911479200003</v>
      </c>
      <c r="R2082" s="19" t="s">
        <v>870</v>
      </c>
      <c r="S2082" s="19">
        <v>0.9</v>
      </c>
      <c r="T2082" s="19">
        <v>0.9</v>
      </c>
      <c r="U2082" s="19">
        <v>37.2644203312</v>
      </c>
      <c r="AA2082" s="19">
        <v>0</v>
      </c>
    </row>
    <row r="2083" spans="1:27" x14ac:dyDescent="0.25">
      <c r="A2083" s="19" t="s">
        <v>884</v>
      </c>
      <c r="B2083" s="19" t="s">
        <v>868</v>
      </c>
      <c r="C2083" s="19" t="s">
        <v>869</v>
      </c>
      <c r="D2083" s="19">
        <v>1.71701501079913</v>
      </c>
      <c r="E2083" s="19" t="s">
        <v>82</v>
      </c>
      <c r="F2083" s="19" t="s">
        <v>83</v>
      </c>
      <c r="G2083" s="19" t="s">
        <v>32</v>
      </c>
      <c r="H2083" s="19" t="s">
        <v>63</v>
      </c>
      <c r="I2083" s="19" t="s">
        <v>64</v>
      </c>
      <c r="J2083" s="19">
        <v>26</v>
      </c>
      <c r="K2083" s="19">
        <v>1.8599999999999998E-2</v>
      </c>
      <c r="L2083" s="19" t="s">
        <v>541</v>
      </c>
      <c r="M2083" s="19" t="s">
        <v>541</v>
      </c>
      <c r="N2083" s="19">
        <v>50</v>
      </c>
      <c r="O2083" s="19">
        <v>92.312634989200006</v>
      </c>
      <c r="P2083" s="19">
        <v>94.028077753800005</v>
      </c>
      <c r="Q2083" s="19">
        <v>47.014038876900003</v>
      </c>
      <c r="R2083" s="19" t="s">
        <v>870</v>
      </c>
      <c r="S2083" s="19">
        <v>0.9</v>
      </c>
      <c r="T2083" s="19">
        <v>0.9</v>
      </c>
      <c r="U2083" s="19">
        <v>42.312634989199999</v>
      </c>
      <c r="AA2083" s="19">
        <v>0</v>
      </c>
    </row>
    <row r="2084" spans="1:27" x14ac:dyDescent="0.25">
      <c r="A2084" s="19" t="s">
        <v>885</v>
      </c>
      <c r="B2084" s="19" t="s">
        <v>868</v>
      </c>
      <c r="C2084" s="19" t="s">
        <v>869</v>
      </c>
      <c r="D2084" s="19">
        <v>2.9898947084233201</v>
      </c>
      <c r="E2084" s="19" t="s">
        <v>85</v>
      </c>
      <c r="F2084" s="19" t="s">
        <v>86</v>
      </c>
      <c r="G2084" s="19" t="s">
        <v>32</v>
      </c>
      <c r="H2084" s="19" t="s">
        <v>87</v>
      </c>
      <c r="I2084" s="19" t="s">
        <v>88</v>
      </c>
      <c r="J2084" s="19">
        <v>35</v>
      </c>
      <c r="K2084" s="19">
        <v>3.2500000000000001E-2</v>
      </c>
      <c r="L2084" s="19" t="s">
        <v>541</v>
      </c>
      <c r="M2084" s="19" t="s">
        <v>541</v>
      </c>
      <c r="N2084" s="19">
        <v>50</v>
      </c>
      <c r="O2084" s="19">
        <v>91.996760259200002</v>
      </c>
      <c r="P2084" s="19">
        <v>93.326133909299998</v>
      </c>
      <c r="Q2084" s="19">
        <v>46.663066954599998</v>
      </c>
      <c r="R2084" s="19" t="s">
        <v>870</v>
      </c>
      <c r="S2084" s="19">
        <v>0.9</v>
      </c>
      <c r="T2084" s="19">
        <v>0.9</v>
      </c>
      <c r="U2084" s="19">
        <v>41.996760259200002</v>
      </c>
      <c r="AA2084" s="19">
        <v>0</v>
      </c>
    </row>
    <row r="2085" spans="1:27" x14ac:dyDescent="0.25">
      <c r="A2085" s="19" t="s">
        <v>886</v>
      </c>
      <c r="B2085" s="19" t="s">
        <v>868</v>
      </c>
      <c r="C2085" s="19" t="s">
        <v>869</v>
      </c>
      <c r="D2085" s="19">
        <v>2.2611589726918</v>
      </c>
      <c r="E2085" s="19" t="s">
        <v>90</v>
      </c>
      <c r="F2085" s="19" t="s">
        <v>91</v>
      </c>
      <c r="G2085" s="19" t="s">
        <v>32</v>
      </c>
      <c r="H2085" s="19" t="s">
        <v>87</v>
      </c>
      <c r="I2085" s="19" t="s">
        <v>88</v>
      </c>
      <c r="J2085" s="19">
        <v>33</v>
      </c>
      <c r="K2085" s="19">
        <v>3.2500000000000001E-2</v>
      </c>
      <c r="L2085" s="19" t="s">
        <v>541</v>
      </c>
      <c r="M2085" s="19" t="s">
        <v>541</v>
      </c>
      <c r="N2085" s="19">
        <v>50</v>
      </c>
      <c r="O2085" s="19">
        <v>69.574122236700006</v>
      </c>
      <c r="P2085" s="19">
        <v>43.498049414800001</v>
      </c>
      <c r="Q2085" s="19">
        <v>21.7490247074</v>
      </c>
      <c r="R2085" s="19" t="s">
        <v>870</v>
      </c>
      <c r="S2085" s="19">
        <v>0.9</v>
      </c>
      <c r="T2085" s="19">
        <v>0.9</v>
      </c>
      <c r="U2085" s="19">
        <v>19.574122236699999</v>
      </c>
      <c r="AA2085" s="19">
        <v>0</v>
      </c>
    </row>
    <row r="2086" spans="1:27" x14ac:dyDescent="0.25">
      <c r="A2086" s="19" t="s">
        <v>887</v>
      </c>
      <c r="B2086" s="19" t="s">
        <v>868</v>
      </c>
      <c r="C2086" s="19" t="s">
        <v>869</v>
      </c>
      <c r="D2086" s="19">
        <v>3.0874999999999999</v>
      </c>
      <c r="E2086" s="19" t="s">
        <v>93</v>
      </c>
      <c r="F2086" s="19" t="s">
        <v>94</v>
      </c>
      <c r="G2086" s="19" t="s">
        <v>32</v>
      </c>
      <c r="H2086" s="19" t="s">
        <v>87</v>
      </c>
      <c r="I2086" s="19" t="s">
        <v>88</v>
      </c>
      <c r="J2086" s="19">
        <v>34</v>
      </c>
      <c r="K2086" s="19">
        <v>3.2500000000000001E-2</v>
      </c>
      <c r="L2086" s="19" t="s">
        <v>541</v>
      </c>
      <c r="M2086" s="19" t="s">
        <v>541</v>
      </c>
      <c r="N2086" s="19">
        <v>50</v>
      </c>
      <c r="O2086" s="19">
        <v>95</v>
      </c>
      <c r="P2086" s="19">
        <v>100</v>
      </c>
      <c r="Q2086" s="19">
        <v>50</v>
      </c>
      <c r="R2086" s="19" t="s">
        <v>870</v>
      </c>
      <c r="S2086" s="19">
        <v>0.9</v>
      </c>
      <c r="T2086" s="19">
        <v>0.9</v>
      </c>
      <c r="U2086" s="19">
        <v>45</v>
      </c>
      <c r="AA2086" s="19">
        <v>0</v>
      </c>
    </row>
    <row r="2087" spans="1:27" x14ac:dyDescent="0.25">
      <c r="A2087" s="19" t="s">
        <v>888</v>
      </c>
      <c r="B2087" s="19" t="s">
        <v>868</v>
      </c>
      <c r="C2087" s="19" t="s">
        <v>869</v>
      </c>
      <c r="D2087" s="19">
        <v>4.17</v>
      </c>
      <c r="E2087" s="19" t="s">
        <v>132</v>
      </c>
      <c r="F2087" s="19" t="s">
        <v>133</v>
      </c>
      <c r="G2087" s="19" t="s">
        <v>134</v>
      </c>
      <c r="H2087" s="19" t="s">
        <v>87</v>
      </c>
      <c r="I2087" s="19" t="s">
        <v>135</v>
      </c>
      <c r="J2087" s="19">
        <v>11</v>
      </c>
      <c r="K2087" s="19">
        <v>4.1700000000000001E-2</v>
      </c>
      <c r="L2087" s="19" t="s">
        <v>541</v>
      </c>
      <c r="M2087" s="19" t="s">
        <v>541</v>
      </c>
      <c r="N2087" s="19">
        <v>50</v>
      </c>
      <c r="O2087" s="19">
        <v>100</v>
      </c>
      <c r="P2087" s="19">
        <v>100</v>
      </c>
      <c r="Q2087" s="19">
        <v>50</v>
      </c>
      <c r="R2087" s="19" t="s">
        <v>870</v>
      </c>
      <c r="S2087" s="19">
        <v>0.9</v>
      </c>
      <c r="T2087" s="19">
        <v>1</v>
      </c>
      <c r="U2087" s="19">
        <v>50</v>
      </c>
      <c r="AA2087" s="19">
        <v>0</v>
      </c>
    </row>
    <row r="2088" spans="1:27" x14ac:dyDescent="0.25">
      <c r="A2088" s="19" t="s">
        <v>889</v>
      </c>
      <c r="B2088" s="19" t="s">
        <v>868</v>
      </c>
      <c r="C2088" s="19" t="s">
        <v>869</v>
      </c>
      <c r="D2088" s="19">
        <v>4.17</v>
      </c>
      <c r="E2088" s="19" t="s">
        <v>137</v>
      </c>
      <c r="F2088" s="19" t="s">
        <v>138</v>
      </c>
      <c r="G2088" s="19" t="s">
        <v>134</v>
      </c>
      <c r="H2088" s="19" t="s">
        <v>87</v>
      </c>
      <c r="I2088" s="19" t="s">
        <v>135</v>
      </c>
      <c r="J2088" s="19">
        <v>9</v>
      </c>
      <c r="K2088" s="19">
        <v>4.1700000000000001E-2</v>
      </c>
      <c r="L2088" s="19" t="s">
        <v>541</v>
      </c>
      <c r="M2088" s="19" t="s">
        <v>541</v>
      </c>
      <c r="N2088" s="19">
        <v>50</v>
      </c>
      <c r="O2088" s="19">
        <v>100</v>
      </c>
      <c r="P2088" s="19">
        <v>100</v>
      </c>
      <c r="Q2088" s="19">
        <v>50</v>
      </c>
      <c r="R2088" s="19" t="s">
        <v>870</v>
      </c>
      <c r="S2088" s="19">
        <v>0.9</v>
      </c>
      <c r="T2088" s="19">
        <v>1</v>
      </c>
      <c r="U2088" s="19">
        <v>50</v>
      </c>
      <c r="AA2088" s="19">
        <v>0</v>
      </c>
    </row>
    <row r="2089" spans="1:27" x14ac:dyDescent="0.25">
      <c r="A2089" s="19" t="s">
        <v>890</v>
      </c>
      <c r="B2089" s="19" t="s">
        <v>868</v>
      </c>
      <c r="C2089" s="19" t="s">
        <v>869</v>
      </c>
      <c r="D2089" s="19">
        <v>2.78</v>
      </c>
      <c r="E2089" s="19" t="s">
        <v>140</v>
      </c>
      <c r="F2089" s="19" t="s">
        <v>141</v>
      </c>
      <c r="G2089" s="19" t="s">
        <v>134</v>
      </c>
      <c r="H2089" s="19" t="s">
        <v>87</v>
      </c>
      <c r="I2089" s="19" t="s">
        <v>135</v>
      </c>
      <c r="J2089" s="19">
        <v>10</v>
      </c>
      <c r="K2089" s="19">
        <v>4.1700000000000001E-2</v>
      </c>
      <c r="L2089" s="19" t="s">
        <v>541</v>
      </c>
      <c r="M2089" s="19" t="s">
        <v>541</v>
      </c>
      <c r="N2089" s="19">
        <v>50</v>
      </c>
      <c r="O2089" s="19">
        <v>66.666666666699996</v>
      </c>
      <c r="P2089" s="19">
        <v>33.333333333299997</v>
      </c>
      <c r="Q2089" s="19">
        <v>16.666666666699999</v>
      </c>
      <c r="R2089" s="19" t="s">
        <v>870</v>
      </c>
      <c r="S2089" s="19">
        <v>0.9</v>
      </c>
      <c r="T2089" s="19">
        <v>1</v>
      </c>
      <c r="U2089" s="19">
        <v>16.666666666699999</v>
      </c>
      <c r="AA2089" s="19">
        <v>0</v>
      </c>
    </row>
    <row r="2090" spans="1:27" x14ac:dyDescent="0.25">
      <c r="A2090" s="19" t="s">
        <v>891</v>
      </c>
      <c r="B2090" s="19" t="s">
        <v>868</v>
      </c>
      <c r="C2090" s="19" t="s">
        <v>869</v>
      </c>
      <c r="D2090" s="19">
        <v>2.5</v>
      </c>
      <c r="E2090" s="19" t="s">
        <v>144</v>
      </c>
      <c r="F2090" s="19" t="s">
        <v>145</v>
      </c>
      <c r="G2090" s="19" t="s">
        <v>134</v>
      </c>
      <c r="H2090" s="19" t="s">
        <v>146</v>
      </c>
      <c r="I2090" s="19" t="s">
        <v>147</v>
      </c>
      <c r="J2090" s="19">
        <v>4</v>
      </c>
      <c r="K2090" s="19">
        <v>2.5000000000000001E-2</v>
      </c>
      <c r="L2090" s="19" t="s">
        <v>541</v>
      </c>
      <c r="M2090" s="19" t="s">
        <v>541</v>
      </c>
      <c r="N2090" s="19">
        <v>50</v>
      </c>
      <c r="O2090" s="19">
        <v>100</v>
      </c>
      <c r="P2090" s="19">
        <v>100</v>
      </c>
      <c r="Q2090" s="19">
        <v>50</v>
      </c>
      <c r="R2090" s="19" t="s">
        <v>870</v>
      </c>
      <c r="S2090" s="19">
        <v>0.9</v>
      </c>
      <c r="T2090" s="19">
        <v>1</v>
      </c>
      <c r="U2090" s="19">
        <v>50</v>
      </c>
      <c r="AA2090" s="19">
        <v>0</v>
      </c>
    </row>
    <row r="2091" spans="1:27" x14ac:dyDescent="0.25">
      <c r="A2091" s="19" t="s">
        <v>892</v>
      </c>
      <c r="B2091" s="19" t="s">
        <v>868</v>
      </c>
      <c r="C2091" s="19" t="s">
        <v>869</v>
      </c>
      <c r="D2091" s="19">
        <v>2.5</v>
      </c>
      <c r="E2091" s="19" t="s">
        <v>149</v>
      </c>
      <c r="F2091" s="19" t="s">
        <v>150</v>
      </c>
      <c r="G2091" s="19" t="s">
        <v>134</v>
      </c>
      <c r="H2091" s="19" t="s">
        <v>146</v>
      </c>
      <c r="I2091" s="19" t="s">
        <v>147</v>
      </c>
      <c r="J2091" s="19">
        <v>5</v>
      </c>
      <c r="K2091" s="19">
        <v>2.5000000000000001E-2</v>
      </c>
      <c r="L2091" s="19" t="s">
        <v>541</v>
      </c>
      <c r="M2091" s="19" t="s">
        <v>541</v>
      </c>
      <c r="N2091" s="19">
        <v>50</v>
      </c>
      <c r="O2091" s="19">
        <v>100</v>
      </c>
      <c r="P2091" s="19">
        <v>100</v>
      </c>
      <c r="Q2091" s="19">
        <v>50</v>
      </c>
      <c r="R2091" s="19" t="s">
        <v>870</v>
      </c>
      <c r="S2091" s="19">
        <v>0.9</v>
      </c>
      <c r="T2091" s="19">
        <v>1</v>
      </c>
      <c r="U2091" s="19">
        <v>50</v>
      </c>
      <c r="AA2091" s="19">
        <v>0</v>
      </c>
    </row>
    <row r="2092" spans="1:27" x14ac:dyDescent="0.25">
      <c r="A2092" s="19" t="s">
        <v>893</v>
      </c>
      <c r="B2092" s="19" t="s">
        <v>868</v>
      </c>
      <c r="C2092" s="19" t="s">
        <v>869</v>
      </c>
      <c r="D2092" s="19">
        <v>2.5</v>
      </c>
      <c r="E2092" s="19" t="s">
        <v>152</v>
      </c>
      <c r="F2092" s="19" t="s">
        <v>153</v>
      </c>
      <c r="G2092" s="19" t="s">
        <v>134</v>
      </c>
      <c r="H2092" s="19" t="s">
        <v>146</v>
      </c>
      <c r="I2092" s="19" t="s">
        <v>147</v>
      </c>
      <c r="J2092" s="19">
        <v>6</v>
      </c>
      <c r="K2092" s="19">
        <v>2.5000000000000001E-2</v>
      </c>
      <c r="L2092" s="19" t="s">
        <v>541</v>
      </c>
      <c r="M2092" s="19" t="s">
        <v>541</v>
      </c>
      <c r="N2092" s="19">
        <v>50</v>
      </c>
      <c r="O2092" s="19">
        <v>100</v>
      </c>
      <c r="P2092" s="19">
        <v>100</v>
      </c>
      <c r="Q2092" s="19">
        <v>50</v>
      </c>
      <c r="R2092" s="19" t="s">
        <v>870</v>
      </c>
      <c r="S2092" s="19">
        <v>0.9</v>
      </c>
      <c r="T2092" s="19">
        <v>1</v>
      </c>
      <c r="U2092" s="19">
        <v>50</v>
      </c>
      <c r="AA2092" s="19">
        <v>0</v>
      </c>
    </row>
    <row r="2093" spans="1:27" x14ac:dyDescent="0.25">
      <c r="A2093" s="19" t="s">
        <v>894</v>
      </c>
      <c r="B2093" s="19" t="s">
        <v>868</v>
      </c>
      <c r="C2093" s="19" t="s">
        <v>869</v>
      </c>
      <c r="D2093" s="19">
        <v>2.5</v>
      </c>
      <c r="E2093" s="19" t="s">
        <v>155</v>
      </c>
      <c r="F2093" s="19" t="s">
        <v>156</v>
      </c>
      <c r="G2093" s="19" t="s">
        <v>134</v>
      </c>
      <c r="H2093" s="19" t="s">
        <v>146</v>
      </c>
      <c r="I2093" s="19" t="s">
        <v>147</v>
      </c>
      <c r="J2093" s="19">
        <v>7</v>
      </c>
      <c r="K2093" s="19">
        <v>2.5000000000000001E-2</v>
      </c>
      <c r="L2093" s="19" t="s">
        <v>541</v>
      </c>
      <c r="M2093" s="19" t="s">
        <v>541</v>
      </c>
      <c r="N2093" s="19">
        <v>50</v>
      </c>
      <c r="O2093" s="19">
        <v>100</v>
      </c>
      <c r="P2093" s="19">
        <v>100</v>
      </c>
      <c r="Q2093" s="19">
        <v>50</v>
      </c>
      <c r="R2093" s="19" t="s">
        <v>870</v>
      </c>
      <c r="S2093" s="19">
        <v>0.9</v>
      </c>
      <c r="T2093" s="19">
        <v>1</v>
      </c>
      <c r="U2093" s="19">
        <v>50</v>
      </c>
      <c r="AA2093" s="19">
        <v>0</v>
      </c>
    </row>
    <row r="2094" spans="1:27" x14ac:dyDescent="0.25">
      <c r="A2094" s="19" t="s">
        <v>895</v>
      </c>
      <c r="B2094" s="19" t="s">
        <v>868</v>
      </c>
      <c r="C2094" s="19" t="s">
        <v>869</v>
      </c>
      <c r="D2094" s="19">
        <v>1.71875</v>
      </c>
      <c r="E2094" s="19" t="s">
        <v>158</v>
      </c>
      <c r="F2094" s="19" t="s">
        <v>159</v>
      </c>
      <c r="G2094" s="19" t="s">
        <v>134</v>
      </c>
      <c r="H2094" s="19" t="s">
        <v>146</v>
      </c>
      <c r="I2094" s="19" t="s">
        <v>147</v>
      </c>
      <c r="J2094" s="19">
        <v>8</v>
      </c>
      <c r="K2094" s="19">
        <v>2.5000000000000001E-2</v>
      </c>
      <c r="L2094" s="19" t="s">
        <v>541</v>
      </c>
      <c r="M2094" s="19" t="s">
        <v>541</v>
      </c>
      <c r="N2094" s="19">
        <v>50</v>
      </c>
      <c r="O2094" s="19">
        <v>68.75</v>
      </c>
      <c r="P2094" s="19">
        <v>37.5</v>
      </c>
      <c r="Q2094" s="19">
        <v>18.75</v>
      </c>
      <c r="R2094" s="19" t="s">
        <v>870</v>
      </c>
      <c r="S2094" s="19">
        <v>0.9</v>
      </c>
      <c r="T2094" s="19">
        <v>1</v>
      </c>
      <c r="U2094" s="19">
        <v>18.75</v>
      </c>
      <c r="AA2094" s="19">
        <v>0</v>
      </c>
    </row>
    <row r="2095" spans="1:27" x14ac:dyDescent="0.25">
      <c r="A2095" s="19" t="s">
        <v>896</v>
      </c>
      <c r="B2095" s="19" t="s">
        <v>868</v>
      </c>
      <c r="C2095" s="19" t="s">
        <v>869</v>
      </c>
      <c r="D2095" s="19">
        <v>0</v>
      </c>
      <c r="E2095" s="19" t="s">
        <v>96</v>
      </c>
      <c r="F2095" s="19" t="s">
        <v>97</v>
      </c>
      <c r="G2095" s="19" t="s">
        <v>32</v>
      </c>
      <c r="H2095" s="19" t="s">
        <v>87</v>
      </c>
      <c r="I2095" s="19" t="s">
        <v>88</v>
      </c>
      <c r="J2095" s="19">
        <v>36</v>
      </c>
      <c r="K2095" s="19">
        <v>3.2500000000000001E-2</v>
      </c>
      <c r="L2095" s="19" t="s">
        <v>35</v>
      </c>
      <c r="N2095" s="19">
        <v>0</v>
      </c>
      <c r="O2095" s="19">
        <v>0</v>
      </c>
      <c r="P2095" s="19">
        <v>0</v>
      </c>
      <c r="Q2095" s="19">
        <v>0</v>
      </c>
      <c r="R2095" s="19" t="s">
        <v>870</v>
      </c>
      <c r="S2095" s="19">
        <v>0.9</v>
      </c>
      <c r="T2095" s="19">
        <v>1</v>
      </c>
      <c r="U2095" s="19">
        <v>0</v>
      </c>
      <c r="V2095" s="19" t="s">
        <v>36</v>
      </c>
      <c r="W2095" s="19">
        <v>0</v>
      </c>
      <c r="Z2095" s="19">
        <v>0</v>
      </c>
      <c r="AA2095" s="19">
        <v>0</v>
      </c>
    </row>
    <row r="2096" spans="1:27" x14ac:dyDescent="0.25">
      <c r="A2096" s="19" t="s">
        <v>897</v>
      </c>
      <c r="B2096" s="19" t="s">
        <v>868</v>
      </c>
      <c r="C2096" s="19" t="s">
        <v>869</v>
      </c>
      <c r="D2096" s="19">
        <v>0</v>
      </c>
      <c r="E2096" s="19" t="s">
        <v>99</v>
      </c>
      <c r="F2096" s="19" t="s">
        <v>100</v>
      </c>
      <c r="G2096" s="19" t="s">
        <v>32</v>
      </c>
      <c r="H2096" s="19" t="s">
        <v>101</v>
      </c>
      <c r="I2096" s="19" t="s">
        <v>102</v>
      </c>
      <c r="J2096" s="19">
        <v>39</v>
      </c>
      <c r="K2096" s="19">
        <v>4.3299999999999998E-2</v>
      </c>
      <c r="L2096" s="19" t="s">
        <v>35</v>
      </c>
      <c r="M2096" s="19" t="s">
        <v>103</v>
      </c>
      <c r="N2096" s="19">
        <v>0</v>
      </c>
      <c r="O2096" s="19">
        <v>0</v>
      </c>
      <c r="P2096" s="19">
        <v>0</v>
      </c>
      <c r="Q2096" s="19">
        <v>0</v>
      </c>
      <c r="R2096" s="19" t="s">
        <v>870</v>
      </c>
      <c r="S2096" s="19">
        <v>0.9</v>
      </c>
      <c r="T2096" s="19">
        <v>1</v>
      </c>
      <c r="U2096" s="19">
        <v>0</v>
      </c>
      <c r="V2096" s="19" t="s">
        <v>80</v>
      </c>
      <c r="W2096" s="19">
        <v>0</v>
      </c>
      <c r="Y2096" s="19" t="s">
        <v>103</v>
      </c>
      <c r="Z2096" s="19">
        <v>50</v>
      </c>
      <c r="AA2096" s="19">
        <v>0</v>
      </c>
    </row>
    <row r="2097" spans="1:27" x14ac:dyDescent="0.25">
      <c r="A2097" s="19" t="s">
        <v>898</v>
      </c>
      <c r="B2097" s="19" t="s">
        <v>868</v>
      </c>
      <c r="C2097" s="19" t="s">
        <v>869</v>
      </c>
      <c r="D2097" s="19">
        <v>0</v>
      </c>
      <c r="E2097" s="19" t="s">
        <v>105</v>
      </c>
      <c r="F2097" s="19" t="s">
        <v>106</v>
      </c>
      <c r="G2097" s="19" t="s">
        <v>32</v>
      </c>
      <c r="H2097" s="19" t="s">
        <v>101</v>
      </c>
      <c r="I2097" s="19" t="s">
        <v>102</v>
      </c>
      <c r="J2097" s="19">
        <v>38</v>
      </c>
      <c r="K2097" s="19">
        <v>4.3299999999999998E-2</v>
      </c>
      <c r="L2097" s="19" t="s">
        <v>35</v>
      </c>
      <c r="M2097" s="19" t="s">
        <v>103</v>
      </c>
      <c r="N2097" s="19">
        <v>0</v>
      </c>
      <c r="O2097" s="19">
        <v>0</v>
      </c>
      <c r="P2097" s="19">
        <v>0</v>
      </c>
      <c r="Q2097" s="19">
        <v>0</v>
      </c>
      <c r="R2097" s="19" t="s">
        <v>870</v>
      </c>
      <c r="S2097" s="19">
        <v>0.9</v>
      </c>
      <c r="T2097" s="19">
        <v>1</v>
      </c>
      <c r="U2097" s="19">
        <v>0</v>
      </c>
      <c r="V2097" s="19" t="s">
        <v>80</v>
      </c>
      <c r="W2097" s="19">
        <v>0</v>
      </c>
      <c r="Y2097" s="19" t="s">
        <v>103</v>
      </c>
      <c r="Z2097" s="19">
        <v>50</v>
      </c>
      <c r="AA2097" s="19">
        <v>0</v>
      </c>
    </row>
    <row r="2098" spans="1:27" x14ac:dyDescent="0.25">
      <c r="A2098" s="19" t="s">
        <v>899</v>
      </c>
      <c r="B2098" s="19" t="s">
        <v>868</v>
      </c>
      <c r="C2098" s="19" t="s">
        <v>869</v>
      </c>
      <c r="D2098" s="19">
        <v>0</v>
      </c>
      <c r="E2098" s="19" t="s">
        <v>108</v>
      </c>
      <c r="F2098" s="19" t="s">
        <v>109</v>
      </c>
      <c r="G2098" s="19" t="s">
        <v>32</v>
      </c>
      <c r="H2098" s="19" t="s">
        <v>101</v>
      </c>
      <c r="I2098" s="19" t="s">
        <v>102</v>
      </c>
      <c r="J2098" s="19">
        <v>37</v>
      </c>
      <c r="K2098" s="19">
        <v>4.3299999999999998E-2</v>
      </c>
      <c r="L2098" s="19" t="s">
        <v>35</v>
      </c>
      <c r="M2098" s="19" t="s">
        <v>110</v>
      </c>
      <c r="N2098" s="19">
        <v>0</v>
      </c>
      <c r="O2098" s="19">
        <v>0</v>
      </c>
      <c r="P2098" s="19">
        <v>0</v>
      </c>
      <c r="Q2098" s="19">
        <v>0</v>
      </c>
      <c r="R2098" s="19" t="s">
        <v>870</v>
      </c>
      <c r="S2098" s="19">
        <v>0.9</v>
      </c>
      <c r="T2098" s="19">
        <v>1</v>
      </c>
      <c r="U2098" s="19">
        <v>0</v>
      </c>
      <c r="V2098" s="19" t="s">
        <v>80</v>
      </c>
      <c r="W2098" s="19">
        <v>0</v>
      </c>
      <c r="Y2098" s="19" t="s">
        <v>110</v>
      </c>
      <c r="Z2098" s="19">
        <v>16.664999999999999</v>
      </c>
      <c r="AA2098" s="19">
        <v>0</v>
      </c>
    </row>
    <row r="2099" spans="1:27" x14ac:dyDescent="0.25">
      <c r="A2099" s="19" t="s">
        <v>900</v>
      </c>
      <c r="B2099" s="19" t="s">
        <v>868</v>
      </c>
      <c r="C2099" s="19" t="s">
        <v>869</v>
      </c>
      <c r="D2099" s="19">
        <v>0</v>
      </c>
      <c r="E2099" s="19" t="s">
        <v>112</v>
      </c>
      <c r="F2099" s="19" t="s">
        <v>113</v>
      </c>
      <c r="G2099" s="19" t="s">
        <v>32</v>
      </c>
      <c r="H2099" s="19" t="s">
        <v>114</v>
      </c>
      <c r="I2099" s="19" t="s">
        <v>115</v>
      </c>
      <c r="J2099" s="19">
        <v>30</v>
      </c>
      <c r="K2099" s="19">
        <v>2.1700000000000001E-2</v>
      </c>
      <c r="L2099" s="19" t="s">
        <v>35</v>
      </c>
      <c r="M2099" s="19" t="s">
        <v>103</v>
      </c>
      <c r="N2099" s="19">
        <v>0</v>
      </c>
      <c r="O2099" s="19">
        <v>0</v>
      </c>
      <c r="P2099" s="19">
        <v>0</v>
      </c>
      <c r="Q2099" s="19">
        <v>0</v>
      </c>
      <c r="R2099" s="19" t="s">
        <v>870</v>
      </c>
      <c r="S2099" s="19">
        <v>0.9</v>
      </c>
      <c r="T2099" s="19">
        <v>1</v>
      </c>
      <c r="U2099" s="19">
        <v>0</v>
      </c>
      <c r="V2099" s="19" t="s">
        <v>80</v>
      </c>
      <c r="W2099" s="19">
        <v>0</v>
      </c>
      <c r="Y2099" s="19" t="s">
        <v>103</v>
      </c>
      <c r="Z2099" s="19">
        <v>50</v>
      </c>
      <c r="AA2099" s="19">
        <v>0</v>
      </c>
    </row>
    <row r="2100" spans="1:27" x14ac:dyDescent="0.25">
      <c r="A2100" s="19" t="s">
        <v>901</v>
      </c>
      <c r="B2100" s="19" t="s">
        <v>868</v>
      </c>
      <c r="C2100" s="19" t="s">
        <v>869</v>
      </c>
      <c r="D2100" s="19">
        <v>1.085</v>
      </c>
      <c r="E2100" s="19" t="s">
        <v>117</v>
      </c>
      <c r="F2100" s="19" t="s">
        <v>118</v>
      </c>
      <c r="G2100" s="19" t="s">
        <v>32</v>
      </c>
      <c r="H2100" s="19" t="s">
        <v>114</v>
      </c>
      <c r="I2100" s="19" t="s">
        <v>115</v>
      </c>
      <c r="J2100" s="19">
        <v>31</v>
      </c>
      <c r="K2100" s="19">
        <v>2.1700000000000001E-2</v>
      </c>
      <c r="L2100" s="19" t="s">
        <v>35</v>
      </c>
      <c r="M2100" s="19" t="s">
        <v>103</v>
      </c>
      <c r="N2100" s="19">
        <v>50</v>
      </c>
      <c r="O2100" s="19">
        <v>50</v>
      </c>
      <c r="P2100" s="19">
        <v>0</v>
      </c>
      <c r="Q2100" s="19">
        <v>0</v>
      </c>
      <c r="R2100" s="19" t="s">
        <v>870</v>
      </c>
      <c r="S2100" s="19">
        <v>0.9</v>
      </c>
      <c r="T2100" s="19">
        <v>1</v>
      </c>
      <c r="U2100" s="19">
        <v>0</v>
      </c>
      <c r="V2100" s="19" t="s">
        <v>41</v>
      </c>
      <c r="W2100" s="19">
        <v>1</v>
      </c>
      <c r="Y2100" s="19" t="s">
        <v>103</v>
      </c>
      <c r="Z2100" s="19">
        <v>50</v>
      </c>
      <c r="AA2100" s="19">
        <v>50</v>
      </c>
    </row>
    <row r="2101" spans="1:27" x14ac:dyDescent="0.25">
      <c r="A2101" s="19" t="s">
        <v>902</v>
      </c>
      <c r="B2101" s="19" t="s">
        <v>868</v>
      </c>
      <c r="C2101" s="19" t="s">
        <v>869</v>
      </c>
      <c r="D2101" s="19">
        <v>1.085</v>
      </c>
      <c r="E2101" s="19" t="s">
        <v>120</v>
      </c>
      <c r="F2101" s="19" t="s">
        <v>121</v>
      </c>
      <c r="G2101" s="19" t="s">
        <v>32</v>
      </c>
      <c r="H2101" s="19" t="s">
        <v>114</v>
      </c>
      <c r="I2101" s="19" t="s">
        <v>115</v>
      </c>
      <c r="J2101" s="19">
        <v>28</v>
      </c>
      <c r="K2101" s="19">
        <v>2.1700000000000001E-2</v>
      </c>
      <c r="L2101" s="19" t="s">
        <v>35</v>
      </c>
      <c r="M2101" s="19" t="s">
        <v>103</v>
      </c>
      <c r="N2101" s="19">
        <v>50</v>
      </c>
      <c r="O2101" s="19">
        <v>50</v>
      </c>
      <c r="P2101" s="19">
        <v>0</v>
      </c>
      <c r="Q2101" s="19">
        <v>0</v>
      </c>
      <c r="R2101" s="19" t="s">
        <v>870</v>
      </c>
      <c r="S2101" s="19">
        <v>0.9</v>
      </c>
      <c r="T2101" s="19">
        <v>1</v>
      </c>
      <c r="U2101" s="19">
        <v>0</v>
      </c>
      <c r="V2101" s="19" t="s">
        <v>41</v>
      </c>
      <c r="W2101" s="19">
        <v>1</v>
      </c>
      <c r="Y2101" s="19" t="s">
        <v>103</v>
      </c>
      <c r="Z2101" s="19">
        <v>50</v>
      </c>
      <c r="AA2101" s="19">
        <v>50</v>
      </c>
    </row>
    <row r="2102" spans="1:27" x14ac:dyDescent="0.25">
      <c r="A2102" s="19" t="s">
        <v>903</v>
      </c>
      <c r="B2102" s="19" t="s">
        <v>868</v>
      </c>
      <c r="C2102" s="19" t="s">
        <v>869</v>
      </c>
      <c r="D2102" s="19">
        <v>0</v>
      </c>
      <c r="E2102" s="19" t="s">
        <v>123</v>
      </c>
      <c r="F2102" s="19" t="s">
        <v>124</v>
      </c>
      <c r="G2102" s="19" t="s">
        <v>32</v>
      </c>
      <c r="H2102" s="19" t="s">
        <v>114</v>
      </c>
      <c r="I2102" s="19" t="s">
        <v>115</v>
      </c>
      <c r="J2102" s="19">
        <v>27</v>
      </c>
      <c r="K2102" s="19">
        <v>2.1700000000000001E-2</v>
      </c>
      <c r="L2102" s="19" t="s">
        <v>35</v>
      </c>
      <c r="M2102" s="19" t="s">
        <v>103</v>
      </c>
      <c r="N2102" s="19">
        <v>0</v>
      </c>
      <c r="O2102" s="19">
        <v>0</v>
      </c>
      <c r="P2102" s="19">
        <v>0</v>
      </c>
      <c r="Q2102" s="19">
        <v>0</v>
      </c>
      <c r="R2102" s="19" t="s">
        <v>870</v>
      </c>
      <c r="S2102" s="19">
        <v>0.9</v>
      </c>
      <c r="T2102" s="19">
        <v>1</v>
      </c>
      <c r="U2102" s="19">
        <v>0</v>
      </c>
      <c r="V2102" s="19" t="s">
        <v>36</v>
      </c>
      <c r="W2102" s="19">
        <v>0</v>
      </c>
      <c r="Y2102" s="19" t="s">
        <v>103</v>
      </c>
      <c r="Z2102" s="19">
        <v>50</v>
      </c>
      <c r="AA2102" s="19">
        <v>0</v>
      </c>
    </row>
    <row r="2103" spans="1:27" x14ac:dyDescent="0.25">
      <c r="A2103" s="19" t="s">
        <v>904</v>
      </c>
      <c r="B2103" s="19" t="s">
        <v>868</v>
      </c>
      <c r="C2103" s="19" t="s">
        <v>869</v>
      </c>
      <c r="D2103" s="19">
        <v>0</v>
      </c>
      <c r="E2103" s="19" t="s">
        <v>126</v>
      </c>
      <c r="F2103" s="19" t="s">
        <v>127</v>
      </c>
      <c r="G2103" s="19" t="s">
        <v>32</v>
      </c>
      <c r="H2103" s="19" t="s">
        <v>114</v>
      </c>
      <c r="I2103" s="19" t="s">
        <v>115</v>
      </c>
      <c r="J2103" s="19">
        <v>29</v>
      </c>
      <c r="K2103" s="19">
        <v>2.1700000000000001E-2</v>
      </c>
      <c r="L2103" s="19" t="s">
        <v>35</v>
      </c>
      <c r="M2103" s="19" t="s">
        <v>103</v>
      </c>
      <c r="N2103" s="19">
        <v>0</v>
      </c>
      <c r="O2103" s="19">
        <v>0</v>
      </c>
      <c r="P2103" s="19">
        <v>0</v>
      </c>
      <c r="Q2103" s="19">
        <v>0</v>
      </c>
      <c r="R2103" s="19" t="s">
        <v>870</v>
      </c>
      <c r="S2103" s="19">
        <v>0.9</v>
      </c>
      <c r="T2103" s="19">
        <v>1</v>
      </c>
      <c r="U2103" s="19">
        <v>0</v>
      </c>
      <c r="V2103" s="19" t="s">
        <v>80</v>
      </c>
      <c r="W2103" s="19">
        <v>0</v>
      </c>
      <c r="Y2103" s="19" t="s">
        <v>103</v>
      </c>
      <c r="Z2103" s="19">
        <v>50</v>
      </c>
      <c r="AA2103" s="19">
        <v>0</v>
      </c>
    </row>
    <row r="2104" spans="1:27" x14ac:dyDescent="0.25">
      <c r="A2104" s="19" t="s">
        <v>905</v>
      </c>
      <c r="B2104" s="19" t="s">
        <v>868</v>
      </c>
      <c r="C2104" s="19" t="s">
        <v>869</v>
      </c>
      <c r="D2104" s="19">
        <v>1.085</v>
      </c>
      <c r="E2104" s="19" t="s">
        <v>129</v>
      </c>
      <c r="F2104" s="19" t="s">
        <v>130</v>
      </c>
      <c r="G2104" s="19" t="s">
        <v>32</v>
      </c>
      <c r="H2104" s="19" t="s">
        <v>114</v>
      </c>
      <c r="I2104" s="19" t="s">
        <v>115</v>
      </c>
      <c r="J2104" s="19">
        <v>32</v>
      </c>
      <c r="K2104" s="19">
        <v>2.1700000000000001E-2</v>
      </c>
      <c r="L2104" s="19" t="s">
        <v>35</v>
      </c>
      <c r="M2104" s="19" t="s">
        <v>103</v>
      </c>
      <c r="N2104" s="19">
        <v>50</v>
      </c>
      <c r="O2104" s="19">
        <v>50</v>
      </c>
      <c r="P2104" s="19">
        <v>0</v>
      </c>
      <c r="Q2104" s="19">
        <v>0</v>
      </c>
      <c r="R2104" s="19" t="s">
        <v>870</v>
      </c>
      <c r="S2104" s="19">
        <v>0.9</v>
      </c>
      <c r="T2104" s="19">
        <v>1</v>
      </c>
      <c r="U2104" s="19">
        <v>0</v>
      </c>
      <c r="V2104" s="19" t="s">
        <v>41</v>
      </c>
      <c r="W2104" s="19">
        <v>1</v>
      </c>
      <c r="Y2104" s="19" t="s">
        <v>103</v>
      </c>
      <c r="Z2104" s="19">
        <v>50</v>
      </c>
      <c r="AA2104" s="19">
        <v>50</v>
      </c>
    </row>
    <row r="2105" spans="1:27" x14ac:dyDescent="0.25">
      <c r="A2105" s="19" t="s">
        <v>906</v>
      </c>
      <c r="B2105" s="19" t="s">
        <v>868</v>
      </c>
      <c r="C2105" s="19" t="s">
        <v>869</v>
      </c>
      <c r="D2105" s="19">
        <v>3.33</v>
      </c>
      <c r="E2105" s="19" t="s">
        <v>161</v>
      </c>
      <c r="F2105" s="19" t="s">
        <v>162</v>
      </c>
      <c r="G2105" s="19" t="s">
        <v>163</v>
      </c>
      <c r="I2105" s="19" t="s">
        <v>164</v>
      </c>
      <c r="J2105" s="19">
        <v>1</v>
      </c>
      <c r="K2105" s="19">
        <v>3.3300000000000003E-2</v>
      </c>
      <c r="L2105" s="19" t="s">
        <v>35</v>
      </c>
      <c r="M2105" s="19" t="s">
        <v>165</v>
      </c>
      <c r="N2105" s="19">
        <v>100</v>
      </c>
      <c r="O2105" s="19">
        <v>100</v>
      </c>
      <c r="P2105" s="19">
        <v>0</v>
      </c>
      <c r="Q2105" s="19">
        <v>0</v>
      </c>
      <c r="R2105" s="19" t="s">
        <v>870</v>
      </c>
      <c r="S2105" s="19">
        <v>0.9</v>
      </c>
      <c r="T2105" s="19">
        <v>1</v>
      </c>
      <c r="U2105" s="19">
        <v>0</v>
      </c>
      <c r="W2105" s="19">
        <v>0</v>
      </c>
      <c r="X2105" s="19">
        <v>100</v>
      </c>
      <c r="Z2105" s="19">
        <v>0</v>
      </c>
      <c r="AA2105" s="19">
        <v>100</v>
      </c>
    </row>
    <row r="2106" spans="1:27" x14ac:dyDescent="0.25">
      <c r="A2106" s="19" t="s">
        <v>907</v>
      </c>
      <c r="B2106" s="19" t="s">
        <v>868</v>
      </c>
      <c r="C2106" s="19" t="s">
        <v>869</v>
      </c>
      <c r="D2106" s="19">
        <v>3.33</v>
      </c>
      <c r="E2106" s="19" t="s">
        <v>167</v>
      </c>
      <c r="F2106" s="19" t="s">
        <v>168</v>
      </c>
      <c r="G2106" s="19" t="s">
        <v>163</v>
      </c>
      <c r="I2106" s="19" t="s">
        <v>164</v>
      </c>
      <c r="J2106" s="19">
        <v>3</v>
      </c>
      <c r="K2106" s="19">
        <v>3.3300000000000003E-2</v>
      </c>
      <c r="L2106" s="19" t="s">
        <v>35</v>
      </c>
      <c r="M2106" s="19" t="s">
        <v>165</v>
      </c>
      <c r="N2106" s="19">
        <v>100</v>
      </c>
      <c r="O2106" s="19">
        <v>100</v>
      </c>
      <c r="P2106" s="19">
        <v>0</v>
      </c>
      <c r="Q2106" s="19">
        <v>0</v>
      </c>
      <c r="R2106" s="19" t="s">
        <v>870</v>
      </c>
      <c r="S2106" s="19">
        <v>0.9</v>
      </c>
      <c r="T2106" s="19">
        <v>1</v>
      </c>
      <c r="U2106" s="19">
        <v>0</v>
      </c>
      <c r="W2106" s="19">
        <v>0</v>
      </c>
      <c r="X2106" s="19">
        <v>100</v>
      </c>
      <c r="Z2106" s="19">
        <v>0</v>
      </c>
      <c r="AA2106" s="19">
        <v>100</v>
      </c>
    </row>
    <row r="2107" spans="1:27" x14ac:dyDescent="0.25">
      <c r="A2107" s="19" t="s">
        <v>908</v>
      </c>
      <c r="B2107" s="19" t="s">
        <v>868</v>
      </c>
      <c r="C2107" s="19" t="s">
        <v>869</v>
      </c>
      <c r="D2107" s="19">
        <v>2.8971</v>
      </c>
      <c r="E2107" s="19" t="s">
        <v>170</v>
      </c>
      <c r="F2107" s="19" t="s">
        <v>171</v>
      </c>
      <c r="G2107" s="19" t="s">
        <v>163</v>
      </c>
      <c r="I2107" s="19" t="s">
        <v>164</v>
      </c>
      <c r="J2107" s="19">
        <v>2</v>
      </c>
      <c r="K2107" s="19">
        <v>3.3300000000000003E-2</v>
      </c>
      <c r="L2107" s="19" t="s">
        <v>35</v>
      </c>
      <c r="M2107" s="19" t="s">
        <v>165</v>
      </c>
      <c r="N2107" s="19">
        <v>87</v>
      </c>
      <c r="O2107" s="19">
        <v>87</v>
      </c>
      <c r="P2107" s="19">
        <v>0</v>
      </c>
      <c r="Q2107" s="19">
        <v>0</v>
      </c>
      <c r="R2107" s="19" t="s">
        <v>870</v>
      </c>
      <c r="S2107" s="19">
        <v>0.9</v>
      </c>
      <c r="T2107" s="19">
        <v>1</v>
      </c>
      <c r="U2107" s="19">
        <v>0</v>
      </c>
      <c r="W2107" s="19">
        <v>0</v>
      </c>
      <c r="X2107" s="19">
        <v>87</v>
      </c>
      <c r="Z2107" s="19">
        <v>0</v>
      </c>
      <c r="AA2107" s="19">
        <v>87</v>
      </c>
    </row>
    <row r="2108" spans="1:27" x14ac:dyDescent="0.25">
      <c r="A2108" s="19" t="s">
        <v>1399</v>
      </c>
      <c r="B2108" s="19" t="s">
        <v>1400</v>
      </c>
      <c r="C2108" s="19" t="s">
        <v>1401</v>
      </c>
      <c r="D2108" s="19">
        <v>1.63</v>
      </c>
      <c r="E2108" s="19" t="s">
        <v>30</v>
      </c>
      <c r="F2108" s="19" t="s">
        <v>31</v>
      </c>
      <c r="G2108" s="19" t="s">
        <v>32</v>
      </c>
      <c r="H2108" s="19" t="s">
        <v>33</v>
      </c>
      <c r="I2108" s="19" t="s">
        <v>34</v>
      </c>
      <c r="J2108" s="19">
        <v>17</v>
      </c>
      <c r="K2108" s="19">
        <v>1.6299999999999999E-2</v>
      </c>
      <c r="L2108" s="19" t="s">
        <v>541</v>
      </c>
      <c r="M2108" s="19" t="s">
        <v>541</v>
      </c>
      <c r="N2108" s="19">
        <v>50</v>
      </c>
      <c r="O2108" s="19">
        <v>100</v>
      </c>
      <c r="P2108" s="19">
        <v>100</v>
      </c>
      <c r="Q2108" s="19">
        <v>50</v>
      </c>
      <c r="R2108" s="19" t="s">
        <v>1075</v>
      </c>
      <c r="S2108" s="19">
        <v>1</v>
      </c>
      <c r="T2108" s="19">
        <v>1</v>
      </c>
      <c r="U2108" s="19">
        <v>50</v>
      </c>
      <c r="AA2108" s="19">
        <v>0</v>
      </c>
    </row>
    <row r="2109" spans="1:27" x14ac:dyDescent="0.25">
      <c r="A2109" s="19" t="s">
        <v>1402</v>
      </c>
      <c r="B2109" s="19" t="s">
        <v>1400</v>
      </c>
      <c r="C2109" s="19" t="s">
        <v>1401</v>
      </c>
      <c r="D2109" s="19">
        <v>1.63</v>
      </c>
      <c r="E2109" s="19" t="s">
        <v>38</v>
      </c>
      <c r="F2109" s="19" t="s">
        <v>39</v>
      </c>
      <c r="G2109" s="19" t="s">
        <v>32</v>
      </c>
      <c r="H2109" s="19" t="s">
        <v>33</v>
      </c>
      <c r="I2109" s="19" t="s">
        <v>34</v>
      </c>
      <c r="J2109" s="19">
        <v>19</v>
      </c>
      <c r="K2109" s="19">
        <v>1.6299999999999999E-2</v>
      </c>
      <c r="L2109" s="19" t="s">
        <v>541</v>
      </c>
      <c r="M2109" s="19" t="s">
        <v>541</v>
      </c>
      <c r="N2109" s="19">
        <v>50</v>
      </c>
      <c r="O2109" s="19">
        <v>100</v>
      </c>
      <c r="P2109" s="19">
        <v>100</v>
      </c>
      <c r="Q2109" s="19">
        <v>50</v>
      </c>
      <c r="R2109" s="19" t="s">
        <v>1075</v>
      </c>
      <c r="S2109" s="19">
        <v>1</v>
      </c>
      <c r="T2109" s="19">
        <v>1</v>
      </c>
      <c r="U2109" s="19">
        <v>50</v>
      </c>
      <c r="AA2109" s="19">
        <v>0</v>
      </c>
    </row>
    <row r="2110" spans="1:27" x14ac:dyDescent="0.25">
      <c r="A2110" s="19" t="s">
        <v>1404</v>
      </c>
      <c r="B2110" s="19" t="s">
        <v>1400</v>
      </c>
      <c r="C2110" s="19" t="s">
        <v>1401</v>
      </c>
      <c r="D2110" s="19">
        <v>1.2224999999999999</v>
      </c>
      <c r="E2110" s="19" t="s">
        <v>46</v>
      </c>
      <c r="F2110" s="19" t="s">
        <v>47</v>
      </c>
      <c r="G2110" s="19" t="s">
        <v>32</v>
      </c>
      <c r="H2110" s="19" t="s">
        <v>33</v>
      </c>
      <c r="I2110" s="19" t="s">
        <v>34</v>
      </c>
      <c r="J2110" s="19">
        <v>15</v>
      </c>
      <c r="K2110" s="19">
        <v>1.6299999999999999E-2</v>
      </c>
      <c r="L2110" s="19" t="s">
        <v>541</v>
      </c>
      <c r="M2110" s="19" t="s">
        <v>541</v>
      </c>
      <c r="N2110" s="19">
        <v>50</v>
      </c>
      <c r="O2110" s="19">
        <v>75</v>
      </c>
      <c r="P2110" s="19">
        <v>50</v>
      </c>
      <c r="Q2110" s="19">
        <v>25</v>
      </c>
      <c r="R2110" s="19" t="s">
        <v>1075</v>
      </c>
      <c r="S2110" s="19">
        <v>1</v>
      </c>
      <c r="T2110" s="19">
        <v>1</v>
      </c>
      <c r="U2110" s="19">
        <v>25</v>
      </c>
      <c r="AA2110" s="19">
        <v>0</v>
      </c>
    </row>
    <row r="2111" spans="1:27" x14ac:dyDescent="0.25">
      <c r="A2111" s="19" t="s">
        <v>1405</v>
      </c>
      <c r="B2111" s="19" t="s">
        <v>1400</v>
      </c>
      <c r="C2111" s="19" t="s">
        <v>1401</v>
      </c>
      <c r="D2111" s="19">
        <v>1.63</v>
      </c>
      <c r="E2111" s="19" t="s">
        <v>49</v>
      </c>
      <c r="F2111" s="19" t="s">
        <v>50</v>
      </c>
      <c r="G2111" s="19" t="s">
        <v>32</v>
      </c>
      <c r="H2111" s="19" t="s">
        <v>33</v>
      </c>
      <c r="I2111" s="19" t="s">
        <v>34</v>
      </c>
      <c r="J2111" s="19">
        <v>12</v>
      </c>
      <c r="K2111" s="19">
        <v>1.6299999999999999E-2</v>
      </c>
      <c r="L2111" s="19" t="s">
        <v>541</v>
      </c>
      <c r="M2111" s="19" t="s">
        <v>541</v>
      </c>
      <c r="N2111" s="19">
        <v>50</v>
      </c>
      <c r="O2111" s="19">
        <v>100</v>
      </c>
      <c r="P2111" s="19">
        <v>100</v>
      </c>
      <c r="Q2111" s="19">
        <v>50</v>
      </c>
      <c r="R2111" s="19" t="s">
        <v>1075</v>
      </c>
      <c r="S2111" s="19">
        <v>1</v>
      </c>
      <c r="T2111" s="19">
        <v>1</v>
      </c>
      <c r="U2111" s="19">
        <v>50</v>
      </c>
      <c r="AA2111" s="19">
        <v>0</v>
      </c>
    </row>
    <row r="2112" spans="1:27" x14ac:dyDescent="0.25">
      <c r="A2112" s="19" t="s">
        <v>1407</v>
      </c>
      <c r="B2112" s="19" t="s">
        <v>1400</v>
      </c>
      <c r="C2112" s="19" t="s">
        <v>1401</v>
      </c>
      <c r="D2112" s="19">
        <v>1.63</v>
      </c>
      <c r="E2112" s="19" t="s">
        <v>55</v>
      </c>
      <c r="F2112" s="19" t="s">
        <v>56</v>
      </c>
      <c r="G2112" s="19" t="s">
        <v>32</v>
      </c>
      <c r="H2112" s="19" t="s">
        <v>33</v>
      </c>
      <c r="I2112" s="19" t="s">
        <v>34</v>
      </c>
      <c r="J2112" s="19">
        <v>14</v>
      </c>
      <c r="K2112" s="19">
        <v>1.6299999999999999E-2</v>
      </c>
      <c r="L2112" s="19" t="s">
        <v>541</v>
      </c>
      <c r="M2112" s="19" t="s">
        <v>541</v>
      </c>
      <c r="N2112" s="19">
        <v>50</v>
      </c>
      <c r="O2112" s="19">
        <v>100</v>
      </c>
      <c r="P2112" s="19">
        <v>100</v>
      </c>
      <c r="Q2112" s="19">
        <v>50</v>
      </c>
      <c r="R2112" s="19" t="s">
        <v>1075</v>
      </c>
      <c r="S2112" s="19">
        <v>1</v>
      </c>
      <c r="T2112" s="19">
        <v>1</v>
      </c>
      <c r="U2112" s="19">
        <v>50</v>
      </c>
      <c r="AA2112" s="19">
        <v>0</v>
      </c>
    </row>
    <row r="2113" spans="1:27" x14ac:dyDescent="0.25">
      <c r="A2113" s="19" t="s">
        <v>1408</v>
      </c>
      <c r="B2113" s="19" t="s">
        <v>1400</v>
      </c>
      <c r="C2113" s="19" t="s">
        <v>1401</v>
      </c>
      <c r="D2113" s="19">
        <v>1.63</v>
      </c>
      <c r="E2113" s="19" t="s">
        <v>58</v>
      </c>
      <c r="F2113" s="19" t="s">
        <v>59</v>
      </c>
      <c r="G2113" s="19" t="s">
        <v>32</v>
      </c>
      <c r="H2113" s="19" t="s">
        <v>33</v>
      </c>
      <c r="I2113" s="19" t="s">
        <v>34</v>
      </c>
      <c r="J2113" s="19">
        <v>13</v>
      </c>
      <c r="K2113" s="19">
        <v>1.6299999999999999E-2</v>
      </c>
      <c r="L2113" s="19" t="s">
        <v>541</v>
      </c>
      <c r="M2113" s="19" t="s">
        <v>541</v>
      </c>
      <c r="N2113" s="19">
        <v>50</v>
      </c>
      <c r="O2113" s="19">
        <v>100</v>
      </c>
      <c r="P2113" s="19">
        <v>100</v>
      </c>
      <c r="Q2113" s="19">
        <v>50</v>
      </c>
      <c r="R2113" s="19" t="s">
        <v>1075</v>
      </c>
      <c r="S2113" s="19">
        <v>1</v>
      </c>
      <c r="T2113" s="19">
        <v>1</v>
      </c>
      <c r="U2113" s="19">
        <v>50</v>
      </c>
      <c r="AA2113" s="19">
        <v>0</v>
      </c>
    </row>
    <row r="2114" spans="1:27" x14ac:dyDescent="0.25">
      <c r="A2114" s="19" t="s">
        <v>1412</v>
      </c>
      <c r="B2114" s="19" t="s">
        <v>1400</v>
      </c>
      <c r="C2114" s="19" t="s">
        <v>1401</v>
      </c>
      <c r="D2114" s="19">
        <v>1.39499999999999</v>
      </c>
      <c r="E2114" s="19" t="s">
        <v>72</v>
      </c>
      <c r="F2114" s="19" t="s">
        <v>73</v>
      </c>
      <c r="G2114" s="19" t="s">
        <v>32</v>
      </c>
      <c r="H2114" s="19" t="s">
        <v>63</v>
      </c>
      <c r="I2114" s="19" t="s">
        <v>64</v>
      </c>
      <c r="J2114" s="19">
        <v>21</v>
      </c>
      <c r="K2114" s="19">
        <v>1.8599999999999998E-2</v>
      </c>
      <c r="L2114" s="19" t="s">
        <v>541</v>
      </c>
      <c r="M2114" s="19" t="s">
        <v>541</v>
      </c>
      <c r="N2114" s="19">
        <v>50</v>
      </c>
      <c r="O2114" s="19">
        <v>75</v>
      </c>
      <c r="P2114" s="19">
        <v>50</v>
      </c>
      <c r="Q2114" s="19">
        <v>25</v>
      </c>
      <c r="R2114" s="19" t="s">
        <v>1075</v>
      </c>
      <c r="S2114" s="19">
        <v>1</v>
      </c>
      <c r="T2114" s="19">
        <v>1</v>
      </c>
      <c r="U2114" s="19">
        <v>25</v>
      </c>
      <c r="AA2114" s="19">
        <v>0</v>
      </c>
    </row>
    <row r="2115" spans="1:27" x14ac:dyDescent="0.25">
      <c r="A2115" s="19" t="s">
        <v>1413</v>
      </c>
      <c r="B2115" s="19" t="s">
        <v>1400</v>
      </c>
      <c r="C2115" s="19" t="s">
        <v>1401</v>
      </c>
      <c r="D2115" s="19">
        <v>1.60645263157894</v>
      </c>
      <c r="E2115" s="19" t="s">
        <v>75</v>
      </c>
      <c r="F2115" s="19" t="s">
        <v>76</v>
      </c>
      <c r="G2115" s="19" t="s">
        <v>32</v>
      </c>
      <c r="H2115" s="19" t="s">
        <v>63</v>
      </c>
      <c r="I2115" s="19" t="s">
        <v>64</v>
      </c>
      <c r="J2115" s="19">
        <v>24</v>
      </c>
      <c r="K2115" s="19">
        <v>1.8599999999999998E-2</v>
      </c>
      <c r="L2115" s="19" t="s">
        <v>541</v>
      </c>
      <c r="M2115" s="19" t="s">
        <v>541</v>
      </c>
      <c r="N2115" s="19">
        <v>50</v>
      </c>
      <c r="O2115" s="19">
        <v>86.368421052599999</v>
      </c>
      <c r="P2115" s="19">
        <v>72.736842105299999</v>
      </c>
      <c r="Q2115" s="19">
        <v>36.368421052599999</v>
      </c>
      <c r="R2115" s="19" t="s">
        <v>1075</v>
      </c>
      <c r="S2115" s="19">
        <v>1</v>
      </c>
      <c r="T2115" s="19">
        <v>1</v>
      </c>
      <c r="U2115" s="19">
        <v>36.368421052599999</v>
      </c>
      <c r="AA2115" s="19">
        <v>0</v>
      </c>
    </row>
    <row r="2116" spans="1:27" x14ac:dyDescent="0.25">
      <c r="A2116" s="19" t="s">
        <v>1415</v>
      </c>
      <c r="B2116" s="19" t="s">
        <v>1400</v>
      </c>
      <c r="C2116" s="19" t="s">
        <v>1401</v>
      </c>
      <c r="D2116" s="19">
        <v>1.8599999999999901</v>
      </c>
      <c r="E2116" s="19" t="s">
        <v>82</v>
      </c>
      <c r="F2116" s="19" t="s">
        <v>83</v>
      </c>
      <c r="G2116" s="19" t="s">
        <v>32</v>
      </c>
      <c r="H2116" s="19" t="s">
        <v>63</v>
      </c>
      <c r="I2116" s="19" t="s">
        <v>64</v>
      </c>
      <c r="J2116" s="19">
        <v>26</v>
      </c>
      <c r="K2116" s="19">
        <v>1.8599999999999998E-2</v>
      </c>
      <c r="L2116" s="19" t="s">
        <v>541</v>
      </c>
      <c r="M2116" s="19" t="s">
        <v>541</v>
      </c>
      <c r="N2116" s="19">
        <v>50</v>
      </c>
      <c r="O2116" s="19">
        <v>100</v>
      </c>
      <c r="P2116" s="19">
        <v>100</v>
      </c>
      <c r="Q2116" s="19">
        <v>50</v>
      </c>
      <c r="R2116" s="19" t="s">
        <v>1075</v>
      </c>
      <c r="S2116" s="19">
        <v>1</v>
      </c>
      <c r="T2116" s="19">
        <v>1</v>
      </c>
      <c r="U2116" s="19">
        <v>50</v>
      </c>
      <c r="AA2116" s="19">
        <v>0</v>
      </c>
    </row>
    <row r="2117" spans="1:27" x14ac:dyDescent="0.25">
      <c r="A2117" s="19" t="s">
        <v>1416</v>
      </c>
      <c r="B2117" s="19" t="s">
        <v>1400</v>
      </c>
      <c r="C2117" s="19" t="s">
        <v>1401</v>
      </c>
      <c r="D2117" s="19">
        <v>3.25</v>
      </c>
      <c r="E2117" s="19" t="s">
        <v>85</v>
      </c>
      <c r="F2117" s="19" t="s">
        <v>86</v>
      </c>
      <c r="G2117" s="19" t="s">
        <v>32</v>
      </c>
      <c r="H2117" s="19" t="s">
        <v>87</v>
      </c>
      <c r="I2117" s="19" t="s">
        <v>88</v>
      </c>
      <c r="J2117" s="19">
        <v>35</v>
      </c>
      <c r="K2117" s="19">
        <v>3.2500000000000001E-2</v>
      </c>
      <c r="L2117" s="19" t="s">
        <v>541</v>
      </c>
      <c r="M2117" s="19" t="s">
        <v>541</v>
      </c>
      <c r="N2117" s="19">
        <v>50</v>
      </c>
      <c r="O2117" s="19">
        <v>100</v>
      </c>
      <c r="P2117" s="19">
        <v>100</v>
      </c>
      <c r="Q2117" s="19">
        <v>50</v>
      </c>
      <c r="R2117" s="19" t="s">
        <v>1075</v>
      </c>
      <c r="S2117" s="19">
        <v>1</v>
      </c>
      <c r="T2117" s="19">
        <v>1</v>
      </c>
      <c r="U2117" s="19">
        <v>50</v>
      </c>
      <c r="AA2117" s="19">
        <v>0</v>
      </c>
    </row>
    <row r="2118" spans="1:27" x14ac:dyDescent="0.25">
      <c r="A2118" s="19" t="s">
        <v>1418</v>
      </c>
      <c r="B2118" s="19" t="s">
        <v>1400</v>
      </c>
      <c r="C2118" s="19" t="s">
        <v>1401</v>
      </c>
      <c r="D2118" s="19">
        <v>3.25</v>
      </c>
      <c r="E2118" s="19" t="s">
        <v>93</v>
      </c>
      <c r="F2118" s="19" t="s">
        <v>94</v>
      </c>
      <c r="G2118" s="19" t="s">
        <v>32</v>
      </c>
      <c r="H2118" s="19" t="s">
        <v>87</v>
      </c>
      <c r="I2118" s="19" t="s">
        <v>88</v>
      </c>
      <c r="J2118" s="19">
        <v>34</v>
      </c>
      <c r="K2118" s="19">
        <v>3.2500000000000001E-2</v>
      </c>
      <c r="L2118" s="19" t="s">
        <v>541</v>
      </c>
      <c r="M2118" s="19" t="s">
        <v>541</v>
      </c>
      <c r="N2118" s="19">
        <v>50</v>
      </c>
      <c r="O2118" s="19">
        <v>100</v>
      </c>
      <c r="P2118" s="19">
        <v>100</v>
      </c>
      <c r="Q2118" s="19">
        <v>50</v>
      </c>
      <c r="R2118" s="19" t="s">
        <v>1075</v>
      </c>
      <c r="S2118" s="19">
        <v>1</v>
      </c>
      <c r="T2118" s="19">
        <v>1</v>
      </c>
      <c r="U2118" s="19">
        <v>50</v>
      </c>
      <c r="AA2118" s="19">
        <v>0</v>
      </c>
    </row>
    <row r="2119" spans="1:27" x14ac:dyDescent="0.25">
      <c r="A2119" s="19" t="s">
        <v>1403</v>
      </c>
      <c r="B2119" s="19" t="s">
        <v>1400</v>
      </c>
      <c r="C2119" s="19" t="s">
        <v>1401</v>
      </c>
      <c r="D2119" s="19">
        <v>0</v>
      </c>
      <c r="E2119" s="19" t="s">
        <v>43</v>
      </c>
      <c r="F2119" s="19" t="s">
        <v>44</v>
      </c>
      <c r="G2119" s="19" t="s">
        <v>32</v>
      </c>
      <c r="H2119" s="19" t="s">
        <v>33</v>
      </c>
      <c r="I2119" s="19" t="s">
        <v>34</v>
      </c>
      <c r="J2119" s="19">
        <v>18</v>
      </c>
      <c r="K2119" s="19">
        <v>1.6299999999999999E-2</v>
      </c>
      <c r="L2119" s="19" t="s">
        <v>35</v>
      </c>
      <c r="N2119" s="19">
        <v>0</v>
      </c>
      <c r="O2119" s="19">
        <v>0</v>
      </c>
      <c r="P2119" s="19">
        <v>0</v>
      </c>
      <c r="Q2119" s="19">
        <v>0</v>
      </c>
      <c r="R2119" s="19" t="s">
        <v>1075</v>
      </c>
      <c r="S2119" s="19">
        <v>1</v>
      </c>
      <c r="T2119" s="19">
        <v>1</v>
      </c>
      <c r="U2119" s="19">
        <v>0</v>
      </c>
      <c r="V2119" s="19" t="s">
        <v>36</v>
      </c>
      <c r="W2119" s="19">
        <v>0</v>
      </c>
      <c r="Z2119" s="19">
        <v>0</v>
      </c>
      <c r="AA2119" s="19">
        <v>0</v>
      </c>
    </row>
    <row r="2120" spans="1:27" x14ac:dyDescent="0.25">
      <c r="A2120" s="19" t="s">
        <v>1406</v>
      </c>
      <c r="B2120" s="19" t="s">
        <v>1400</v>
      </c>
      <c r="C2120" s="19" t="s">
        <v>1401</v>
      </c>
      <c r="D2120" s="19">
        <v>0</v>
      </c>
      <c r="E2120" s="19" t="s">
        <v>52</v>
      </c>
      <c r="F2120" s="19" t="s">
        <v>53</v>
      </c>
      <c r="G2120" s="19" t="s">
        <v>32</v>
      </c>
      <c r="H2120" s="19" t="s">
        <v>33</v>
      </c>
      <c r="I2120" s="19" t="s">
        <v>34</v>
      </c>
      <c r="J2120" s="19">
        <v>16</v>
      </c>
      <c r="K2120" s="19">
        <v>1.6299999999999999E-2</v>
      </c>
      <c r="L2120" s="19" t="s">
        <v>35</v>
      </c>
      <c r="M2120" s="19" t="s">
        <v>40</v>
      </c>
      <c r="N2120" s="19">
        <v>0</v>
      </c>
      <c r="O2120" s="19">
        <v>0</v>
      </c>
      <c r="P2120" s="19">
        <v>0</v>
      </c>
      <c r="Q2120" s="19">
        <v>0</v>
      </c>
      <c r="R2120" s="19" t="s">
        <v>1075</v>
      </c>
      <c r="S2120" s="19">
        <v>1</v>
      </c>
      <c r="T2120" s="19">
        <v>1</v>
      </c>
      <c r="U2120" s="19">
        <v>0</v>
      </c>
      <c r="V2120" s="19" t="s">
        <v>80</v>
      </c>
      <c r="W2120" s="19">
        <v>0</v>
      </c>
      <c r="Y2120" s="19" t="s">
        <v>40</v>
      </c>
      <c r="Z2120" s="19">
        <v>33.33</v>
      </c>
      <c r="AA2120" s="19">
        <v>0</v>
      </c>
    </row>
    <row r="2121" spans="1:27" x14ac:dyDescent="0.25">
      <c r="A2121" s="19" t="s">
        <v>1409</v>
      </c>
      <c r="B2121" s="19" t="s">
        <v>1400</v>
      </c>
      <c r="C2121" s="19" t="s">
        <v>1401</v>
      </c>
      <c r="D2121" s="19">
        <v>0.92999999999999905</v>
      </c>
      <c r="E2121" s="19" t="s">
        <v>61</v>
      </c>
      <c r="F2121" s="19" t="s">
        <v>62</v>
      </c>
      <c r="G2121" s="19" t="s">
        <v>32</v>
      </c>
      <c r="H2121" s="19" t="s">
        <v>63</v>
      </c>
      <c r="I2121" s="19" t="s">
        <v>64</v>
      </c>
      <c r="J2121" s="19">
        <v>22</v>
      </c>
      <c r="K2121" s="19">
        <v>1.8599999999999998E-2</v>
      </c>
      <c r="L2121" s="19" t="s">
        <v>35</v>
      </c>
      <c r="M2121" s="19" t="s">
        <v>142</v>
      </c>
      <c r="N2121" s="19">
        <v>50</v>
      </c>
      <c r="O2121" s="19">
        <v>50</v>
      </c>
      <c r="P2121" s="19">
        <v>0</v>
      </c>
      <c r="Q2121" s="19">
        <v>0</v>
      </c>
      <c r="R2121" s="19" t="s">
        <v>1075</v>
      </c>
      <c r="S2121" s="19">
        <v>1</v>
      </c>
      <c r="T2121" s="19">
        <v>1</v>
      </c>
      <c r="U2121" s="19">
        <v>0</v>
      </c>
      <c r="V2121" s="19" t="s">
        <v>41</v>
      </c>
      <c r="W2121" s="19">
        <v>1</v>
      </c>
      <c r="Y2121" s="19" t="s">
        <v>142</v>
      </c>
      <c r="Z2121" s="19">
        <v>50</v>
      </c>
      <c r="AA2121" s="19">
        <v>50</v>
      </c>
    </row>
    <row r="2122" spans="1:27" x14ac:dyDescent="0.25">
      <c r="A2122" s="19" t="s">
        <v>1410</v>
      </c>
      <c r="B2122" s="19" t="s">
        <v>1400</v>
      </c>
      <c r="C2122" s="19" t="s">
        <v>1401</v>
      </c>
      <c r="D2122" s="19">
        <v>0</v>
      </c>
      <c r="E2122" s="19" t="s">
        <v>66</v>
      </c>
      <c r="F2122" s="19" t="s">
        <v>67</v>
      </c>
      <c r="G2122" s="19" t="s">
        <v>32</v>
      </c>
      <c r="H2122" s="19" t="s">
        <v>63</v>
      </c>
      <c r="I2122" s="19" t="s">
        <v>64</v>
      </c>
      <c r="J2122" s="19">
        <v>20</v>
      </c>
      <c r="K2122" s="19">
        <v>1.8599999999999998E-2</v>
      </c>
      <c r="L2122" s="19" t="s">
        <v>35</v>
      </c>
      <c r="M2122" s="19" t="s">
        <v>40</v>
      </c>
      <c r="N2122" s="19">
        <v>0</v>
      </c>
      <c r="O2122" s="19">
        <v>0</v>
      </c>
      <c r="P2122" s="19">
        <v>0</v>
      </c>
      <c r="Q2122" s="19">
        <v>0</v>
      </c>
      <c r="R2122" s="19" t="s">
        <v>1075</v>
      </c>
      <c r="S2122" s="19">
        <v>1</v>
      </c>
      <c r="T2122" s="19">
        <v>1</v>
      </c>
      <c r="U2122" s="19">
        <v>0</v>
      </c>
      <c r="V2122" s="19" t="s">
        <v>80</v>
      </c>
      <c r="W2122" s="19">
        <v>0</v>
      </c>
      <c r="Y2122" s="19" t="s">
        <v>40</v>
      </c>
      <c r="Z2122" s="19">
        <v>33.33</v>
      </c>
      <c r="AA2122" s="19">
        <v>0</v>
      </c>
    </row>
    <row r="2123" spans="1:27" x14ac:dyDescent="0.25">
      <c r="A2123" s="19" t="s">
        <v>1411</v>
      </c>
      <c r="B2123" s="19" t="s">
        <v>1400</v>
      </c>
      <c r="C2123" s="19" t="s">
        <v>1401</v>
      </c>
      <c r="D2123" s="19">
        <v>0.92999999999999905</v>
      </c>
      <c r="E2123" s="19" t="s">
        <v>69</v>
      </c>
      <c r="F2123" s="19" t="s">
        <v>70</v>
      </c>
      <c r="G2123" s="19" t="s">
        <v>32</v>
      </c>
      <c r="H2123" s="19" t="s">
        <v>63</v>
      </c>
      <c r="I2123" s="19" t="s">
        <v>64</v>
      </c>
      <c r="J2123" s="19">
        <v>23</v>
      </c>
      <c r="K2123" s="19">
        <v>1.8599999999999998E-2</v>
      </c>
      <c r="L2123" s="19" t="s">
        <v>35</v>
      </c>
      <c r="M2123" s="19" t="s">
        <v>142</v>
      </c>
      <c r="N2123" s="19">
        <v>50</v>
      </c>
      <c r="O2123" s="19">
        <v>50</v>
      </c>
      <c r="P2123" s="19">
        <v>0</v>
      </c>
      <c r="Q2123" s="19">
        <v>0</v>
      </c>
      <c r="R2123" s="19" t="s">
        <v>1075</v>
      </c>
      <c r="S2123" s="19">
        <v>1</v>
      </c>
      <c r="T2123" s="19">
        <v>1</v>
      </c>
      <c r="U2123" s="19">
        <v>0</v>
      </c>
      <c r="V2123" s="19" t="s">
        <v>41</v>
      </c>
      <c r="W2123" s="19">
        <v>1</v>
      </c>
      <c r="Y2123" s="19" t="s">
        <v>142</v>
      </c>
      <c r="Z2123" s="19">
        <v>50</v>
      </c>
      <c r="AA2123" s="19">
        <v>50</v>
      </c>
    </row>
    <row r="2124" spans="1:27" x14ac:dyDescent="0.25">
      <c r="A2124" s="19" t="s">
        <v>1414</v>
      </c>
      <c r="B2124" s="19" t="s">
        <v>1400</v>
      </c>
      <c r="C2124" s="19" t="s">
        <v>1401</v>
      </c>
      <c r="D2124" s="19">
        <v>0</v>
      </c>
      <c r="E2124" s="19" t="s">
        <v>78</v>
      </c>
      <c r="F2124" s="19" t="s">
        <v>79</v>
      </c>
      <c r="G2124" s="19" t="s">
        <v>32</v>
      </c>
      <c r="H2124" s="19" t="s">
        <v>63</v>
      </c>
      <c r="I2124" s="19" t="s">
        <v>64</v>
      </c>
      <c r="J2124" s="19">
        <v>25</v>
      </c>
      <c r="K2124" s="19">
        <v>1.8599999999999998E-2</v>
      </c>
      <c r="L2124" s="19" t="s">
        <v>35</v>
      </c>
      <c r="N2124" s="19">
        <v>0</v>
      </c>
      <c r="O2124" s="19">
        <v>0</v>
      </c>
      <c r="P2124" s="19">
        <v>0</v>
      </c>
      <c r="Q2124" s="19">
        <v>0</v>
      </c>
      <c r="R2124" s="19" t="s">
        <v>1075</v>
      </c>
      <c r="S2124" s="19">
        <v>1</v>
      </c>
      <c r="T2124" s="19">
        <v>1</v>
      </c>
      <c r="U2124" s="19">
        <v>0</v>
      </c>
      <c r="V2124" s="19" t="s">
        <v>36</v>
      </c>
      <c r="W2124" s="19">
        <v>0</v>
      </c>
      <c r="Z2124" s="19">
        <v>0</v>
      </c>
      <c r="AA2124" s="19">
        <v>0</v>
      </c>
    </row>
    <row r="2125" spans="1:27" x14ac:dyDescent="0.25">
      <c r="A2125" s="19" t="s">
        <v>1417</v>
      </c>
      <c r="B2125" s="19" t="s">
        <v>1400</v>
      </c>
      <c r="C2125" s="19" t="s">
        <v>1401</v>
      </c>
      <c r="D2125" s="19">
        <v>0</v>
      </c>
      <c r="E2125" s="19" t="s">
        <v>90</v>
      </c>
      <c r="F2125" s="19" t="s">
        <v>91</v>
      </c>
      <c r="G2125" s="19" t="s">
        <v>32</v>
      </c>
      <c r="H2125" s="19" t="s">
        <v>87</v>
      </c>
      <c r="I2125" s="19" t="s">
        <v>88</v>
      </c>
      <c r="J2125" s="19">
        <v>33</v>
      </c>
      <c r="K2125" s="19">
        <v>3.2500000000000001E-2</v>
      </c>
      <c r="L2125" s="19" t="s">
        <v>35</v>
      </c>
      <c r="M2125" s="19" t="s">
        <v>110</v>
      </c>
      <c r="N2125" s="19">
        <v>0</v>
      </c>
      <c r="O2125" s="19">
        <v>0</v>
      </c>
      <c r="P2125" s="19">
        <v>0</v>
      </c>
      <c r="Q2125" s="19">
        <v>0</v>
      </c>
      <c r="R2125" s="19" t="s">
        <v>1075</v>
      </c>
      <c r="S2125" s="19">
        <v>1</v>
      </c>
      <c r="T2125" s="19">
        <v>1</v>
      </c>
      <c r="U2125" s="19">
        <v>0</v>
      </c>
      <c r="V2125" s="19" t="s">
        <v>80</v>
      </c>
      <c r="W2125" s="19">
        <v>0</v>
      </c>
      <c r="Y2125" s="19" t="s">
        <v>110</v>
      </c>
      <c r="Z2125" s="19">
        <v>16.664999999999999</v>
      </c>
      <c r="AA2125" s="19">
        <v>0</v>
      </c>
    </row>
    <row r="2126" spans="1:27" x14ac:dyDescent="0.25">
      <c r="A2126" s="19" t="s">
        <v>1419</v>
      </c>
      <c r="B2126" s="19" t="s">
        <v>1400</v>
      </c>
      <c r="C2126" s="19" t="s">
        <v>1401</v>
      </c>
      <c r="D2126" s="19">
        <v>0</v>
      </c>
      <c r="E2126" s="19" t="s">
        <v>96</v>
      </c>
      <c r="F2126" s="19" t="s">
        <v>97</v>
      </c>
      <c r="G2126" s="19" t="s">
        <v>32</v>
      </c>
      <c r="H2126" s="19" t="s">
        <v>87</v>
      </c>
      <c r="I2126" s="19" t="s">
        <v>88</v>
      </c>
      <c r="J2126" s="19">
        <v>36</v>
      </c>
      <c r="K2126" s="19">
        <v>3.2500000000000001E-2</v>
      </c>
      <c r="L2126" s="19" t="s">
        <v>35</v>
      </c>
      <c r="N2126" s="19">
        <v>0</v>
      </c>
      <c r="O2126" s="19">
        <v>0</v>
      </c>
      <c r="P2126" s="19">
        <v>0</v>
      </c>
      <c r="Q2126" s="19">
        <v>0</v>
      </c>
      <c r="R2126" s="19" t="s">
        <v>1075</v>
      </c>
      <c r="S2126" s="19">
        <v>1</v>
      </c>
      <c r="T2126" s="19">
        <v>1</v>
      </c>
      <c r="U2126" s="19">
        <v>0</v>
      </c>
      <c r="V2126" s="19" t="s">
        <v>36</v>
      </c>
      <c r="W2126" s="19">
        <v>0</v>
      </c>
      <c r="Z2126" s="19">
        <v>0</v>
      </c>
      <c r="AA2126" s="19">
        <v>0</v>
      </c>
    </row>
    <row r="2127" spans="1:27" x14ac:dyDescent="0.25">
      <c r="A2127" s="19" t="s">
        <v>1420</v>
      </c>
      <c r="B2127" s="19" t="s">
        <v>1400</v>
      </c>
      <c r="C2127" s="19" t="s">
        <v>1401</v>
      </c>
      <c r="D2127" s="19">
        <v>0</v>
      </c>
      <c r="E2127" s="19" t="s">
        <v>99</v>
      </c>
      <c r="F2127" s="19" t="s">
        <v>100</v>
      </c>
      <c r="G2127" s="19" t="s">
        <v>32</v>
      </c>
      <c r="H2127" s="19" t="s">
        <v>101</v>
      </c>
      <c r="I2127" s="19" t="s">
        <v>102</v>
      </c>
      <c r="J2127" s="19">
        <v>39</v>
      </c>
      <c r="K2127" s="19">
        <v>4.3299999999999998E-2</v>
      </c>
      <c r="L2127" s="19" t="s">
        <v>35</v>
      </c>
      <c r="M2127" s="19" t="s">
        <v>103</v>
      </c>
      <c r="N2127" s="19">
        <v>0</v>
      </c>
      <c r="O2127" s="19">
        <v>0</v>
      </c>
      <c r="P2127" s="19">
        <v>0</v>
      </c>
      <c r="Q2127" s="19">
        <v>0</v>
      </c>
      <c r="R2127" s="19" t="s">
        <v>1075</v>
      </c>
      <c r="S2127" s="19">
        <v>1</v>
      </c>
      <c r="T2127" s="19">
        <v>1</v>
      </c>
      <c r="U2127" s="19">
        <v>0</v>
      </c>
      <c r="V2127" s="19" t="s">
        <v>36</v>
      </c>
      <c r="W2127" s="19">
        <v>0</v>
      </c>
      <c r="Y2127" s="19" t="s">
        <v>103</v>
      </c>
      <c r="Z2127" s="19">
        <v>50</v>
      </c>
      <c r="AA2127" s="19">
        <v>0</v>
      </c>
    </row>
    <row r="2128" spans="1:27" x14ac:dyDescent="0.25">
      <c r="A2128" s="19" t="s">
        <v>1421</v>
      </c>
      <c r="B2128" s="19" t="s">
        <v>1400</v>
      </c>
      <c r="C2128" s="19" t="s">
        <v>1401</v>
      </c>
      <c r="D2128" s="19">
        <v>0</v>
      </c>
      <c r="E2128" s="19" t="s">
        <v>105</v>
      </c>
      <c r="F2128" s="19" t="s">
        <v>106</v>
      </c>
      <c r="G2128" s="19" t="s">
        <v>32</v>
      </c>
      <c r="H2128" s="19" t="s">
        <v>101</v>
      </c>
      <c r="I2128" s="19" t="s">
        <v>102</v>
      </c>
      <c r="J2128" s="19">
        <v>38</v>
      </c>
      <c r="K2128" s="19">
        <v>4.3299999999999998E-2</v>
      </c>
      <c r="L2128" s="19" t="s">
        <v>35</v>
      </c>
      <c r="M2128" s="19" t="s">
        <v>103</v>
      </c>
      <c r="N2128" s="19">
        <v>0</v>
      </c>
      <c r="O2128" s="19">
        <v>0</v>
      </c>
      <c r="P2128" s="19">
        <v>0</v>
      </c>
      <c r="Q2128" s="19">
        <v>0</v>
      </c>
      <c r="R2128" s="19" t="s">
        <v>1075</v>
      </c>
      <c r="S2128" s="19">
        <v>1</v>
      </c>
      <c r="T2128" s="19">
        <v>1</v>
      </c>
      <c r="U2128" s="19">
        <v>0</v>
      </c>
      <c r="V2128" s="19" t="s">
        <v>80</v>
      </c>
      <c r="W2128" s="19">
        <v>0</v>
      </c>
      <c r="Y2128" s="19" t="s">
        <v>103</v>
      </c>
      <c r="Z2128" s="19">
        <v>50</v>
      </c>
      <c r="AA2128" s="19">
        <v>0</v>
      </c>
    </row>
    <row r="2129" spans="1:27" x14ac:dyDescent="0.25">
      <c r="A2129" s="19" t="s">
        <v>1422</v>
      </c>
      <c r="B2129" s="19" t="s">
        <v>1400</v>
      </c>
      <c r="C2129" s="19" t="s">
        <v>1401</v>
      </c>
      <c r="D2129" s="19">
        <v>0</v>
      </c>
      <c r="E2129" s="19" t="s">
        <v>108</v>
      </c>
      <c r="F2129" s="19" t="s">
        <v>109</v>
      </c>
      <c r="G2129" s="19" t="s">
        <v>32</v>
      </c>
      <c r="H2129" s="19" t="s">
        <v>101</v>
      </c>
      <c r="I2129" s="19" t="s">
        <v>102</v>
      </c>
      <c r="J2129" s="19">
        <v>37</v>
      </c>
      <c r="K2129" s="19">
        <v>4.3299999999999998E-2</v>
      </c>
      <c r="L2129" s="19" t="s">
        <v>35</v>
      </c>
      <c r="M2129" s="19" t="s">
        <v>110</v>
      </c>
      <c r="N2129" s="19">
        <v>0</v>
      </c>
      <c r="O2129" s="19">
        <v>0</v>
      </c>
      <c r="P2129" s="19">
        <v>0</v>
      </c>
      <c r="Q2129" s="19">
        <v>0</v>
      </c>
      <c r="R2129" s="19" t="s">
        <v>1075</v>
      </c>
      <c r="S2129" s="19">
        <v>1</v>
      </c>
      <c r="T2129" s="19">
        <v>1</v>
      </c>
      <c r="U2129" s="19">
        <v>0</v>
      </c>
      <c r="V2129" s="19" t="s">
        <v>80</v>
      </c>
      <c r="W2129" s="19">
        <v>0</v>
      </c>
      <c r="Y2129" s="19" t="s">
        <v>110</v>
      </c>
      <c r="Z2129" s="19">
        <v>16.664999999999999</v>
      </c>
      <c r="AA2129" s="19">
        <v>0</v>
      </c>
    </row>
    <row r="2130" spans="1:27" x14ac:dyDescent="0.25">
      <c r="A2130" s="19" t="s">
        <v>1423</v>
      </c>
      <c r="B2130" s="19" t="s">
        <v>1400</v>
      </c>
      <c r="C2130" s="19" t="s">
        <v>1401</v>
      </c>
      <c r="D2130" s="19">
        <v>0</v>
      </c>
      <c r="E2130" s="19" t="s">
        <v>112</v>
      </c>
      <c r="F2130" s="19" t="s">
        <v>113</v>
      </c>
      <c r="G2130" s="19" t="s">
        <v>32</v>
      </c>
      <c r="H2130" s="19" t="s">
        <v>114</v>
      </c>
      <c r="I2130" s="19" t="s">
        <v>115</v>
      </c>
      <c r="J2130" s="19">
        <v>30</v>
      </c>
      <c r="K2130" s="19">
        <v>2.1700000000000001E-2</v>
      </c>
      <c r="L2130" s="19" t="s">
        <v>35</v>
      </c>
      <c r="M2130" s="19" t="s">
        <v>103</v>
      </c>
      <c r="N2130" s="19">
        <v>0</v>
      </c>
      <c r="O2130" s="19">
        <v>0</v>
      </c>
      <c r="P2130" s="19">
        <v>0</v>
      </c>
      <c r="Q2130" s="19">
        <v>0</v>
      </c>
      <c r="R2130" s="19" t="s">
        <v>1075</v>
      </c>
      <c r="S2130" s="19">
        <v>1</v>
      </c>
      <c r="T2130" s="19">
        <v>1</v>
      </c>
      <c r="U2130" s="19">
        <v>0</v>
      </c>
      <c r="V2130" s="19" t="s">
        <v>36</v>
      </c>
      <c r="W2130" s="19">
        <v>0</v>
      </c>
      <c r="Y2130" s="19" t="s">
        <v>103</v>
      </c>
      <c r="Z2130" s="19">
        <v>50</v>
      </c>
      <c r="AA2130" s="19">
        <v>0</v>
      </c>
    </row>
    <row r="2131" spans="1:27" x14ac:dyDescent="0.25">
      <c r="A2131" s="19" t="s">
        <v>1424</v>
      </c>
      <c r="B2131" s="19" t="s">
        <v>1400</v>
      </c>
      <c r="C2131" s="19" t="s">
        <v>1401</v>
      </c>
      <c r="D2131" s="19">
        <v>1.085</v>
      </c>
      <c r="E2131" s="19" t="s">
        <v>117</v>
      </c>
      <c r="F2131" s="19" t="s">
        <v>118</v>
      </c>
      <c r="G2131" s="19" t="s">
        <v>32</v>
      </c>
      <c r="H2131" s="19" t="s">
        <v>114</v>
      </c>
      <c r="I2131" s="19" t="s">
        <v>115</v>
      </c>
      <c r="J2131" s="19">
        <v>31</v>
      </c>
      <c r="K2131" s="19">
        <v>2.1700000000000001E-2</v>
      </c>
      <c r="L2131" s="19" t="s">
        <v>35</v>
      </c>
      <c r="M2131" s="19" t="s">
        <v>103</v>
      </c>
      <c r="N2131" s="19">
        <v>50</v>
      </c>
      <c r="O2131" s="19">
        <v>50</v>
      </c>
      <c r="P2131" s="19">
        <v>0</v>
      </c>
      <c r="Q2131" s="19">
        <v>0</v>
      </c>
      <c r="R2131" s="19" t="s">
        <v>1075</v>
      </c>
      <c r="S2131" s="19">
        <v>1</v>
      </c>
      <c r="T2131" s="19">
        <v>1</v>
      </c>
      <c r="U2131" s="19">
        <v>0</v>
      </c>
      <c r="V2131" s="19" t="s">
        <v>41</v>
      </c>
      <c r="W2131" s="19">
        <v>1</v>
      </c>
      <c r="Y2131" s="19" t="s">
        <v>103</v>
      </c>
      <c r="Z2131" s="19">
        <v>50</v>
      </c>
      <c r="AA2131" s="19">
        <v>50</v>
      </c>
    </row>
    <row r="2132" spans="1:27" x14ac:dyDescent="0.25">
      <c r="A2132" s="19" t="s">
        <v>1425</v>
      </c>
      <c r="B2132" s="19" t="s">
        <v>1400</v>
      </c>
      <c r="C2132" s="19" t="s">
        <v>1401</v>
      </c>
      <c r="D2132" s="19">
        <v>0</v>
      </c>
      <c r="E2132" s="19" t="s">
        <v>120</v>
      </c>
      <c r="F2132" s="19" t="s">
        <v>121</v>
      </c>
      <c r="G2132" s="19" t="s">
        <v>32</v>
      </c>
      <c r="H2132" s="19" t="s">
        <v>114</v>
      </c>
      <c r="I2132" s="19" t="s">
        <v>115</v>
      </c>
      <c r="J2132" s="19">
        <v>28</v>
      </c>
      <c r="K2132" s="19">
        <v>2.1700000000000001E-2</v>
      </c>
      <c r="L2132" s="19" t="s">
        <v>35</v>
      </c>
      <c r="M2132" s="19" t="s">
        <v>103</v>
      </c>
      <c r="N2132" s="19">
        <v>0</v>
      </c>
      <c r="O2132" s="19">
        <v>0</v>
      </c>
      <c r="P2132" s="19">
        <v>0</v>
      </c>
      <c r="Q2132" s="19">
        <v>0</v>
      </c>
      <c r="R2132" s="19" t="s">
        <v>1075</v>
      </c>
      <c r="S2132" s="19">
        <v>1</v>
      </c>
      <c r="T2132" s="19">
        <v>1</v>
      </c>
      <c r="U2132" s="19">
        <v>0</v>
      </c>
      <c r="V2132" s="19" t="s">
        <v>80</v>
      </c>
      <c r="W2132" s="19">
        <v>0</v>
      </c>
      <c r="Y2132" s="19" t="s">
        <v>103</v>
      </c>
      <c r="Z2132" s="19">
        <v>50</v>
      </c>
      <c r="AA2132" s="19">
        <v>0</v>
      </c>
    </row>
    <row r="2133" spans="1:27" x14ac:dyDescent="0.25">
      <c r="A2133" s="19" t="s">
        <v>1426</v>
      </c>
      <c r="B2133" s="19" t="s">
        <v>1400</v>
      </c>
      <c r="C2133" s="19" t="s">
        <v>1401</v>
      </c>
      <c r="D2133" s="19">
        <v>0</v>
      </c>
      <c r="E2133" s="19" t="s">
        <v>123</v>
      </c>
      <c r="F2133" s="19" t="s">
        <v>124</v>
      </c>
      <c r="G2133" s="19" t="s">
        <v>32</v>
      </c>
      <c r="H2133" s="19" t="s">
        <v>114</v>
      </c>
      <c r="I2133" s="19" t="s">
        <v>115</v>
      </c>
      <c r="J2133" s="19">
        <v>27</v>
      </c>
      <c r="K2133" s="19">
        <v>2.1700000000000001E-2</v>
      </c>
      <c r="L2133" s="19" t="s">
        <v>35</v>
      </c>
      <c r="M2133" s="19" t="s">
        <v>103</v>
      </c>
      <c r="N2133" s="19">
        <v>0</v>
      </c>
      <c r="O2133" s="19">
        <v>0</v>
      </c>
      <c r="P2133" s="19">
        <v>0</v>
      </c>
      <c r="Q2133" s="19">
        <v>0</v>
      </c>
      <c r="R2133" s="19" t="s">
        <v>1075</v>
      </c>
      <c r="S2133" s="19">
        <v>1</v>
      </c>
      <c r="T2133" s="19">
        <v>1</v>
      </c>
      <c r="U2133" s="19">
        <v>0</v>
      </c>
      <c r="V2133" s="19" t="s">
        <v>36</v>
      </c>
      <c r="W2133" s="19">
        <v>0</v>
      </c>
      <c r="Y2133" s="19" t="s">
        <v>103</v>
      </c>
      <c r="Z2133" s="19">
        <v>50</v>
      </c>
      <c r="AA2133" s="19">
        <v>0</v>
      </c>
    </row>
    <row r="2134" spans="1:27" x14ac:dyDescent="0.25">
      <c r="A2134" s="19" t="s">
        <v>1427</v>
      </c>
      <c r="B2134" s="19" t="s">
        <v>1400</v>
      </c>
      <c r="C2134" s="19" t="s">
        <v>1401</v>
      </c>
      <c r="D2134" s="19">
        <v>0</v>
      </c>
      <c r="E2134" s="19" t="s">
        <v>126</v>
      </c>
      <c r="F2134" s="19" t="s">
        <v>127</v>
      </c>
      <c r="G2134" s="19" t="s">
        <v>32</v>
      </c>
      <c r="H2134" s="19" t="s">
        <v>114</v>
      </c>
      <c r="I2134" s="19" t="s">
        <v>115</v>
      </c>
      <c r="J2134" s="19">
        <v>29</v>
      </c>
      <c r="K2134" s="19">
        <v>2.1700000000000001E-2</v>
      </c>
      <c r="L2134" s="19" t="s">
        <v>35</v>
      </c>
      <c r="M2134" s="19" t="s">
        <v>103</v>
      </c>
      <c r="N2134" s="19">
        <v>0</v>
      </c>
      <c r="O2134" s="19">
        <v>0</v>
      </c>
      <c r="P2134" s="19">
        <v>0</v>
      </c>
      <c r="Q2134" s="19">
        <v>0</v>
      </c>
      <c r="R2134" s="19" t="s">
        <v>1075</v>
      </c>
      <c r="S2134" s="19">
        <v>1</v>
      </c>
      <c r="T2134" s="19">
        <v>1</v>
      </c>
      <c r="U2134" s="19">
        <v>0</v>
      </c>
      <c r="V2134" s="19" t="s">
        <v>80</v>
      </c>
      <c r="W2134" s="19">
        <v>0</v>
      </c>
      <c r="Y2134" s="19" t="s">
        <v>103</v>
      </c>
      <c r="Z2134" s="19">
        <v>50</v>
      </c>
      <c r="AA2134" s="19">
        <v>0</v>
      </c>
    </row>
    <row r="2135" spans="1:27" x14ac:dyDescent="0.25">
      <c r="A2135" s="19" t="s">
        <v>1428</v>
      </c>
      <c r="B2135" s="19" t="s">
        <v>1400</v>
      </c>
      <c r="C2135" s="19" t="s">
        <v>1401</v>
      </c>
      <c r="D2135" s="19">
        <v>1.085</v>
      </c>
      <c r="E2135" s="19" t="s">
        <v>129</v>
      </c>
      <c r="F2135" s="19" t="s">
        <v>130</v>
      </c>
      <c r="G2135" s="19" t="s">
        <v>32</v>
      </c>
      <c r="H2135" s="19" t="s">
        <v>114</v>
      </c>
      <c r="I2135" s="19" t="s">
        <v>115</v>
      </c>
      <c r="J2135" s="19">
        <v>32</v>
      </c>
      <c r="K2135" s="19">
        <v>2.1700000000000001E-2</v>
      </c>
      <c r="L2135" s="19" t="s">
        <v>35</v>
      </c>
      <c r="M2135" s="19" t="s">
        <v>103</v>
      </c>
      <c r="N2135" s="19">
        <v>50</v>
      </c>
      <c r="O2135" s="19">
        <v>50</v>
      </c>
      <c r="P2135" s="19">
        <v>0</v>
      </c>
      <c r="Q2135" s="19">
        <v>0</v>
      </c>
      <c r="R2135" s="19" t="s">
        <v>1075</v>
      </c>
      <c r="S2135" s="19">
        <v>1</v>
      </c>
      <c r="T2135" s="19">
        <v>1</v>
      </c>
      <c r="U2135" s="19">
        <v>0</v>
      </c>
      <c r="V2135" s="19" t="s">
        <v>41</v>
      </c>
      <c r="W2135" s="19">
        <v>1</v>
      </c>
      <c r="Y2135" s="19" t="s">
        <v>103</v>
      </c>
      <c r="Z2135" s="19">
        <v>50</v>
      </c>
      <c r="AA2135" s="19">
        <v>50</v>
      </c>
    </row>
    <row r="2136" spans="1:27" x14ac:dyDescent="0.25">
      <c r="A2136" s="19" t="s">
        <v>1429</v>
      </c>
      <c r="B2136" s="19" t="s">
        <v>1400</v>
      </c>
      <c r="C2136" s="19" t="s">
        <v>1401</v>
      </c>
      <c r="D2136" s="19">
        <v>2.085</v>
      </c>
      <c r="E2136" s="19" t="s">
        <v>132</v>
      </c>
      <c r="F2136" s="19" t="s">
        <v>133</v>
      </c>
      <c r="G2136" s="19" t="s">
        <v>134</v>
      </c>
      <c r="H2136" s="19" t="s">
        <v>87</v>
      </c>
      <c r="I2136" s="19" t="s">
        <v>135</v>
      </c>
      <c r="J2136" s="19">
        <v>11</v>
      </c>
      <c r="K2136" s="19">
        <v>4.1700000000000001E-2</v>
      </c>
      <c r="L2136" s="19" t="s">
        <v>35</v>
      </c>
      <c r="M2136" s="19" t="s">
        <v>103</v>
      </c>
      <c r="N2136" s="19">
        <v>50</v>
      </c>
      <c r="O2136" s="19">
        <v>50</v>
      </c>
      <c r="P2136" s="19">
        <v>0</v>
      </c>
      <c r="Q2136" s="19">
        <v>0</v>
      </c>
      <c r="R2136" s="19" t="s">
        <v>1075</v>
      </c>
      <c r="S2136" s="19">
        <v>1</v>
      </c>
      <c r="T2136" s="19">
        <v>1</v>
      </c>
      <c r="U2136" s="19">
        <v>0</v>
      </c>
      <c r="V2136" s="19" t="s">
        <v>41</v>
      </c>
      <c r="W2136" s="19">
        <v>1</v>
      </c>
      <c r="Y2136" s="19" t="s">
        <v>103</v>
      </c>
      <c r="Z2136" s="19">
        <v>50</v>
      </c>
      <c r="AA2136" s="19">
        <v>50</v>
      </c>
    </row>
    <row r="2137" spans="1:27" x14ac:dyDescent="0.25">
      <c r="A2137" s="19" t="s">
        <v>1430</v>
      </c>
      <c r="B2137" s="19" t="s">
        <v>1400</v>
      </c>
      <c r="C2137" s="19" t="s">
        <v>1401</v>
      </c>
      <c r="D2137" s="19">
        <v>0.2316435</v>
      </c>
      <c r="E2137" s="19" t="s">
        <v>137</v>
      </c>
      <c r="F2137" s="19" t="s">
        <v>138</v>
      </c>
      <c r="G2137" s="19" t="s">
        <v>134</v>
      </c>
      <c r="H2137" s="19" t="s">
        <v>87</v>
      </c>
      <c r="I2137" s="19" t="s">
        <v>135</v>
      </c>
      <c r="J2137" s="19">
        <v>9</v>
      </c>
      <c r="K2137" s="19">
        <v>4.1700000000000001E-2</v>
      </c>
      <c r="L2137" s="19" t="s">
        <v>35</v>
      </c>
      <c r="M2137" s="19" t="s">
        <v>110</v>
      </c>
      <c r="N2137" s="19">
        <v>5.5549999999999997</v>
      </c>
      <c r="O2137" s="19">
        <v>5.5549999999999997</v>
      </c>
      <c r="P2137" s="19">
        <v>0</v>
      </c>
      <c r="Q2137" s="19">
        <v>0</v>
      </c>
      <c r="R2137" s="19" t="s">
        <v>1075</v>
      </c>
      <c r="S2137" s="19">
        <v>1</v>
      </c>
      <c r="T2137" s="19">
        <v>1</v>
      </c>
      <c r="U2137" s="19">
        <v>0</v>
      </c>
      <c r="W2137" s="19">
        <v>0</v>
      </c>
      <c r="X2137" s="19">
        <v>1</v>
      </c>
      <c r="Y2137" s="19" t="s">
        <v>110</v>
      </c>
      <c r="Z2137" s="19">
        <v>16.664999999999999</v>
      </c>
      <c r="AA2137" s="19">
        <v>5.5549999999999997</v>
      </c>
    </row>
    <row r="2138" spans="1:27" x14ac:dyDescent="0.25">
      <c r="A2138" s="19" t="s">
        <v>1431</v>
      </c>
      <c r="B2138" s="19" t="s">
        <v>1400</v>
      </c>
      <c r="C2138" s="19" t="s">
        <v>1401</v>
      </c>
      <c r="D2138" s="19">
        <v>0</v>
      </c>
      <c r="E2138" s="19" t="s">
        <v>140</v>
      </c>
      <c r="F2138" s="19" t="s">
        <v>141</v>
      </c>
      <c r="G2138" s="19" t="s">
        <v>134</v>
      </c>
      <c r="H2138" s="19" t="s">
        <v>87</v>
      </c>
      <c r="I2138" s="19" t="s">
        <v>135</v>
      </c>
      <c r="J2138" s="19">
        <v>10</v>
      </c>
      <c r="K2138" s="19">
        <v>4.1700000000000001E-2</v>
      </c>
      <c r="L2138" s="19" t="s">
        <v>35</v>
      </c>
      <c r="N2138" s="19">
        <v>0</v>
      </c>
      <c r="O2138" s="19">
        <v>0</v>
      </c>
      <c r="P2138" s="19">
        <v>0</v>
      </c>
      <c r="Q2138" s="19">
        <v>0</v>
      </c>
      <c r="R2138" s="19" t="s">
        <v>1075</v>
      </c>
      <c r="S2138" s="19">
        <v>1</v>
      </c>
      <c r="T2138" s="19">
        <v>1</v>
      </c>
      <c r="U2138" s="19">
        <v>0</v>
      </c>
      <c r="W2138" s="19">
        <v>0</v>
      </c>
      <c r="X2138" s="19">
        <v>0</v>
      </c>
      <c r="Z2138" s="19">
        <v>0</v>
      </c>
      <c r="AA2138" s="19">
        <v>0</v>
      </c>
    </row>
    <row r="2139" spans="1:27" x14ac:dyDescent="0.25">
      <c r="A2139" s="19" t="s">
        <v>1432</v>
      </c>
      <c r="B2139" s="19" t="s">
        <v>1400</v>
      </c>
      <c r="C2139" s="19" t="s">
        <v>1401</v>
      </c>
      <c r="D2139" s="19">
        <v>1.25</v>
      </c>
      <c r="E2139" s="19" t="s">
        <v>144</v>
      </c>
      <c r="F2139" s="19" t="s">
        <v>145</v>
      </c>
      <c r="G2139" s="19" t="s">
        <v>134</v>
      </c>
      <c r="H2139" s="19" t="s">
        <v>146</v>
      </c>
      <c r="I2139" s="19" t="s">
        <v>147</v>
      </c>
      <c r="J2139" s="19">
        <v>4</v>
      </c>
      <c r="K2139" s="19">
        <v>2.5000000000000001E-2</v>
      </c>
      <c r="L2139" s="19" t="s">
        <v>35</v>
      </c>
      <c r="M2139" s="19" t="s">
        <v>103</v>
      </c>
      <c r="N2139" s="19">
        <v>50</v>
      </c>
      <c r="O2139" s="19">
        <v>50</v>
      </c>
      <c r="P2139" s="19">
        <v>0</v>
      </c>
      <c r="Q2139" s="19">
        <v>0</v>
      </c>
      <c r="R2139" s="19" t="s">
        <v>1075</v>
      </c>
      <c r="S2139" s="19">
        <v>1</v>
      </c>
      <c r="T2139" s="19">
        <v>1</v>
      </c>
      <c r="U2139" s="19">
        <v>0</v>
      </c>
      <c r="V2139" s="19" t="s">
        <v>41</v>
      </c>
      <c r="W2139" s="19">
        <v>1</v>
      </c>
      <c r="Y2139" s="19" t="s">
        <v>103</v>
      </c>
      <c r="Z2139" s="19">
        <v>50</v>
      </c>
      <c r="AA2139" s="19">
        <v>50</v>
      </c>
    </row>
    <row r="2140" spans="1:27" x14ac:dyDescent="0.25">
      <c r="A2140" s="19" t="s">
        <v>1433</v>
      </c>
      <c r="B2140" s="19" t="s">
        <v>1400</v>
      </c>
      <c r="C2140" s="19" t="s">
        <v>1401</v>
      </c>
      <c r="D2140" s="19">
        <v>1.25</v>
      </c>
      <c r="E2140" s="19" t="s">
        <v>149</v>
      </c>
      <c r="F2140" s="19" t="s">
        <v>150</v>
      </c>
      <c r="G2140" s="19" t="s">
        <v>134</v>
      </c>
      <c r="H2140" s="19" t="s">
        <v>146</v>
      </c>
      <c r="I2140" s="19" t="s">
        <v>147</v>
      </c>
      <c r="J2140" s="19">
        <v>5</v>
      </c>
      <c r="K2140" s="19">
        <v>2.5000000000000001E-2</v>
      </c>
      <c r="L2140" s="19" t="s">
        <v>35</v>
      </c>
      <c r="M2140" s="19" t="s">
        <v>103</v>
      </c>
      <c r="N2140" s="19">
        <v>50</v>
      </c>
      <c r="O2140" s="19">
        <v>50</v>
      </c>
      <c r="P2140" s="19">
        <v>0</v>
      </c>
      <c r="Q2140" s="19">
        <v>0</v>
      </c>
      <c r="R2140" s="19" t="s">
        <v>1075</v>
      </c>
      <c r="S2140" s="19">
        <v>1</v>
      </c>
      <c r="T2140" s="19">
        <v>1</v>
      </c>
      <c r="U2140" s="19">
        <v>0</v>
      </c>
      <c r="V2140" s="19" t="s">
        <v>41</v>
      </c>
      <c r="W2140" s="19">
        <v>1</v>
      </c>
      <c r="Y2140" s="19" t="s">
        <v>103</v>
      </c>
      <c r="Z2140" s="19">
        <v>50</v>
      </c>
      <c r="AA2140" s="19">
        <v>50</v>
      </c>
    </row>
    <row r="2141" spans="1:27" x14ac:dyDescent="0.25">
      <c r="A2141" s="19" t="s">
        <v>1434</v>
      </c>
      <c r="B2141" s="19" t="s">
        <v>1400</v>
      </c>
      <c r="C2141" s="19" t="s">
        <v>1401</v>
      </c>
      <c r="D2141" s="19">
        <v>1.25</v>
      </c>
      <c r="E2141" s="19" t="s">
        <v>152</v>
      </c>
      <c r="F2141" s="19" t="s">
        <v>153</v>
      </c>
      <c r="G2141" s="19" t="s">
        <v>134</v>
      </c>
      <c r="H2141" s="19" t="s">
        <v>146</v>
      </c>
      <c r="I2141" s="19" t="s">
        <v>147</v>
      </c>
      <c r="J2141" s="19">
        <v>6</v>
      </c>
      <c r="K2141" s="19">
        <v>2.5000000000000001E-2</v>
      </c>
      <c r="L2141" s="19" t="s">
        <v>35</v>
      </c>
      <c r="M2141" s="19" t="s">
        <v>103</v>
      </c>
      <c r="N2141" s="19">
        <v>50</v>
      </c>
      <c r="O2141" s="19">
        <v>50</v>
      </c>
      <c r="P2141" s="19">
        <v>0</v>
      </c>
      <c r="Q2141" s="19">
        <v>0</v>
      </c>
      <c r="R2141" s="19" t="s">
        <v>1075</v>
      </c>
      <c r="S2141" s="19">
        <v>1</v>
      </c>
      <c r="T2141" s="19">
        <v>1</v>
      </c>
      <c r="U2141" s="19">
        <v>0</v>
      </c>
      <c r="V2141" s="19" t="s">
        <v>41</v>
      </c>
      <c r="W2141" s="19">
        <v>1</v>
      </c>
      <c r="Y2141" s="19" t="s">
        <v>103</v>
      </c>
      <c r="Z2141" s="19">
        <v>50</v>
      </c>
      <c r="AA2141" s="19">
        <v>50</v>
      </c>
    </row>
    <row r="2142" spans="1:27" x14ac:dyDescent="0.25">
      <c r="A2142" s="19" t="s">
        <v>1435</v>
      </c>
      <c r="B2142" s="19" t="s">
        <v>1400</v>
      </c>
      <c r="C2142" s="19" t="s">
        <v>1401</v>
      </c>
      <c r="D2142" s="19">
        <v>1.25</v>
      </c>
      <c r="E2142" s="19" t="s">
        <v>155</v>
      </c>
      <c r="F2142" s="19" t="s">
        <v>156</v>
      </c>
      <c r="G2142" s="19" t="s">
        <v>134</v>
      </c>
      <c r="H2142" s="19" t="s">
        <v>146</v>
      </c>
      <c r="I2142" s="19" t="s">
        <v>147</v>
      </c>
      <c r="J2142" s="19">
        <v>7</v>
      </c>
      <c r="K2142" s="19">
        <v>2.5000000000000001E-2</v>
      </c>
      <c r="L2142" s="19" t="s">
        <v>35</v>
      </c>
      <c r="M2142" s="19" t="s">
        <v>103</v>
      </c>
      <c r="N2142" s="19">
        <v>50</v>
      </c>
      <c r="O2142" s="19">
        <v>50</v>
      </c>
      <c r="P2142" s="19">
        <v>0</v>
      </c>
      <c r="Q2142" s="19">
        <v>0</v>
      </c>
      <c r="R2142" s="19" t="s">
        <v>1075</v>
      </c>
      <c r="S2142" s="19">
        <v>1</v>
      </c>
      <c r="T2142" s="19">
        <v>1</v>
      </c>
      <c r="U2142" s="19">
        <v>0</v>
      </c>
      <c r="V2142" s="19" t="s">
        <v>41</v>
      </c>
      <c r="W2142" s="19">
        <v>1</v>
      </c>
      <c r="Y2142" s="19" t="s">
        <v>103</v>
      </c>
      <c r="Z2142" s="19">
        <v>50</v>
      </c>
      <c r="AA2142" s="19">
        <v>50</v>
      </c>
    </row>
    <row r="2143" spans="1:27" x14ac:dyDescent="0.25">
      <c r="A2143" s="19" t="s">
        <v>1436</v>
      </c>
      <c r="B2143" s="19" t="s">
        <v>1400</v>
      </c>
      <c r="C2143" s="19" t="s">
        <v>1401</v>
      </c>
      <c r="D2143" s="19">
        <v>1.25</v>
      </c>
      <c r="E2143" s="19" t="s">
        <v>158</v>
      </c>
      <c r="F2143" s="19" t="s">
        <v>159</v>
      </c>
      <c r="G2143" s="19" t="s">
        <v>134</v>
      </c>
      <c r="H2143" s="19" t="s">
        <v>146</v>
      </c>
      <c r="I2143" s="19" t="s">
        <v>147</v>
      </c>
      <c r="J2143" s="19">
        <v>8</v>
      </c>
      <c r="K2143" s="19">
        <v>2.5000000000000001E-2</v>
      </c>
      <c r="L2143" s="19" t="s">
        <v>35</v>
      </c>
      <c r="M2143" s="19" t="s">
        <v>103</v>
      </c>
      <c r="N2143" s="19">
        <v>50</v>
      </c>
      <c r="O2143" s="19">
        <v>50</v>
      </c>
      <c r="P2143" s="19">
        <v>0</v>
      </c>
      <c r="Q2143" s="19">
        <v>0</v>
      </c>
      <c r="R2143" s="19" t="s">
        <v>1075</v>
      </c>
      <c r="S2143" s="19">
        <v>1</v>
      </c>
      <c r="T2143" s="19">
        <v>1</v>
      </c>
      <c r="U2143" s="19">
        <v>0</v>
      </c>
      <c r="V2143" s="19" t="s">
        <v>41</v>
      </c>
      <c r="W2143" s="19">
        <v>1</v>
      </c>
      <c r="Y2143" s="19" t="s">
        <v>103</v>
      </c>
      <c r="Z2143" s="19">
        <v>50</v>
      </c>
      <c r="AA2143" s="19">
        <v>50</v>
      </c>
    </row>
    <row r="2144" spans="1:27" x14ac:dyDescent="0.25">
      <c r="A2144" s="19" t="s">
        <v>1437</v>
      </c>
      <c r="B2144" s="19" t="s">
        <v>1400</v>
      </c>
      <c r="C2144" s="19" t="s">
        <v>1401</v>
      </c>
      <c r="D2144" s="19">
        <v>2.2197779999999998</v>
      </c>
      <c r="E2144" s="19" t="s">
        <v>161</v>
      </c>
      <c r="F2144" s="19" t="s">
        <v>162</v>
      </c>
      <c r="G2144" s="19" t="s">
        <v>163</v>
      </c>
      <c r="I2144" s="19" t="s">
        <v>164</v>
      </c>
      <c r="J2144" s="19">
        <v>1</v>
      </c>
      <c r="K2144" s="19">
        <v>3.3300000000000003E-2</v>
      </c>
      <c r="L2144" s="19" t="s">
        <v>35</v>
      </c>
      <c r="M2144" s="19" t="s">
        <v>165</v>
      </c>
      <c r="N2144" s="19">
        <v>66.66</v>
      </c>
      <c r="O2144" s="19">
        <v>66.66</v>
      </c>
      <c r="P2144" s="19">
        <v>0</v>
      </c>
      <c r="Q2144" s="19">
        <v>0</v>
      </c>
      <c r="R2144" s="19" t="s">
        <v>1075</v>
      </c>
      <c r="S2144" s="19">
        <v>1</v>
      </c>
      <c r="T2144" s="19">
        <v>1</v>
      </c>
      <c r="U2144" s="19">
        <v>0</v>
      </c>
      <c r="W2144" s="19">
        <v>0</v>
      </c>
      <c r="X2144" s="19">
        <v>66.66</v>
      </c>
      <c r="Z2144" s="19">
        <v>0</v>
      </c>
      <c r="AA2144" s="19">
        <v>66.66</v>
      </c>
    </row>
    <row r="2145" spans="1:27" x14ac:dyDescent="0.25">
      <c r="A2145" s="19" t="s">
        <v>1438</v>
      </c>
      <c r="B2145" s="19" t="s">
        <v>1400</v>
      </c>
      <c r="C2145" s="19" t="s">
        <v>1401</v>
      </c>
      <c r="D2145" s="19">
        <v>2.2197779999999998</v>
      </c>
      <c r="E2145" s="19" t="s">
        <v>167</v>
      </c>
      <c r="F2145" s="19" t="s">
        <v>168</v>
      </c>
      <c r="G2145" s="19" t="s">
        <v>163</v>
      </c>
      <c r="I2145" s="19" t="s">
        <v>164</v>
      </c>
      <c r="J2145" s="19">
        <v>3</v>
      </c>
      <c r="K2145" s="19">
        <v>3.3300000000000003E-2</v>
      </c>
      <c r="L2145" s="19" t="s">
        <v>35</v>
      </c>
      <c r="M2145" s="19" t="s">
        <v>165</v>
      </c>
      <c r="N2145" s="19">
        <v>66.66</v>
      </c>
      <c r="O2145" s="19">
        <v>66.66</v>
      </c>
      <c r="P2145" s="19">
        <v>0</v>
      </c>
      <c r="Q2145" s="19">
        <v>0</v>
      </c>
      <c r="R2145" s="19" t="s">
        <v>1075</v>
      </c>
      <c r="S2145" s="19">
        <v>1</v>
      </c>
      <c r="T2145" s="19">
        <v>1</v>
      </c>
      <c r="U2145" s="19">
        <v>0</v>
      </c>
      <c r="W2145" s="19">
        <v>0</v>
      </c>
      <c r="X2145" s="19">
        <v>66.66</v>
      </c>
      <c r="Z2145" s="19">
        <v>0</v>
      </c>
      <c r="AA2145" s="19">
        <v>66.66</v>
      </c>
    </row>
    <row r="2146" spans="1:27" x14ac:dyDescent="0.25">
      <c r="A2146" s="19" t="s">
        <v>1439</v>
      </c>
      <c r="B2146" s="19" t="s">
        <v>1400</v>
      </c>
      <c r="C2146" s="19" t="s">
        <v>1401</v>
      </c>
      <c r="D2146" s="19">
        <v>1.0323</v>
      </c>
      <c r="E2146" s="19" t="s">
        <v>170</v>
      </c>
      <c r="F2146" s="19" t="s">
        <v>171</v>
      </c>
      <c r="G2146" s="19" t="s">
        <v>163</v>
      </c>
      <c r="I2146" s="19" t="s">
        <v>164</v>
      </c>
      <c r="J2146" s="19">
        <v>2</v>
      </c>
      <c r="K2146" s="19">
        <v>3.3300000000000003E-2</v>
      </c>
      <c r="L2146" s="19" t="s">
        <v>35</v>
      </c>
      <c r="M2146" s="19" t="s">
        <v>165</v>
      </c>
      <c r="N2146" s="19">
        <v>31</v>
      </c>
      <c r="O2146" s="19">
        <v>31</v>
      </c>
      <c r="P2146" s="19">
        <v>0</v>
      </c>
      <c r="Q2146" s="19">
        <v>0</v>
      </c>
      <c r="R2146" s="19" t="s">
        <v>1075</v>
      </c>
      <c r="S2146" s="19">
        <v>1</v>
      </c>
      <c r="T2146" s="19">
        <v>1</v>
      </c>
      <c r="U2146" s="19">
        <v>0</v>
      </c>
      <c r="W2146" s="19">
        <v>0</v>
      </c>
      <c r="X2146" s="19">
        <v>31</v>
      </c>
      <c r="Z2146" s="19">
        <v>0</v>
      </c>
      <c r="AA2146" s="19">
        <v>31</v>
      </c>
    </row>
    <row r="2147" spans="1:27" x14ac:dyDescent="0.25">
      <c r="A2147" s="19" t="s">
        <v>1604</v>
      </c>
      <c r="B2147" s="19" t="s">
        <v>1605</v>
      </c>
      <c r="C2147" s="19">
        <v>41114</v>
      </c>
      <c r="D2147" s="19">
        <v>1.6120879120879099</v>
      </c>
      <c r="E2147" s="19" t="s">
        <v>30</v>
      </c>
      <c r="F2147" s="19" t="s">
        <v>31</v>
      </c>
      <c r="G2147" s="19" t="s">
        <v>32</v>
      </c>
      <c r="H2147" s="19" t="s">
        <v>33</v>
      </c>
      <c r="I2147" s="19" t="s">
        <v>34</v>
      </c>
      <c r="J2147" s="19">
        <v>17</v>
      </c>
      <c r="K2147" s="19">
        <v>1.6299999999999999E-2</v>
      </c>
      <c r="L2147" s="19" t="s">
        <v>541</v>
      </c>
      <c r="M2147" s="19" t="s">
        <v>541</v>
      </c>
      <c r="N2147" s="19">
        <v>50</v>
      </c>
      <c r="O2147" s="19">
        <v>98.901098901099999</v>
      </c>
      <c r="P2147" s="19">
        <v>97.802197802199998</v>
      </c>
      <c r="Q2147" s="19">
        <v>48.901098901099999</v>
      </c>
      <c r="R2147" s="19" t="s">
        <v>1075</v>
      </c>
      <c r="S2147" s="19">
        <v>1</v>
      </c>
      <c r="T2147" s="19">
        <v>1</v>
      </c>
      <c r="U2147" s="19">
        <v>48.901098901099999</v>
      </c>
      <c r="AA2147" s="19">
        <v>0</v>
      </c>
    </row>
    <row r="2148" spans="1:27" x14ac:dyDescent="0.25">
      <c r="A2148" s="19" t="s">
        <v>1606</v>
      </c>
      <c r="B2148" s="19" t="s">
        <v>1605</v>
      </c>
      <c r="C2148" s="19">
        <v>41114</v>
      </c>
      <c r="D2148" s="19">
        <v>1.63</v>
      </c>
      <c r="E2148" s="19" t="s">
        <v>38</v>
      </c>
      <c r="F2148" s="19" t="s">
        <v>39</v>
      </c>
      <c r="G2148" s="19" t="s">
        <v>32</v>
      </c>
      <c r="H2148" s="19" t="s">
        <v>33</v>
      </c>
      <c r="I2148" s="19" t="s">
        <v>34</v>
      </c>
      <c r="J2148" s="19">
        <v>19</v>
      </c>
      <c r="K2148" s="19">
        <v>1.6299999999999999E-2</v>
      </c>
      <c r="L2148" s="19" t="s">
        <v>541</v>
      </c>
      <c r="M2148" s="19" t="s">
        <v>541</v>
      </c>
      <c r="N2148" s="19">
        <v>50</v>
      </c>
      <c r="O2148" s="19">
        <v>100</v>
      </c>
      <c r="P2148" s="19">
        <v>100</v>
      </c>
      <c r="Q2148" s="19">
        <v>50</v>
      </c>
      <c r="R2148" s="19" t="s">
        <v>1075</v>
      </c>
      <c r="S2148" s="19">
        <v>1</v>
      </c>
      <c r="T2148" s="19">
        <v>1</v>
      </c>
      <c r="U2148" s="19">
        <v>50</v>
      </c>
      <c r="AA2148" s="19">
        <v>0</v>
      </c>
    </row>
    <row r="2149" spans="1:27" x14ac:dyDescent="0.25">
      <c r="A2149" s="19" t="s">
        <v>1607</v>
      </c>
      <c r="B2149" s="19" t="s">
        <v>1605</v>
      </c>
      <c r="C2149" s="19">
        <v>41114</v>
      </c>
      <c r="D2149" s="19">
        <v>1.63</v>
      </c>
      <c r="E2149" s="19" t="s">
        <v>43</v>
      </c>
      <c r="F2149" s="19" t="s">
        <v>44</v>
      </c>
      <c r="G2149" s="19" t="s">
        <v>32</v>
      </c>
      <c r="H2149" s="19" t="s">
        <v>33</v>
      </c>
      <c r="I2149" s="19" t="s">
        <v>34</v>
      </c>
      <c r="J2149" s="19">
        <v>18</v>
      </c>
      <c r="K2149" s="19">
        <v>1.6299999999999999E-2</v>
      </c>
      <c r="L2149" s="19" t="s">
        <v>541</v>
      </c>
      <c r="M2149" s="19" t="s">
        <v>541</v>
      </c>
      <c r="N2149" s="19">
        <v>50</v>
      </c>
      <c r="O2149" s="19">
        <v>100</v>
      </c>
      <c r="P2149" s="19">
        <v>100</v>
      </c>
      <c r="Q2149" s="19">
        <v>50</v>
      </c>
      <c r="R2149" s="19" t="s">
        <v>1075</v>
      </c>
      <c r="S2149" s="19">
        <v>1</v>
      </c>
      <c r="T2149" s="19">
        <v>1</v>
      </c>
      <c r="U2149" s="19">
        <v>50</v>
      </c>
      <c r="AA2149" s="19">
        <v>0</v>
      </c>
    </row>
    <row r="2150" spans="1:27" x14ac:dyDescent="0.25">
      <c r="A2150" s="19" t="s">
        <v>1608</v>
      </c>
      <c r="B2150" s="19" t="s">
        <v>1605</v>
      </c>
      <c r="C2150" s="19">
        <v>41114</v>
      </c>
      <c r="D2150" s="19">
        <v>1.56155716130313</v>
      </c>
      <c r="E2150" s="19" t="s">
        <v>46</v>
      </c>
      <c r="F2150" s="19" t="s">
        <v>47</v>
      </c>
      <c r="G2150" s="19" t="s">
        <v>32</v>
      </c>
      <c r="H2150" s="19" t="s">
        <v>33</v>
      </c>
      <c r="I2150" s="19" t="s">
        <v>34</v>
      </c>
      <c r="J2150" s="19">
        <v>15</v>
      </c>
      <c r="K2150" s="19">
        <v>1.6299999999999999E-2</v>
      </c>
      <c r="L2150" s="19" t="s">
        <v>541</v>
      </c>
      <c r="M2150" s="19" t="s">
        <v>541</v>
      </c>
      <c r="N2150" s="19">
        <v>50</v>
      </c>
      <c r="O2150" s="19">
        <v>95.801052840699995</v>
      </c>
      <c r="P2150" s="19">
        <v>91.602105681400005</v>
      </c>
      <c r="Q2150" s="19">
        <v>45.801052840700002</v>
      </c>
      <c r="R2150" s="19" t="s">
        <v>1075</v>
      </c>
      <c r="S2150" s="19">
        <v>1</v>
      </c>
      <c r="T2150" s="19">
        <v>1</v>
      </c>
      <c r="U2150" s="19">
        <v>45.801052840700002</v>
      </c>
      <c r="AA2150" s="19">
        <v>0</v>
      </c>
    </row>
    <row r="2151" spans="1:27" x14ac:dyDescent="0.25">
      <c r="A2151" s="19" t="s">
        <v>1609</v>
      </c>
      <c r="B2151" s="19" t="s">
        <v>1605</v>
      </c>
      <c r="C2151" s="19">
        <v>41114</v>
      </c>
      <c r="D2151" s="19">
        <v>1.62463815789473</v>
      </c>
      <c r="E2151" s="19" t="s">
        <v>49</v>
      </c>
      <c r="F2151" s="19" t="s">
        <v>50</v>
      </c>
      <c r="G2151" s="19" t="s">
        <v>32</v>
      </c>
      <c r="H2151" s="19" t="s">
        <v>33</v>
      </c>
      <c r="I2151" s="19" t="s">
        <v>34</v>
      </c>
      <c r="J2151" s="19">
        <v>12</v>
      </c>
      <c r="K2151" s="19">
        <v>1.6299999999999999E-2</v>
      </c>
      <c r="L2151" s="19" t="s">
        <v>541</v>
      </c>
      <c r="M2151" s="19" t="s">
        <v>541</v>
      </c>
      <c r="N2151" s="19">
        <v>50</v>
      </c>
      <c r="O2151" s="19">
        <v>99.671052631600006</v>
      </c>
      <c r="P2151" s="19">
        <v>99.342105263199997</v>
      </c>
      <c r="Q2151" s="19">
        <v>49.671052631599999</v>
      </c>
      <c r="R2151" s="19" t="s">
        <v>1075</v>
      </c>
      <c r="S2151" s="19">
        <v>1</v>
      </c>
      <c r="T2151" s="19">
        <v>1</v>
      </c>
      <c r="U2151" s="19">
        <v>49.671052631599999</v>
      </c>
      <c r="AA2151" s="19">
        <v>0</v>
      </c>
    </row>
    <row r="2152" spans="1:27" x14ac:dyDescent="0.25">
      <c r="A2152" s="19" t="s">
        <v>1610</v>
      </c>
      <c r="B2152" s="19" t="s">
        <v>1605</v>
      </c>
      <c r="C2152" s="19">
        <v>41114</v>
      </c>
      <c r="D2152" s="19">
        <v>1.63</v>
      </c>
      <c r="E2152" s="19" t="s">
        <v>52</v>
      </c>
      <c r="F2152" s="19" t="s">
        <v>53</v>
      </c>
      <c r="G2152" s="19" t="s">
        <v>32</v>
      </c>
      <c r="H2152" s="19" t="s">
        <v>33</v>
      </c>
      <c r="I2152" s="19" t="s">
        <v>34</v>
      </c>
      <c r="J2152" s="19">
        <v>16</v>
      </c>
      <c r="K2152" s="19">
        <v>1.6299999999999999E-2</v>
      </c>
      <c r="L2152" s="19" t="s">
        <v>541</v>
      </c>
      <c r="M2152" s="19" t="s">
        <v>541</v>
      </c>
      <c r="N2152" s="19">
        <v>50</v>
      </c>
      <c r="O2152" s="19">
        <v>100</v>
      </c>
      <c r="P2152" s="19">
        <v>100</v>
      </c>
      <c r="Q2152" s="19">
        <v>50</v>
      </c>
      <c r="R2152" s="19" t="s">
        <v>1075</v>
      </c>
      <c r="S2152" s="19">
        <v>1</v>
      </c>
      <c r="T2152" s="19">
        <v>1</v>
      </c>
      <c r="U2152" s="19">
        <v>50</v>
      </c>
      <c r="AA2152" s="19">
        <v>0</v>
      </c>
    </row>
    <row r="2153" spans="1:27" x14ac:dyDescent="0.25">
      <c r="A2153" s="19" t="s">
        <v>1611</v>
      </c>
      <c r="B2153" s="19" t="s">
        <v>1605</v>
      </c>
      <c r="C2153" s="19">
        <v>41114</v>
      </c>
      <c r="D2153" s="19">
        <v>1.6230788140643599</v>
      </c>
      <c r="E2153" s="19" t="s">
        <v>55</v>
      </c>
      <c r="F2153" s="19" t="s">
        <v>56</v>
      </c>
      <c r="G2153" s="19" t="s">
        <v>32</v>
      </c>
      <c r="H2153" s="19" t="s">
        <v>33</v>
      </c>
      <c r="I2153" s="19" t="s">
        <v>34</v>
      </c>
      <c r="J2153" s="19">
        <v>14</v>
      </c>
      <c r="K2153" s="19">
        <v>1.6299999999999999E-2</v>
      </c>
      <c r="L2153" s="19" t="s">
        <v>541</v>
      </c>
      <c r="M2153" s="19" t="s">
        <v>541</v>
      </c>
      <c r="N2153" s="19">
        <v>50</v>
      </c>
      <c r="O2153" s="19">
        <v>99.575387365899999</v>
      </c>
      <c r="P2153" s="19">
        <v>99.150774731799999</v>
      </c>
      <c r="Q2153" s="19">
        <v>49.575387365899999</v>
      </c>
      <c r="R2153" s="19" t="s">
        <v>1075</v>
      </c>
      <c r="S2153" s="19">
        <v>1</v>
      </c>
      <c r="T2153" s="19">
        <v>1</v>
      </c>
      <c r="U2153" s="19">
        <v>49.575387365899999</v>
      </c>
      <c r="AA2153" s="19">
        <v>0</v>
      </c>
    </row>
    <row r="2154" spans="1:27" x14ac:dyDescent="0.25">
      <c r="A2154" s="19" t="s">
        <v>1612</v>
      </c>
      <c r="B2154" s="19" t="s">
        <v>1605</v>
      </c>
      <c r="C2154" s="19">
        <v>41114</v>
      </c>
      <c r="D2154" s="19">
        <v>1.63</v>
      </c>
      <c r="E2154" s="19" t="s">
        <v>58</v>
      </c>
      <c r="F2154" s="19" t="s">
        <v>59</v>
      </c>
      <c r="G2154" s="19" t="s">
        <v>32</v>
      </c>
      <c r="H2154" s="19" t="s">
        <v>33</v>
      </c>
      <c r="I2154" s="19" t="s">
        <v>34</v>
      </c>
      <c r="J2154" s="19">
        <v>13</v>
      </c>
      <c r="K2154" s="19">
        <v>1.6299999999999999E-2</v>
      </c>
      <c r="L2154" s="19" t="s">
        <v>541</v>
      </c>
      <c r="M2154" s="19" t="s">
        <v>541</v>
      </c>
      <c r="N2154" s="19">
        <v>50</v>
      </c>
      <c r="O2154" s="19">
        <v>100</v>
      </c>
      <c r="P2154" s="19">
        <v>100</v>
      </c>
      <c r="Q2154" s="19">
        <v>50</v>
      </c>
      <c r="R2154" s="19" t="s">
        <v>1075</v>
      </c>
      <c r="S2154" s="19">
        <v>1</v>
      </c>
      <c r="T2154" s="19">
        <v>1</v>
      </c>
      <c r="U2154" s="19">
        <v>50</v>
      </c>
      <c r="AA2154" s="19">
        <v>0</v>
      </c>
    </row>
    <row r="2155" spans="1:27" x14ac:dyDescent="0.25">
      <c r="A2155" s="19" t="s">
        <v>1613</v>
      </c>
      <c r="B2155" s="19" t="s">
        <v>1605</v>
      </c>
      <c r="C2155" s="19">
        <v>41114</v>
      </c>
      <c r="D2155" s="19">
        <v>1.8599999999999901</v>
      </c>
      <c r="E2155" s="19" t="s">
        <v>61</v>
      </c>
      <c r="F2155" s="19" t="s">
        <v>62</v>
      </c>
      <c r="G2155" s="19" t="s">
        <v>32</v>
      </c>
      <c r="H2155" s="19" t="s">
        <v>63</v>
      </c>
      <c r="I2155" s="19" t="s">
        <v>64</v>
      </c>
      <c r="J2155" s="19">
        <v>22</v>
      </c>
      <c r="K2155" s="19">
        <v>1.8599999999999998E-2</v>
      </c>
      <c r="L2155" s="19" t="s">
        <v>541</v>
      </c>
      <c r="M2155" s="19" t="s">
        <v>541</v>
      </c>
      <c r="N2155" s="19">
        <v>50</v>
      </c>
      <c r="O2155" s="19">
        <v>100</v>
      </c>
      <c r="P2155" s="19">
        <v>100</v>
      </c>
      <c r="Q2155" s="19">
        <v>50</v>
      </c>
      <c r="R2155" s="19" t="s">
        <v>1075</v>
      </c>
      <c r="S2155" s="19">
        <v>1</v>
      </c>
      <c r="T2155" s="19">
        <v>1</v>
      </c>
      <c r="U2155" s="19">
        <v>50</v>
      </c>
      <c r="AA2155" s="19">
        <v>0</v>
      </c>
    </row>
    <row r="2156" spans="1:27" x14ac:dyDescent="0.25">
      <c r="A2156" s="19" t="s">
        <v>1614</v>
      </c>
      <c r="B2156" s="19" t="s">
        <v>1605</v>
      </c>
      <c r="C2156" s="19">
        <v>41114</v>
      </c>
      <c r="D2156" s="19">
        <v>1.8599999999999901</v>
      </c>
      <c r="E2156" s="19" t="s">
        <v>66</v>
      </c>
      <c r="F2156" s="19" t="s">
        <v>67</v>
      </c>
      <c r="G2156" s="19" t="s">
        <v>32</v>
      </c>
      <c r="H2156" s="19" t="s">
        <v>63</v>
      </c>
      <c r="I2156" s="19" t="s">
        <v>64</v>
      </c>
      <c r="J2156" s="19">
        <v>20</v>
      </c>
      <c r="K2156" s="19">
        <v>1.8599999999999998E-2</v>
      </c>
      <c r="L2156" s="19" t="s">
        <v>541</v>
      </c>
      <c r="M2156" s="19" t="s">
        <v>541</v>
      </c>
      <c r="N2156" s="19">
        <v>50</v>
      </c>
      <c r="O2156" s="19">
        <v>100</v>
      </c>
      <c r="P2156" s="19">
        <v>100</v>
      </c>
      <c r="Q2156" s="19">
        <v>50</v>
      </c>
      <c r="R2156" s="19" t="s">
        <v>1075</v>
      </c>
      <c r="S2156" s="19">
        <v>1</v>
      </c>
      <c r="T2156" s="19">
        <v>1</v>
      </c>
      <c r="U2156" s="19">
        <v>50</v>
      </c>
      <c r="AA2156" s="19">
        <v>0</v>
      </c>
    </row>
    <row r="2157" spans="1:27" x14ac:dyDescent="0.25">
      <c r="A2157" s="19" t="s">
        <v>1615</v>
      </c>
      <c r="B2157" s="19" t="s">
        <v>1605</v>
      </c>
      <c r="C2157" s="19">
        <v>41114</v>
      </c>
      <c r="D2157" s="19">
        <v>1.8599999999999901</v>
      </c>
      <c r="E2157" s="19" t="s">
        <v>69</v>
      </c>
      <c r="F2157" s="19" t="s">
        <v>70</v>
      </c>
      <c r="G2157" s="19" t="s">
        <v>32</v>
      </c>
      <c r="H2157" s="19" t="s">
        <v>63</v>
      </c>
      <c r="I2157" s="19" t="s">
        <v>64</v>
      </c>
      <c r="J2157" s="19">
        <v>23</v>
      </c>
      <c r="K2157" s="19">
        <v>1.8599999999999998E-2</v>
      </c>
      <c r="L2157" s="19" t="s">
        <v>541</v>
      </c>
      <c r="M2157" s="19" t="s">
        <v>541</v>
      </c>
      <c r="N2157" s="19">
        <v>50</v>
      </c>
      <c r="O2157" s="19">
        <v>100</v>
      </c>
      <c r="P2157" s="19">
        <v>100</v>
      </c>
      <c r="Q2157" s="19">
        <v>50</v>
      </c>
      <c r="R2157" s="19" t="s">
        <v>1075</v>
      </c>
      <c r="S2157" s="19">
        <v>1</v>
      </c>
      <c r="T2157" s="19">
        <v>1</v>
      </c>
      <c r="U2157" s="19">
        <v>50</v>
      </c>
      <c r="AA2157" s="19">
        <v>0</v>
      </c>
    </row>
    <row r="2158" spans="1:27" x14ac:dyDescent="0.25">
      <c r="A2158" s="19" t="s">
        <v>1616</v>
      </c>
      <c r="B2158" s="19" t="s">
        <v>1605</v>
      </c>
      <c r="C2158" s="19">
        <v>41114</v>
      </c>
      <c r="D2158" s="19">
        <v>1.8599999999999901</v>
      </c>
      <c r="E2158" s="19" t="s">
        <v>72</v>
      </c>
      <c r="F2158" s="19" t="s">
        <v>73</v>
      </c>
      <c r="G2158" s="19" t="s">
        <v>32</v>
      </c>
      <c r="H2158" s="19" t="s">
        <v>63</v>
      </c>
      <c r="I2158" s="19" t="s">
        <v>64</v>
      </c>
      <c r="J2158" s="19">
        <v>21</v>
      </c>
      <c r="K2158" s="19">
        <v>1.8599999999999998E-2</v>
      </c>
      <c r="L2158" s="19" t="s">
        <v>541</v>
      </c>
      <c r="M2158" s="19" t="s">
        <v>541</v>
      </c>
      <c r="N2158" s="19">
        <v>50</v>
      </c>
      <c r="O2158" s="19">
        <v>100</v>
      </c>
      <c r="P2158" s="19">
        <v>100</v>
      </c>
      <c r="Q2158" s="19">
        <v>50</v>
      </c>
      <c r="R2158" s="19" t="s">
        <v>1075</v>
      </c>
      <c r="S2158" s="19">
        <v>1</v>
      </c>
      <c r="T2158" s="19">
        <v>1</v>
      </c>
      <c r="U2158" s="19">
        <v>50</v>
      </c>
      <c r="AA2158" s="19">
        <v>0</v>
      </c>
    </row>
    <row r="2159" spans="1:27" x14ac:dyDescent="0.25">
      <c r="A2159" s="19" t="s">
        <v>1617</v>
      </c>
      <c r="B2159" s="19" t="s">
        <v>1605</v>
      </c>
      <c r="C2159" s="19">
        <v>41114</v>
      </c>
      <c r="D2159" s="19">
        <v>1.8599999999999901</v>
      </c>
      <c r="E2159" s="19" t="s">
        <v>75</v>
      </c>
      <c r="F2159" s="19" t="s">
        <v>76</v>
      </c>
      <c r="G2159" s="19" t="s">
        <v>32</v>
      </c>
      <c r="H2159" s="19" t="s">
        <v>63</v>
      </c>
      <c r="I2159" s="19" t="s">
        <v>64</v>
      </c>
      <c r="J2159" s="19">
        <v>24</v>
      </c>
      <c r="K2159" s="19">
        <v>1.8599999999999998E-2</v>
      </c>
      <c r="L2159" s="19" t="s">
        <v>541</v>
      </c>
      <c r="M2159" s="19" t="s">
        <v>541</v>
      </c>
      <c r="N2159" s="19">
        <v>50</v>
      </c>
      <c r="O2159" s="19">
        <v>100</v>
      </c>
      <c r="P2159" s="19">
        <v>100</v>
      </c>
      <c r="Q2159" s="19">
        <v>50</v>
      </c>
      <c r="R2159" s="19" t="s">
        <v>1075</v>
      </c>
      <c r="S2159" s="19">
        <v>1</v>
      </c>
      <c r="T2159" s="19">
        <v>1</v>
      </c>
      <c r="U2159" s="19">
        <v>50</v>
      </c>
      <c r="AA2159" s="19">
        <v>0</v>
      </c>
    </row>
    <row r="2160" spans="1:27" x14ac:dyDescent="0.25">
      <c r="A2160" s="19" t="s">
        <v>1618</v>
      </c>
      <c r="B2160" s="19" t="s">
        <v>1605</v>
      </c>
      <c r="C2160" s="19">
        <v>41114</v>
      </c>
      <c r="D2160" s="19">
        <v>1.79930563460443</v>
      </c>
      <c r="E2160" s="19" t="s">
        <v>78</v>
      </c>
      <c r="F2160" s="19" t="s">
        <v>79</v>
      </c>
      <c r="G2160" s="19" t="s">
        <v>32</v>
      </c>
      <c r="H2160" s="19" t="s">
        <v>63</v>
      </c>
      <c r="I2160" s="19" t="s">
        <v>64</v>
      </c>
      <c r="J2160" s="19">
        <v>25</v>
      </c>
      <c r="K2160" s="19">
        <v>1.8599999999999998E-2</v>
      </c>
      <c r="L2160" s="19" t="s">
        <v>541</v>
      </c>
      <c r="M2160" s="19" t="s">
        <v>541</v>
      </c>
      <c r="N2160" s="19">
        <v>50</v>
      </c>
      <c r="O2160" s="19">
        <v>96.736862075499999</v>
      </c>
      <c r="P2160" s="19">
        <v>93.473724150999999</v>
      </c>
      <c r="Q2160" s="19">
        <v>46.736862075499999</v>
      </c>
      <c r="R2160" s="19" t="s">
        <v>1075</v>
      </c>
      <c r="S2160" s="19">
        <v>1</v>
      </c>
      <c r="T2160" s="19">
        <v>1</v>
      </c>
      <c r="U2160" s="19">
        <v>46.736862075499999</v>
      </c>
      <c r="AA2160" s="19">
        <v>0</v>
      </c>
    </row>
    <row r="2161" spans="1:27" x14ac:dyDescent="0.25">
      <c r="A2161" s="19" t="s">
        <v>1619</v>
      </c>
      <c r="B2161" s="19" t="s">
        <v>1605</v>
      </c>
      <c r="C2161" s="19">
        <v>41114</v>
      </c>
      <c r="D2161" s="19">
        <v>1.8599999999999901</v>
      </c>
      <c r="E2161" s="19" t="s">
        <v>82</v>
      </c>
      <c r="F2161" s="19" t="s">
        <v>83</v>
      </c>
      <c r="G2161" s="19" t="s">
        <v>32</v>
      </c>
      <c r="H2161" s="19" t="s">
        <v>63</v>
      </c>
      <c r="I2161" s="19" t="s">
        <v>64</v>
      </c>
      <c r="J2161" s="19">
        <v>26</v>
      </c>
      <c r="K2161" s="19">
        <v>1.8599999999999998E-2</v>
      </c>
      <c r="L2161" s="19" t="s">
        <v>541</v>
      </c>
      <c r="M2161" s="19" t="s">
        <v>541</v>
      </c>
      <c r="N2161" s="19">
        <v>50</v>
      </c>
      <c r="O2161" s="19">
        <v>100</v>
      </c>
      <c r="P2161" s="19">
        <v>100</v>
      </c>
      <c r="Q2161" s="19">
        <v>50</v>
      </c>
      <c r="R2161" s="19" t="s">
        <v>1075</v>
      </c>
      <c r="S2161" s="19">
        <v>1</v>
      </c>
      <c r="T2161" s="19">
        <v>1</v>
      </c>
      <c r="U2161" s="19">
        <v>50</v>
      </c>
      <c r="AA2161" s="19">
        <v>0</v>
      </c>
    </row>
    <row r="2162" spans="1:27" x14ac:dyDescent="0.25">
      <c r="A2162" s="19" t="s">
        <v>1620</v>
      </c>
      <c r="B2162" s="19" t="s">
        <v>1605</v>
      </c>
      <c r="C2162" s="19">
        <v>41114</v>
      </c>
      <c r="D2162" s="19">
        <v>3.25</v>
      </c>
      <c r="E2162" s="19" t="s">
        <v>85</v>
      </c>
      <c r="F2162" s="19" t="s">
        <v>86</v>
      </c>
      <c r="G2162" s="19" t="s">
        <v>32</v>
      </c>
      <c r="H2162" s="19" t="s">
        <v>87</v>
      </c>
      <c r="I2162" s="19" t="s">
        <v>88</v>
      </c>
      <c r="J2162" s="19">
        <v>35</v>
      </c>
      <c r="K2162" s="19">
        <v>3.2500000000000001E-2</v>
      </c>
      <c r="L2162" s="19" t="s">
        <v>541</v>
      </c>
      <c r="M2162" s="19" t="s">
        <v>541</v>
      </c>
      <c r="N2162" s="19">
        <v>50</v>
      </c>
      <c r="O2162" s="19">
        <v>100</v>
      </c>
      <c r="P2162" s="19">
        <v>100</v>
      </c>
      <c r="Q2162" s="19">
        <v>50</v>
      </c>
      <c r="R2162" s="19" t="s">
        <v>1075</v>
      </c>
      <c r="S2162" s="19">
        <v>1</v>
      </c>
      <c r="T2162" s="19">
        <v>1</v>
      </c>
      <c r="U2162" s="19">
        <v>50</v>
      </c>
      <c r="AA2162" s="19">
        <v>0</v>
      </c>
    </row>
    <row r="2163" spans="1:27" x14ac:dyDescent="0.25">
      <c r="A2163" s="19" t="s">
        <v>1621</v>
      </c>
      <c r="B2163" s="19" t="s">
        <v>1605</v>
      </c>
      <c r="C2163" s="19">
        <v>41114</v>
      </c>
      <c r="D2163" s="19">
        <v>2.4375</v>
      </c>
      <c r="E2163" s="19" t="s">
        <v>90</v>
      </c>
      <c r="F2163" s="19" t="s">
        <v>91</v>
      </c>
      <c r="G2163" s="19" t="s">
        <v>32</v>
      </c>
      <c r="H2163" s="19" t="s">
        <v>87</v>
      </c>
      <c r="I2163" s="19" t="s">
        <v>88</v>
      </c>
      <c r="J2163" s="19">
        <v>33</v>
      </c>
      <c r="K2163" s="19">
        <v>3.2500000000000001E-2</v>
      </c>
      <c r="L2163" s="19" t="s">
        <v>541</v>
      </c>
      <c r="M2163" s="19" t="s">
        <v>541</v>
      </c>
      <c r="N2163" s="19">
        <v>50</v>
      </c>
      <c r="O2163" s="19">
        <v>75</v>
      </c>
      <c r="P2163" s="19">
        <v>50</v>
      </c>
      <c r="Q2163" s="19">
        <v>25</v>
      </c>
      <c r="R2163" s="19" t="s">
        <v>1075</v>
      </c>
      <c r="S2163" s="19">
        <v>1</v>
      </c>
      <c r="T2163" s="19">
        <v>1</v>
      </c>
      <c r="U2163" s="19">
        <v>25</v>
      </c>
      <c r="AA2163" s="19">
        <v>0</v>
      </c>
    </row>
    <row r="2164" spans="1:27" x14ac:dyDescent="0.25">
      <c r="A2164" s="19" t="s">
        <v>1622</v>
      </c>
      <c r="B2164" s="19" t="s">
        <v>1605</v>
      </c>
      <c r="C2164" s="19">
        <v>41114</v>
      </c>
      <c r="D2164" s="19">
        <v>3.2497275318578098</v>
      </c>
      <c r="E2164" s="19" t="s">
        <v>93</v>
      </c>
      <c r="F2164" s="19" t="s">
        <v>94</v>
      </c>
      <c r="G2164" s="19" t="s">
        <v>32</v>
      </c>
      <c r="H2164" s="19" t="s">
        <v>87</v>
      </c>
      <c r="I2164" s="19" t="s">
        <v>88</v>
      </c>
      <c r="J2164" s="19">
        <v>34</v>
      </c>
      <c r="K2164" s="19">
        <v>3.2500000000000001E-2</v>
      </c>
      <c r="L2164" s="19" t="s">
        <v>541</v>
      </c>
      <c r="M2164" s="19" t="s">
        <v>541</v>
      </c>
      <c r="N2164" s="19">
        <v>50</v>
      </c>
      <c r="O2164" s="19">
        <v>99.991616364899997</v>
      </c>
      <c r="P2164" s="19">
        <v>99.983232729700006</v>
      </c>
      <c r="Q2164" s="19">
        <v>49.991616364899997</v>
      </c>
      <c r="R2164" s="19" t="s">
        <v>1075</v>
      </c>
      <c r="S2164" s="19">
        <v>1</v>
      </c>
      <c r="T2164" s="19">
        <v>1</v>
      </c>
      <c r="U2164" s="19">
        <v>49.991616364899997</v>
      </c>
      <c r="AA2164" s="19">
        <v>0</v>
      </c>
    </row>
    <row r="2165" spans="1:27" x14ac:dyDescent="0.25">
      <c r="A2165" s="19" t="s">
        <v>1623</v>
      </c>
      <c r="B2165" s="19" t="s">
        <v>1605</v>
      </c>
      <c r="C2165" s="19">
        <v>41114</v>
      </c>
      <c r="D2165" s="19">
        <v>2.1579476861167</v>
      </c>
      <c r="E2165" s="19" t="s">
        <v>96</v>
      </c>
      <c r="F2165" s="19" t="s">
        <v>97</v>
      </c>
      <c r="G2165" s="19" t="s">
        <v>32</v>
      </c>
      <c r="H2165" s="19" t="s">
        <v>87</v>
      </c>
      <c r="I2165" s="19" t="s">
        <v>88</v>
      </c>
      <c r="J2165" s="19">
        <v>36</v>
      </c>
      <c r="K2165" s="19">
        <v>3.2500000000000001E-2</v>
      </c>
      <c r="L2165" s="19" t="s">
        <v>541</v>
      </c>
      <c r="M2165" s="19" t="s">
        <v>541</v>
      </c>
      <c r="N2165" s="19">
        <v>50</v>
      </c>
      <c r="O2165" s="19">
        <v>66.398390342100001</v>
      </c>
      <c r="P2165" s="19">
        <v>32.7967806841</v>
      </c>
      <c r="Q2165" s="19">
        <v>16.398390342100001</v>
      </c>
      <c r="R2165" s="19" t="s">
        <v>1075</v>
      </c>
      <c r="S2165" s="19">
        <v>1</v>
      </c>
      <c r="T2165" s="19">
        <v>1</v>
      </c>
      <c r="U2165" s="19">
        <v>16.398390342100001</v>
      </c>
      <c r="AA2165" s="19">
        <v>0</v>
      </c>
    </row>
    <row r="2166" spans="1:27" x14ac:dyDescent="0.25">
      <c r="A2166" s="19" t="s">
        <v>1624</v>
      </c>
      <c r="B2166" s="19" t="s">
        <v>1605</v>
      </c>
      <c r="C2166" s="19">
        <v>41114</v>
      </c>
      <c r="D2166" s="19">
        <v>3.8942568226120802</v>
      </c>
      <c r="E2166" s="19" t="s">
        <v>99</v>
      </c>
      <c r="F2166" s="19" t="s">
        <v>100</v>
      </c>
      <c r="G2166" s="19" t="s">
        <v>32</v>
      </c>
      <c r="H2166" s="19" t="s">
        <v>101</v>
      </c>
      <c r="I2166" s="19" t="s">
        <v>102</v>
      </c>
      <c r="J2166" s="19">
        <v>39</v>
      </c>
      <c r="K2166" s="19">
        <v>4.3299999999999998E-2</v>
      </c>
      <c r="L2166" s="19" t="s">
        <v>541</v>
      </c>
      <c r="M2166" s="19" t="s">
        <v>541</v>
      </c>
      <c r="N2166" s="19">
        <v>50</v>
      </c>
      <c r="O2166" s="19">
        <v>89.936647173500006</v>
      </c>
      <c r="P2166" s="19">
        <v>79.873294346999998</v>
      </c>
      <c r="Q2166" s="19">
        <v>39.936647173499999</v>
      </c>
      <c r="R2166" s="19" t="s">
        <v>1075</v>
      </c>
      <c r="S2166" s="19">
        <v>1</v>
      </c>
      <c r="T2166" s="19">
        <v>1</v>
      </c>
      <c r="U2166" s="19">
        <v>39.936647173499999</v>
      </c>
      <c r="AA2166" s="19">
        <v>0</v>
      </c>
    </row>
    <row r="2167" spans="1:27" x14ac:dyDescent="0.25">
      <c r="A2167" s="19" t="s">
        <v>1625</v>
      </c>
      <c r="B2167" s="19" t="s">
        <v>1605</v>
      </c>
      <c r="C2167" s="19">
        <v>41114</v>
      </c>
      <c r="D2167" s="19">
        <v>3.45904117933723</v>
      </c>
      <c r="E2167" s="19" t="s">
        <v>105</v>
      </c>
      <c r="F2167" s="19" t="s">
        <v>106</v>
      </c>
      <c r="G2167" s="19" t="s">
        <v>32</v>
      </c>
      <c r="H2167" s="19" t="s">
        <v>101</v>
      </c>
      <c r="I2167" s="19" t="s">
        <v>102</v>
      </c>
      <c r="J2167" s="19">
        <v>38</v>
      </c>
      <c r="K2167" s="19">
        <v>4.3299999999999998E-2</v>
      </c>
      <c r="L2167" s="19" t="s">
        <v>541</v>
      </c>
      <c r="M2167" s="19" t="s">
        <v>541</v>
      </c>
      <c r="N2167" s="19">
        <v>50</v>
      </c>
      <c r="O2167" s="19">
        <v>79.885477582799993</v>
      </c>
      <c r="P2167" s="19">
        <v>59.770955165700002</v>
      </c>
      <c r="Q2167" s="19">
        <v>29.8854775828</v>
      </c>
      <c r="R2167" s="19" t="s">
        <v>1075</v>
      </c>
      <c r="S2167" s="19">
        <v>1</v>
      </c>
      <c r="T2167" s="19">
        <v>1</v>
      </c>
      <c r="U2167" s="19">
        <v>29.8854775828</v>
      </c>
      <c r="AA2167" s="19">
        <v>0</v>
      </c>
    </row>
    <row r="2168" spans="1:27" x14ac:dyDescent="0.25">
      <c r="A2168" s="19" t="s">
        <v>1626</v>
      </c>
      <c r="B2168" s="19" t="s">
        <v>1605</v>
      </c>
      <c r="C2168" s="19">
        <v>41114</v>
      </c>
      <c r="D2168" s="19">
        <v>2.8265277777777702</v>
      </c>
      <c r="E2168" s="19" t="s">
        <v>108</v>
      </c>
      <c r="F2168" s="19" t="s">
        <v>109</v>
      </c>
      <c r="G2168" s="19" t="s">
        <v>32</v>
      </c>
      <c r="H2168" s="19" t="s">
        <v>101</v>
      </c>
      <c r="I2168" s="19" t="s">
        <v>102</v>
      </c>
      <c r="J2168" s="19">
        <v>37</v>
      </c>
      <c r="K2168" s="19">
        <v>4.3299999999999998E-2</v>
      </c>
      <c r="L2168" s="19" t="s">
        <v>541</v>
      </c>
      <c r="M2168" s="19" t="s">
        <v>541</v>
      </c>
      <c r="N2168" s="19">
        <v>50</v>
      </c>
      <c r="O2168" s="19">
        <v>65.277777777799997</v>
      </c>
      <c r="P2168" s="19">
        <v>30.555555555600002</v>
      </c>
      <c r="Q2168" s="19">
        <v>15.277777777800001</v>
      </c>
      <c r="R2168" s="19" t="s">
        <v>1075</v>
      </c>
      <c r="S2168" s="19">
        <v>1</v>
      </c>
      <c r="T2168" s="19">
        <v>1</v>
      </c>
      <c r="U2168" s="19">
        <v>15.277777777800001</v>
      </c>
      <c r="AA2168" s="19">
        <v>0</v>
      </c>
    </row>
    <row r="2169" spans="1:27" x14ac:dyDescent="0.25">
      <c r="A2169" s="19" t="s">
        <v>1627</v>
      </c>
      <c r="B2169" s="19" t="s">
        <v>1605</v>
      </c>
      <c r="C2169" s="19">
        <v>41114</v>
      </c>
      <c r="D2169" s="19">
        <v>1.75968810916179</v>
      </c>
      <c r="E2169" s="19" t="s">
        <v>112</v>
      </c>
      <c r="F2169" s="19" t="s">
        <v>113</v>
      </c>
      <c r="G2169" s="19" t="s">
        <v>32</v>
      </c>
      <c r="H2169" s="19" t="s">
        <v>114</v>
      </c>
      <c r="I2169" s="19" t="s">
        <v>115</v>
      </c>
      <c r="J2169" s="19">
        <v>30</v>
      </c>
      <c r="K2169" s="19">
        <v>2.1700000000000001E-2</v>
      </c>
      <c r="L2169" s="19" t="s">
        <v>541</v>
      </c>
      <c r="M2169" s="19" t="s">
        <v>541</v>
      </c>
      <c r="N2169" s="19">
        <v>50</v>
      </c>
      <c r="O2169" s="19">
        <v>81.091617933699993</v>
      </c>
      <c r="P2169" s="19">
        <v>62.183235867400001</v>
      </c>
      <c r="Q2169" s="19">
        <v>31.0916179337</v>
      </c>
      <c r="R2169" s="19" t="s">
        <v>1075</v>
      </c>
      <c r="S2169" s="19">
        <v>1</v>
      </c>
      <c r="T2169" s="19">
        <v>1</v>
      </c>
      <c r="U2169" s="19">
        <v>31.0916179337</v>
      </c>
      <c r="AA2169" s="19">
        <v>0</v>
      </c>
    </row>
    <row r="2170" spans="1:27" x14ac:dyDescent="0.25">
      <c r="A2170" s="19" t="s">
        <v>1628</v>
      </c>
      <c r="B2170" s="19" t="s">
        <v>1605</v>
      </c>
      <c r="C2170" s="19">
        <v>41114</v>
      </c>
      <c r="D2170" s="19">
        <v>1.78268884015594</v>
      </c>
      <c r="E2170" s="19" t="s">
        <v>117</v>
      </c>
      <c r="F2170" s="19" t="s">
        <v>118</v>
      </c>
      <c r="G2170" s="19" t="s">
        <v>32</v>
      </c>
      <c r="H2170" s="19" t="s">
        <v>114</v>
      </c>
      <c r="I2170" s="19" t="s">
        <v>115</v>
      </c>
      <c r="J2170" s="19">
        <v>31</v>
      </c>
      <c r="K2170" s="19">
        <v>2.1700000000000001E-2</v>
      </c>
      <c r="L2170" s="19" t="s">
        <v>541</v>
      </c>
      <c r="M2170" s="19" t="s">
        <v>541</v>
      </c>
      <c r="N2170" s="19">
        <v>50</v>
      </c>
      <c r="O2170" s="19">
        <v>82.151559454199997</v>
      </c>
      <c r="P2170" s="19">
        <v>64.303118908399995</v>
      </c>
      <c r="Q2170" s="19">
        <v>32.151559454199997</v>
      </c>
      <c r="R2170" s="19" t="s">
        <v>1075</v>
      </c>
      <c r="S2170" s="19">
        <v>1</v>
      </c>
      <c r="T2170" s="19">
        <v>1</v>
      </c>
      <c r="U2170" s="19">
        <v>32.151559454199997</v>
      </c>
      <c r="AA2170" s="19">
        <v>0</v>
      </c>
    </row>
    <row r="2171" spans="1:27" x14ac:dyDescent="0.25">
      <c r="A2171" s="19" t="s">
        <v>1629</v>
      </c>
      <c r="B2171" s="19" t="s">
        <v>1605</v>
      </c>
      <c r="C2171" s="19">
        <v>41114</v>
      </c>
      <c r="D2171" s="19">
        <v>1.24</v>
      </c>
      <c r="E2171" s="19" t="s">
        <v>120</v>
      </c>
      <c r="F2171" s="19" t="s">
        <v>121</v>
      </c>
      <c r="G2171" s="19" t="s">
        <v>32</v>
      </c>
      <c r="H2171" s="19" t="s">
        <v>114</v>
      </c>
      <c r="I2171" s="19" t="s">
        <v>115</v>
      </c>
      <c r="J2171" s="19">
        <v>28</v>
      </c>
      <c r="K2171" s="19">
        <v>2.1700000000000001E-2</v>
      </c>
      <c r="L2171" s="19" t="s">
        <v>541</v>
      </c>
      <c r="M2171" s="19" t="s">
        <v>541</v>
      </c>
      <c r="N2171" s="19">
        <v>50</v>
      </c>
      <c r="O2171" s="19">
        <v>57.142857142899999</v>
      </c>
      <c r="P2171" s="19">
        <v>14.285714285699999</v>
      </c>
      <c r="Q2171" s="19">
        <v>7.1428571428599996</v>
      </c>
      <c r="R2171" s="19" t="s">
        <v>1075</v>
      </c>
      <c r="S2171" s="19">
        <v>1</v>
      </c>
      <c r="T2171" s="19">
        <v>1</v>
      </c>
      <c r="U2171" s="19">
        <v>7.1428571428599996</v>
      </c>
      <c r="AA2171" s="19">
        <v>0</v>
      </c>
    </row>
    <row r="2172" spans="1:27" x14ac:dyDescent="0.25">
      <c r="A2172" s="19" t="s">
        <v>1630</v>
      </c>
      <c r="B2172" s="19" t="s">
        <v>1605</v>
      </c>
      <c r="C2172" s="19">
        <v>41114</v>
      </c>
      <c r="D2172" s="19">
        <v>2.00793737816764</v>
      </c>
      <c r="E2172" s="19" t="s">
        <v>123</v>
      </c>
      <c r="F2172" s="19" t="s">
        <v>124</v>
      </c>
      <c r="G2172" s="19" t="s">
        <v>32</v>
      </c>
      <c r="H2172" s="19" t="s">
        <v>114</v>
      </c>
      <c r="I2172" s="19" t="s">
        <v>115</v>
      </c>
      <c r="J2172" s="19">
        <v>27</v>
      </c>
      <c r="K2172" s="19">
        <v>2.1700000000000001E-2</v>
      </c>
      <c r="L2172" s="19" t="s">
        <v>541</v>
      </c>
      <c r="M2172" s="19" t="s">
        <v>541</v>
      </c>
      <c r="N2172" s="19">
        <v>50</v>
      </c>
      <c r="O2172" s="19">
        <v>92.531676413300005</v>
      </c>
      <c r="P2172" s="19">
        <v>85.063352826499994</v>
      </c>
      <c r="Q2172" s="19">
        <v>42.531676413299998</v>
      </c>
      <c r="R2172" s="19" t="s">
        <v>1075</v>
      </c>
      <c r="S2172" s="19">
        <v>1</v>
      </c>
      <c r="T2172" s="19">
        <v>1</v>
      </c>
      <c r="U2172" s="19">
        <v>42.531676413299998</v>
      </c>
      <c r="AA2172" s="19">
        <v>0</v>
      </c>
    </row>
    <row r="2173" spans="1:27" x14ac:dyDescent="0.25">
      <c r="A2173" s="19" t="s">
        <v>1631</v>
      </c>
      <c r="B2173" s="19" t="s">
        <v>1605</v>
      </c>
      <c r="C2173" s="19">
        <v>41114</v>
      </c>
      <c r="D2173" s="19">
        <v>1.7332504873294301</v>
      </c>
      <c r="E2173" s="19" t="s">
        <v>126</v>
      </c>
      <c r="F2173" s="19" t="s">
        <v>127</v>
      </c>
      <c r="G2173" s="19" t="s">
        <v>32</v>
      </c>
      <c r="H2173" s="19" t="s">
        <v>114</v>
      </c>
      <c r="I2173" s="19" t="s">
        <v>115</v>
      </c>
      <c r="J2173" s="19">
        <v>29</v>
      </c>
      <c r="K2173" s="19">
        <v>2.1700000000000001E-2</v>
      </c>
      <c r="L2173" s="19" t="s">
        <v>541</v>
      </c>
      <c r="M2173" s="19" t="s">
        <v>541</v>
      </c>
      <c r="N2173" s="19">
        <v>50</v>
      </c>
      <c r="O2173" s="19">
        <v>79.873294346999998</v>
      </c>
      <c r="P2173" s="19">
        <v>59.746588694000003</v>
      </c>
      <c r="Q2173" s="19">
        <v>29.873294347000002</v>
      </c>
      <c r="R2173" s="19" t="s">
        <v>1075</v>
      </c>
      <c r="S2173" s="19">
        <v>1</v>
      </c>
      <c r="T2173" s="19">
        <v>1</v>
      </c>
      <c r="U2173" s="19">
        <v>29.873294347000002</v>
      </c>
      <c r="AA2173" s="19">
        <v>0</v>
      </c>
    </row>
    <row r="2174" spans="1:27" x14ac:dyDescent="0.25">
      <c r="A2174" s="19" t="s">
        <v>1632</v>
      </c>
      <c r="B2174" s="19" t="s">
        <v>1605</v>
      </c>
      <c r="C2174" s="19">
        <v>41114</v>
      </c>
      <c r="D2174" s="19">
        <v>1.1561172027290401</v>
      </c>
      <c r="E2174" s="19" t="s">
        <v>129</v>
      </c>
      <c r="F2174" s="19" t="s">
        <v>130</v>
      </c>
      <c r="G2174" s="19" t="s">
        <v>32</v>
      </c>
      <c r="H2174" s="19" t="s">
        <v>114</v>
      </c>
      <c r="I2174" s="19" t="s">
        <v>115</v>
      </c>
      <c r="J2174" s="19">
        <v>32</v>
      </c>
      <c r="K2174" s="19">
        <v>2.1700000000000001E-2</v>
      </c>
      <c r="L2174" s="19" t="s">
        <v>541</v>
      </c>
      <c r="M2174" s="19" t="s">
        <v>541</v>
      </c>
      <c r="N2174" s="19">
        <v>50</v>
      </c>
      <c r="O2174" s="19">
        <v>53.2772904483</v>
      </c>
      <c r="P2174" s="19">
        <v>6.5545808966900001</v>
      </c>
      <c r="Q2174" s="19">
        <v>3.2772904483400001</v>
      </c>
      <c r="R2174" s="19" t="s">
        <v>1075</v>
      </c>
      <c r="S2174" s="19">
        <v>1</v>
      </c>
      <c r="T2174" s="19">
        <v>1</v>
      </c>
      <c r="U2174" s="19">
        <v>3.2772904483400001</v>
      </c>
      <c r="AA2174" s="19">
        <v>0</v>
      </c>
    </row>
    <row r="2175" spans="1:27" x14ac:dyDescent="0.25">
      <c r="A2175" s="19" t="s">
        <v>1633</v>
      </c>
      <c r="B2175" s="19" t="s">
        <v>1605</v>
      </c>
      <c r="C2175" s="19">
        <v>41114</v>
      </c>
      <c r="D2175" s="19">
        <v>4.17</v>
      </c>
      <c r="E2175" s="19" t="s">
        <v>132</v>
      </c>
      <c r="F2175" s="19" t="s">
        <v>133</v>
      </c>
      <c r="G2175" s="19" t="s">
        <v>134</v>
      </c>
      <c r="H2175" s="19" t="s">
        <v>87</v>
      </c>
      <c r="I2175" s="19" t="s">
        <v>135</v>
      </c>
      <c r="J2175" s="19">
        <v>11</v>
      </c>
      <c r="K2175" s="19">
        <v>4.1700000000000001E-2</v>
      </c>
      <c r="L2175" s="19" t="s">
        <v>541</v>
      </c>
      <c r="M2175" s="19" t="s">
        <v>541</v>
      </c>
      <c r="N2175" s="19">
        <v>50</v>
      </c>
      <c r="O2175" s="19">
        <v>100</v>
      </c>
      <c r="P2175" s="19">
        <v>100</v>
      </c>
      <c r="Q2175" s="19">
        <v>50</v>
      </c>
      <c r="R2175" s="19" t="s">
        <v>1075</v>
      </c>
      <c r="S2175" s="19">
        <v>1</v>
      </c>
      <c r="T2175" s="19">
        <v>1</v>
      </c>
      <c r="U2175" s="19">
        <v>50</v>
      </c>
      <c r="AA2175" s="19">
        <v>0</v>
      </c>
    </row>
    <row r="2176" spans="1:27" x14ac:dyDescent="0.25">
      <c r="A2176" s="19" t="s">
        <v>1634</v>
      </c>
      <c r="B2176" s="19" t="s">
        <v>1605</v>
      </c>
      <c r="C2176" s="19">
        <v>41114</v>
      </c>
      <c r="D2176" s="19">
        <v>4.17</v>
      </c>
      <c r="E2176" s="19" t="s">
        <v>137</v>
      </c>
      <c r="F2176" s="19" t="s">
        <v>138</v>
      </c>
      <c r="G2176" s="19" t="s">
        <v>134</v>
      </c>
      <c r="H2176" s="19" t="s">
        <v>87</v>
      </c>
      <c r="I2176" s="19" t="s">
        <v>135</v>
      </c>
      <c r="J2176" s="19">
        <v>9</v>
      </c>
      <c r="K2176" s="19">
        <v>4.1700000000000001E-2</v>
      </c>
      <c r="L2176" s="19" t="s">
        <v>541</v>
      </c>
      <c r="M2176" s="19" t="s">
        <v>541</v>
      </c>
      <c r="N2176" s="19">
        <v>50</v>
      </c>
      <c r="O2176" s="19">
        <v>100</v>
      </c>
      <c r="P2176" s="19">
        <v>100</v>
      </c>
      <c r="Q2176" s="19">
        <v>50</v>
      </c>
      <c r="R2176" s="19" t="s">
        <v>1075</v>
      </c>
      <c r="S2176" s="19">
        <v>1</v>
      </c>
      <c r="T2176" s="19">
        <v>1</v>
      </c>
      <c r="U2176" s="19">
        <v>50</v>
      </c>
      <c r="AA2176" s="19">
        <v>0</v>
      </c>
    </row>
    <row r="2177" spans="1:27" x14ac:dyDescent="0.25">
      <c r="A2177" s="19" t="s">
        <v>1635</v>
      </c>
      <c r="B2177" s="19" t="s">
        <v>1605</v>
      </c>
      <c r="C2177" s="19">
        <v>41114</v>
      </c>
      <c r="D2177" s="19">
        <v>4.17</v>
      </c>
      <c r="E2177" s="19" t="s">
        <v>140</v>
      </c>
      <c r="F2177" s="19" t="s">
        <v>141</v>
      </c>
      <c r="G2177" s="19" t="s">
        <v>134</v>
      </c>
      <c r="H2177" s="19" t="s">
        <v>87</v>
      </c>
      <c r="I2177" s="19" t="s">
        <v>135</v>
      </c>
      <c r="J2177" s="19">
        <v>10</v>
      </c>
      <c r="K2177" s="19">
        <v>4.1700000000000001E-2</v>
      </c>
      <c r="L2177" s="19" t="s">
        <v>541</v>
      </c>
      <c r="M2177" s="19" t="s">
        <v>541</v>
      </c>
      <c r="N2177" s="19">
        <v>50</v>
      </c>
      <c r="O2177" s="19">
        <v>100</v>
      </c>
      <c r="P2177" s="19">
        <v>100</v>
      </c>
      <c r="Q2177" s="19">
        <v>50</v>
      </c>
      <c r="R2177" s="19" t="s">
        <v>1075</v>
      </c>
      <c r="S2177" s="19">
        <v>1</v>
      </c>
      <c r="T2177" s="19">
        <v>1</v>
      </c>
      <c r="U2177" s="19">
        <v>50</v>
      </c>
      <c r="AA2177" s="19">
        <v>0</v>
      </c>
    </row>
    <row r="2178" spans="1:27" x14ac:dyDescent="0.25">
      <c r="A2178" s="19" t="s">
        <v>1636</v>
      </c>
      <c r="B2178" s="19" t="s">
        <v>1605</v>
      </c>
      <c r="C2178" s="19">
        <v>41114</v>
      </c>
      <c r="D2178" s="19">
        <v>2.5</v>
      </c>
      <c r="E2178" s="19" t="s">
        <v>144</v>
      </c>
      <c r="F2178" s="19" t="s">
        <v>145</v>
      </c>
      <c r="G2178" s="19" t="s">
        <v>134</v>
      </c>
      <c r="H2178" s="19" t="s">
        <v>146</v>
      </c>
      <c r="I2178" s="19" t="s">
        <v>147</v>
      </c>
      <c r="J2178" s="19">
        <v>4</v>
      </c>
      <c r="K2178" s="19">
        <v>2.5000000000000001E-2</v>
      </c>
      <c r="L2178" s="19" t="s">
        <v>541</v>
      </c>
      <c r="M2178" s="19" t="s">
        <v>541</v>
      </c>
      <c r="N2178" s="19">
        <v>50</v>
      </c>
      <c r="O2178" s="19">
        <v>100</v>
      </c>
      <c r="P2178" s="19">
        <v>100</v>
      </c>
      <c r="Q2178" s="19">
        <v>50</v>
      </c>
      <c r="R2178" s="19" t="s">
        <v>1075</v>
      </c>
      <c r="S2178" s="19">
        <v>1</v>
      </c>
      <c r="T2178" s="19">
        <v>1</v>
      </c>
      <c r="U2178" s="19">
        <v>50</v>
      </c>
      <c r="AA2178" s="19">
        <v>0</v>
      </c>
    </row>
    <row r="2179" spans="1:27" x14ac:dyDescent="0.25">
      <c r="A2179" s="19" t="s">
        <v>1637</v>
      </c>
      <c r="B2179" s="19" t="s">
        <v>1605</v>
      </c>
      <c r="C2179" s="19">
        <v>41114</v>
      </c>
      <c r="D2179" s="19">
        <v>2.5</v>
      </c>
      <c r="E2179" s="19" t="s">
        <v>149</v>
      </c>
      <c r="F2179" s="19" t="s">
        <v>150</v>
      </c>
      <c r="G2179" s="19" t="s">
        <v>134</v>
      </c>
      <c r="H2179" s="19" t="s">
        <v>146</v>
      </c>
      <c r="I2179" s="19" t="s">
        <v>147</v>
      </c>
      <c r="J2179" s="19">
        <v>5</v>
      </c>
      <c r="K2179" s="19">
        <v>2.5000000000000001E-2</v>
      </c>
      <c r="L2179" s="19" t="s">
        <v>541</v>
      </c>
      <c r="M2179" s="19" t="s">
        <v>541</v>
      </c>
      <c r="N2179" s="19">
        <v>50</v>
      </c>
      <c r="O2179" s="19">
        <v>100</v>
      </c>
      <c r="P2179" s="19">
        <v>100</v>
      </c>
      <c r="Q2179" s="19">
        <v>50</v>
      </c>
      <c r="R2179" s="19" t="s">
        <v>1075</v>
      </c>
      <c r="S2179" s="19">
        <v>1</v>
      </c>
      <c r="T2179" s="19">
        <v>1</v>
      </c>
      <c r="U2179" s="19">
        <v>50</v>
      </c>
      <c r="AA2179" s="19">
        <v>0</v>
      </c>
    </row>
    <row r="2180" spans="1:27" x14ac:dyDescent="0.25">
      <c r="A2180" s="19" t="s">
        <v>1638</v>
      </c>
      <c r="B2180" s="19" t="s">
        <v>1605</v>
      </c>
      <c r="C2180" s="19">
        <v>41114</v>
      </c>
      <c r="D2180" s="19">
        <v>2.5</v>
      </c>
      <c r="E2180" s="19" t="s">
        <v>152</v>
      </c>
      <c r="F2180" s="19" t="s">
        <v>153</v>
      </c>
      <c r="G2180" s="19" t="s">
        <v>134</v>
      </c>
      <c r="H2180" s="19" t="s">
        <v>146</v>
      </c>
      <c r="I2180" s="19" t="s">
        <v>147</v>
      </c>
      <c r="J2180" s="19">
        <v>6</v>
      </c>
      <c r="K2180" s="19">
        <v>2.5000000000000001E-2</v>
      </c>
      <c r="L2180" s="19" t="s">
        <v>541</v>
      </c>
      <c r="M2180" s="19" t="s">
        <v>541</v>
      </c>
      <c r="N2180" s="19">
        <v>50</v>
      </c>
      <c r="O2180" s="19">
        <v>100</v>
      </c>
      <c r="P2180" s="19">
        <v>100</v>
      </c>
      <c r="Q2180" s="19">
        <v>50</v>
      </c>
      <c r="R2180" s="19" t="s">
        <v>1075</v>
      </c>
      <c r="S2180" s="19">
        <v>1</v>
      </c>
      <c r="T2180" s="19">
        <v>1</v>
      </c>
      <c r="U2180" s="19">
        <v>50</v>
      </c>
      <c r="AA2180" s="19">
        <v>0</v>
      </c>
    </row>
    <row r="2181" spans="1:27" x14ac:dyDescent="0.25">
      <c r="A2181" s="19" t="s">
        <v>1639</v>
      </c>
      <c r="B2181" s="19" t="s">
        <v>1605</v>
      </c>
      <c r="C2181" s="19">
        <v>41114</v>
      </c>
      <c r="D2181" s="19">
        <v>2.5</v>
      </c>
      <c r="E2181" s="19" t="s">
        <v>155</v>
      </c>
      <c r="F2181" s="19" t="s">
        <v>156</v>
      </c>
      <c r="G2181" s="19" t="s">
        <v>134</v>
      </c>
      <c r="H2181" s="19" t="s">
        <v>146</v>
      </c>
      <c r="I2181" s="19" t="s">
        <v>147</v>
      </c>
      <c r="J2181" s="19">
        <v>7</v>
      </c>
      <c r="K2181" s="19">
        <v>2.5000000000000001E-2</v>
      </c>
      <c r="L2181" s="19" t="s">
        <v>541</v>
      </c>
      <c r="M2181" s="19" t="s">
        <v>541</v>
      </c>
      <c r="N2181" s="19">
        <v>50</v>
      </c>
      <c r="O2181" s="19">
        <v>100</v>
      </c>
      <c r="P2181" s="19">
        <v>100</v>
      </c>
      <c r="Q2181" s="19">
        <v>50</v>
      </c>
      <c r="R2181" s="19" t="s">
        <v>1075</v>
      </c>
      <c r="S2181" s="19">
        <v>1</v>
      </c>
      <c r="T2181" s="19">
        <v>1</v>
      </c>
      <c r="U2181" s="19">
        <v>50</v>
      </c>
      <c r="AA2181" s="19">
        <v>0</v>
      </c>
    </row>
    <row r="2182" spans="1:27" x14ac:dyDescent="0.25">
      <c r="A2182" s="19" t="s">
        <v>1640</v>
      </c>
      <c r="B2182" s="19" t="s">
        <v>1605</v>
      </c>
      <c r="C2182" s="19">
        <v>41114</v>
      </c>
      <c r="D2182" s="19">
        <v>2.4918831168831099</v>
      </c>
      <c r="E2182" s="19" t="s">
        <v>158</v>
      </c>
      <c r="F2182" s="19" t="s">
        <v>159</v>
      </c>
      <c r="G2182" s="19" t="s">
        <v>134</v>
      </c>
      <c r="H2182" s="19" t="s">
        <v>146</v>
      </c>
      <c r="I2182" s="19" t="s">
        <v>147</v>
      </c>
      <c r="J2182" s="19">
        <v>8</v>
      </c>
      <c r="K2182" s="19">
        <v>2.5000000000000001E-2</v>
      </c>
      <c r="L2182" s="19" t="s">
        <v>541</v>
      </c>
      <c r="M2182" s="19" t="s">
        <v>541</v>
      </c>
      <c r="N2182" s="19">
        <v>50</v>
      </c>
      <c r="O2182" s="19">
        <v>99.675324675300004</v>
      </c>
      <c r="P2182" s="19">
        <v>99.350649350599994</v>
      </c>
      <c r="Q2182" s="19">
        <v>49.675324675299997</v>
      </c>
      <c r="R2182" s="19" t="s">
        <v>1075</v>
      </c>
      <c r="S2182" s="19">
        <v>1</v>
      </c>
      <c r="T2182" s="19">
        <v>1</v>
      </c>
      <c r="U2182" s="19">
        <v>49.675324675299997</v>
      </c>
      <c r="AA2182" s="19">
        <v>0</v>
      </c>
    </row>
    <row r="2183" spans="1:27" x14ac:dyDescent="0.25">
      <c r="A2183" s="19" t="s">
        <v>1641</v>
      </c>
      <c r="B2183" s="19" t="s">
        <v>1605</v>
      </c>
      <c r="C2183" s="19">
        <v>41114</v>
      </c>
      <c r="D2183" s="19">
        <v>2.2197779999999998</v>
      </c>
      <c r="E2183" s="19" t="s">
        <v>161</v>
      </c>
      <c r="F2183" s="19" t="s">
        <v>162</v>
      </c>
      <c r="G2183" s="19" t="s">
        <v>163</v>
      </c>
      <c r="I2183" s="19" t="s">
        <v>164</v>
      </c>
      <c r="J2183" s="19">
        <v>1</v>
      </c>
      <c r="K2183" s="19">
        <v>3.3300000000000003E-2</v>
      </c>
      <c r="L2183" s="19" t="s">
        <v>35</v>
      </c>
      <c r="M2183" s="19" t="s">
        <v>165</v>
      </c>
      <c r="N2183" s="19">
        <v>66.66</v>
      </c>
      <c r="O2183" s="19">
        <v>66.66</v>
      </c>
      <c r="P2183" s="19">
        <v>0</v>
      </c>
      <c r="Q2183" s="19">
        <v>0</v>
      </c>
      <c r="R2183" s="19" t="s">
        <v>1075</v>
      </c>
      <c r="S2183" s="19">
        <v>1</v>
      </c>
      <c r="T2183" s="19">
        <v>1</v>
      </c>
      <c r="U2183" s="19">
        <v>0</v>
      </c>
      <c r="W2183" s="19">
        <v>0</v>
      </c>
      <c r="X2183" s="19">
        <v>66.66</v>
      </c>
      <c r="Z2183" s="19">
        <v>0</v>
      </c>
      <c r="AA2183" s="19">
        <v>66.66</v>
      </c>
    </row>
    <row r="2184" spans="1:27" x14ac:dyDescent="0.25">
      <c r="A2184" s="19" t="s">
        <v>1642</v>
      </c>
      <c r="B2184" s="19" t="s">
        <v>1605</v>
      </c>
      <c r="C2184" s="19">
        <v>41114</v>
      </c>
      <c r="D2184" s="19">
        <v>3.33</v>
      </c>
      <c r="E2184" s="19" t="s">
        <v>167</v>
      </c>
      <c r="F2184" s="19" t="s">
        <v>168</v>
      </c>
      <c r="G2184" s="19" t="s">
        <v>163</v>
      </c>
      <c r="I2184" s="19" t="s">
        <v>164</v>
      </c>
      <c r="J2184" s="19">
        <v>3</v>
      </c>
      <c r="K2184" s="19">
        <v>3.3300000000000003E-2</v>
      </c>
      <c r="L2184" s="19" t="s">
        <v>35</v>
      </c>
      <c r="M2184" s="19" t="s">
        <v>165</v>
      </c>
      <c r="N2184" s="19">
        <v>100</v>
      </c>
      <c r="O2184" s="19">
        <v>100</v>
      </c>
      <c r="P2184" s="19">
        <v>0</v>
      </c>
      <c r="Q2184" s="19">
        <v>0</v>
      </c>
      <c r="R2184" s="19" t="s">
        <v>1075</v>
      </c>
      <c r="S2184" s="19">
        <v>1</v>
      </c>
      <c r="T2184" s="19">
        <v>1</v>
      </c>
      <c r="U2184" s="19">
        <v>0</v>
      </c>
      <c r="W2184" s="19">
        <v>0</v>
      </c>
      <c r="X2184" s="19">
        <v>100</v>
      </c>
      <c r="Z2184" s="19">
        <v>0</v>
      </c>
      <c r="AA2184" s="19">
        <v>100</v>
      </c>
    </row>
    <row r="2185" spans="1:27" x14ac:dyDescent="0.25">
      <c r="A2185" s="19" t="s">
        <v>1643</v>
      </c>
      <c r="B2185" s="19" t="s">
        <v>1605</v>
      </c>
      <c r="C2185" s="19">
        <v>41114</v>
      </c>
      <c r="D2185" s="19">
        <v>3.2301000000000002</v>
      </c>
      <c r="E2185" s="19" t="s">
        <v>170</v>
      </c>
      <c r="F2185" s="19" t="s">
        <v>171</v>
      </c>
      <c r="G2185" s="19" t="s">
        <v>163</v>
      </c>
      <c r="I2185" s="19" t="s">
        <v>164</v>
      </c>
      <c r="J2185" s="19">
        <v>2</v>
      </c>
      <c r="K2185" s="19">
        <v>3.3300000000000003E-2</v>
      </c>
      <c r="L2185" s="19" t="s">
        <v>35</v>
      </c>
      <c r="M2185" s="19" t="s">
        <v>165</v>
      </c>
      <c r="N2185" s="19">
        <v>97</v>
      </c>
      <c r="O2185" s="19">
        <v>97</v>
      </c>
      <c r="P2185" s="19">
        <v>0</v>
      </c>
      <c r="Q2185" s="19">
        <v>0</v>
      </c>
      <c r="R2185" s="19" t="s">
        <v>1075</v>
      </c>
      <c r="S2185" s="19">
        <v>1</v>
      </c>
      <c r="T2185" s="19">
        <v>1</v>
      </c>
      <c r="U2185" s="19">
        <v>0</v>
      </c>
      <c r="W2185" s="19">
        <v>0</v>
      </c>
      <c r="X2185" s="19">
        <v>97</v>
      </c>
      <c r="Z2185" s="19">
        <v>0</v>
      </c>
      <c r="AA2185" s="19">
        <v>97</v>
      </c>
    </row>
    <row r="2186" spans="1:27" x14ac:dyDescent="0.25">
      <c r="A2186" s="19" t="s">
        <v>2502</v>
      </c>
      <c r="B2186" s="19" t="s">
        <v>2503</v>
      </c>
      <c r="C2186" s="19">
        <v>44004</v>
      </c>
      <c r="D2186" s="19">
        <v>0</v>
      </c>
      <c r="E2186" s="19" t="s">
        <v>30</v>
      </c>
      <c r="F2186" s="19" t="s">
        <v>31</v>
      </c>
      <c r="G2186" s="19" t="s">
        <v>32</v>
      </c>
      <c r="H2186" s="19" t="s">
        <v>33</v>
      </c>
      <c r="I2186" s="19" t="s">
        <v>34</v>
      </c>
      <c r="J2186" s="19">
        <v>17</v>
      </c>
      <c r="K2186" s="19">
        <v>1.6299999999999999E-2</v>
      </c>
      <c r="L2186" s="19" t="s">
        <v>35</v>
      </c>
      <c r="M2186" s="19" t="s">
        <v>142</v>
      </c>
      <c r="N2186" s="19">
        <v>0</v>
      </c>
      <c r="O2186" s="19">
        <v>0</v>
      </c>
      <c r="P2186" s="19">
        <v>0</v>
      </c>
      <c r="Q2186" s="19">
        <v>0</v>
      </c>
      <c r="S2186" s="19">
        <v>1</v>
      </c>
      <c r="T2186" s="19">
        <v>1</v>
      </c>
      <c r="U2186" s="19">
        <v>0</v>
      </c>
      <c r="V2186" s="19" t="s">
        <v>80</v>
      </c>
      <c r="W2186" s="19">
        <v>0</v>
      </c>
      <c r="Y2186" s="19" t="s">
        <v>142</v>
      </c>
      <c r="Z2186" s="19">
        <v>50</v>
      </c>
      <c r="AA2186" s="19">
        <v>0</v>
      </c>
    </row>
    <row r="2187" spans="1:27" x14ac:dyDescent="0.25">
      <c r="A2187" s="19" t="s">
        <v>2504</v>
      </c>
      <c r="B2187" s="19" t="s">
        <v>2503</v>
      </c>
      <c r="C2187" s="19">
        <v>44004</v>
      </c>
      <c r="D2187" s="19">
        <v>0.54327899999999996</v>
      </c>
      <c r="E2187" s="19" t="s">
        <v>38</v>
      </c>
      <c r="F2187" s="19" t="s">
        <v>39</v>
      </c>
      <c r="G2187" s="19" t="s">
        <v>32</v>
      </c>
      <c r="H2187" s="19" t="s">
        <v>33</v>
      </c>
      <c r="I2187" s="19" t="s">
        <v>34</v>
      </c>
      <c r="J2187" s="19">
        <v>19</v>
      </c>
      <c r="K2187" s="19">
        <v>1.6299999999999999E-2</v>
      </c>
      <c r="L2187" s="19" t="s">
        <v>35</v>
      </c>
      <c r="M2187" s="19" t="s">
        <v>40</v>
      </c>
      <c r="N2187" s="19">
        <v>33.33</v>
      </c>
      <c r="O2187" s="19">
        <v>33.33</v>
      </c>
      <c r="P2187" s="19">
        <v>0</v>
      </c>
      <c r="Q2187" s="19">
        <v>0</v>
      </c>
      <c r="S2187" s="19">
        <v>1</v>
      </c>
      <c r="T2187" s="19">
        <v>1</v>
      </c>
      <c r="U2187" s="19">
        <v>0</v>
      </c>
      <c r="V2187" s="19" t="s">
        <v>41</v>
      </c>
      <c r="W2187" s="19">
        <v>1</v>
      </c>
      <c r="Y2187" s="19" t="s">
        <v>40</v>
      </c>
      <c r="Z2187" s="19">
        <v>33.33</v>
      </c>
      <c r="AA2187" s="19">
        <v>33.33</v>
      </c>
    </row>
    <row r="2188" spans="1:27" x14ac:dyDescent="0.25">
      <c r="A2188" s="19" t="s">
        <v>2505</v>
      </c>
      <c r="B2188" s="19" t="s">
        <v>2503</v>
      </c>
      <c r="C2188" s="19">
        <v>44004</v>
      </c>
      <c r="D2188" s="19">
        <v>0.81499999999999995</v>
      </c>
      <c r="E2188" s="19" t="s">
        <v>43</v>
      </c>
      <c r="F2188" s="19" t="s">
        <v>44</v>
      </c>
      <c r="G2188" s="19" t="s">
        <v>32</v>
      </c>
      <c r="H2188" s="19" t="s">
        <v>33</v>
      </c>
      <c r="I2188" s="19" t="s">
        <v>34</v>
      </c>
      <c r="J2188" s="19">
        <v>18</v>
      </c>
      <c r="K2188" s="19">
        <v>1.6299999999999999E-2</v>
      </c>
      <c r="L2188" s="19" t="s">
        <v>35</v>
      </c>
      <c r="M2188" s="19" t="s">
        <v>142</v>
      </c>
      <c r="N2188" s="19">
        <v>50</v>
      </c>
      <c r="O2188" s="19">
        <v>50</v>
      </c>
      <c r="P2188" s="19">
        <v>0</v>
      </c>
      <c r="Q2188" s="19">
        <v>0</v>
      </c>
      <c r="S2188" s="19">
        <v>1</v>
      </c>
      <c r="T2188" s="19">
        <v>1</v>
      </c>
      <c r="U2188" s="19">
        <v>0</v>
      </c>
      <c r="V2188" s="19" t="s">
        <v>41</v>
      </c>
      <c r="W2188" s="19">
        <v>1</v>
      </c>
      <c r="Y2188" s="19" t="s">
        <v>142</v>
      </c>
      <c r="Z2188" s="19">
        <v>50</v>
      </c>
      <c r="AA2188" s="19">
        <v>50</v>
      </c>
    </row>
    <row r="2189" spans="1:27" x14ac:dyDescent="0.25">
      <c r="A2189" s="19" t="s">
        <v>2506</v>
      </c>
      <c r="B2189" s="19" t="s">
        <v>2503</v>
      </c>
      <c r="C2189" s="19">
        <v>44004</v>
      </c>
      <c r="D2189" s="19">
        <v>0.54327899999999996</v>
      </c>
      <c r="E2189" s="19" t="s">
        <v>46</v>
      </c>
      <c r="F2189" s="19" t="s">
        <v>47</v>
      </c>
      <c r="G2189" s="19" t="s">
        <v>32</v>
      </c>
      <c r="H2189" s="19" t="s">
        <v>33</v>
      </c>
      <c r="I2189" s="19" t="s">
        <v>34</v>
      </c>
      <c r="J2189" s="19">
        <v>15</v>
      </c>
      <c r="K2189" s="19">
        <v>1.6299999999999999E-2</v>
      </c>
      <c r="L2189" s="19" t="s">
        <v>35</v>
      </c>
      <c r="M2189" s="19" t="s">
        <v>40</v>
      </c>
      <c r="N2189" s="19">
        <v>33.33</v>
      </c>
      <c r="O2189" s="19">
        <v>33.33</v>
      </c>
      <c r="P2189" s="19">
        <v>0</v>
      </c>
      <c r="Q2189" s="19">
        <v>0</v>
      </c>
      <c r="S2189" s="19">
        <v>1</v>
      </c>
      <c r="T2189" s="19">
        <v>1</v>
      </c>
      <c r="U2189" s="19">
        <v>0</v>
      </c>
      <c r="V2189" s="19" t="s">
        <v>41</v>
      </c>
      <c r="W2189" s="19">
        <v>1</v>
      </c>
      <c r="Y2189" s="19" t="s">
        <v>40</v>
      </c>
      <c r="Z2189" s="19">
        <v>33.33</v>
      </c>
      <c r="AA2189" s="19">
        <v>33.33</v>
      </c>
    </row>
    <row r="2190" spans="1:27" x14ac:dyDescent="0.25">
      <c r="A2190" s="19" t="s">
        <v>2507</v>
      </c>
      <c r="B2190" s="19" t="s">
        <v>2503</v>
      </c>
      <c r="C2190" s="19">
        <v>44004</v>
      </c>
      <c r="D2190" s="19">
        <v>0.81499999999999995</v>
      </c>
      <c r="E2190" s="19" t="s">
        <v>49</v>
      </c>
      <c r="F2190" s="19" t="s">
        <v>50</v>
      </c>
      <c r="G2190" s="19" t="s">
        <v>32</v>
      </c>
      <c r="H2190" s="19" t="s">
        <v>33</v>
      </c>
      <c r="I2190" s="19" t="s">
        <v>34</v>
      </c>
      <c r="J2190" s="19">
        <v>12</v>
      </c>
      <c r="K2190" s="19">
        <v>1.6299999999999999E-2</v>
      </c>
      <c r="L2190" s="19" t="s">
        <v>35</v>
      </c>
      <c r="M2190" s="19" t="s">
        <v>142</v>
      </c>
      <c r="N2190" s="19">
        <v>50</v>
      </c>
      <c r="O2190" s="19">
        <v>50</v>
      </c>
      <c r="P2190" s="19">
        <v>0</v>
      </c>
      <c r="Q2190" s="19">
        <v>0</v>
      </c>
      <c r="S2190" s="19">
        <v>1</v>
      </c>
      <c r="T2190" s="19">
        <v>1</v>
      </c>
      <c r="U2190" s="19">
        <v>0</v>
      </c>
      <c r="V2190" s="19" t="s">
        <v>41</v>
      </c>
      <c r="W2190" s="19">
        <v>1</v>
      </c>
      <c r="Y2190" s="19" t="s">
        <v>142</v>
      </c>
      <c r="Z2190" s="19">
        <v>50</v>
      </c>
      <c r="AA2190" s="19">
        <v>50</v>
      </c>
    </row>
    <row r="2191" spans="1:27" x14ac:dyDescent="0.25">
      <c r="A2191" s="19" t="s">
        <v>2508</v>
      </c>
      <c r="B2191" s="19" t="s">
        <v>2503</v>
      </c>
      <c r="C2191" s="19">
        <v>44004</v>
      </c>
      <c r="D2191" s="19">
        <v>0</v>
      </c>
      <c r="E2191" s="19" t="s">
        <v>52</v>
      </c>
      <c r="F2191" s="19" t="s">
        <v>53</v>
      </c>
      <c r="G2191" s="19" t="s">
        <v>32</v>
      </c>
      <c r="H2191" s="19" t="s">
        <v>33</v>
      </c>
      <c r="I2191" s="19" t="s">
        <v>34</v>
      </c>
      <c r="J2191" s="19">
        <v>16</v>
      </c>
      <c r="K2191" s="19">
        <v>1.6299999999999999E-2</v>
      </c>
      <c r="L2191" s="19" t="s">
        <v>35</v>
      </c>
      <c r="M2191" s="19" t="s">
        <v>142</v>
      </c>
      <c r="N2191" s="19">
        <v>0</v>
      </c>
      <c r="O2191" s="19">
        <v>0</v>
      </c>
      <c r="P2191" s="19">
        <v>0</v>
      </c>
      <c r="Q2191" s="19">
        <v>0</v>
      </c>
      <c r="S2191" s="19">
        <v>1</v>
      </c>
      <c r="T2191" s="19">
        <v>1</v>
      </c>
      <c r="U2191" s="19">
        <v>0</v>
      </c>
      <c r="V2191" s="19" t="s">
        <v>80</v>
      </c>
      <c r="W2191" s="19">
        <v>0</v>
      </c>
      <c r="Y2191" s="19" t="s">
        <v>142</v>
      </c>
      <c r="Z2191" s="19">
        <v>50</v>
      </c>
      <c r="AA2191" s="19">
        <v>0</v>
      </c>
    </row>
    <row r="2192" spans="1:27" x14ac:dyDescent="0.25">
      <c r="A2192" s="19" t="s">
        <v>2509</v>
      </c>
      <c r="B2192" s="19" t="s">
        <v>2503</v>
      </c>
      <c r="C2192" s="19">
        <v>44004</v>
      </c>
      <c r="D2192" s="19">
        <v>0.81499999999999995</v>
      </c>
      <c r="E2192" s="19" t="s">
        <v>55</v>
      </c>
      <c r="F2192" s="19" t="s">
        <v>56</v>
      </c>
      <c r="G2192" s="19" t="s">
        <v>32</v>
      </c>
      <c r="H2192" s="19" t="s">
        <v>33</v>
      </c>
      <c r="I2192" s="19" t="s">
        <v>34</v>
      </c>
      <c r="J2192" s="19">
        <v>14</v>
      </c>
      <c r="K2192" s="19">
        <v>1.6299999999999999E-2</v>
      </c>
      <c r="L2192" s="19" t="s">
        <v>35</v>
      </c>
      <c r="M2192" s="19" t="s">
        <v>142</v>
      </c>
      <c r="N2192" s="19">
        <v>50</v>
      </c>
      <c r="O2192" s="19">
        <v>50</v>
      </c>
      <c r="P2192" s="19">
        <v>0</v>
      </c>
      <c r="Q2192" s="19">
        <v>0</v>
      </c>
      <c r="S2192" s="19">
        <v>1</v>
      </c>
      <c r="T2192" s="19">
        <v>1</v>
      </c>
      <c r="U2192" s="19">
        <v>0</v>
      </c>
      <c r="V2192" s="19" t="s">
        <v>41</v>
      </c>
      <c r="W2192" s="19">
        <v>1</v>
      </c>
      <c r="Y2192" s="19" t="s">
        <v>142</v>
      </c>
      <c r="Z2192" s="19">
        <v>50</v>
      </c>
      <c r="AA2192" s="19">
        <v>50</v>
      </c>
    </row>
    <row r="2193" spans="1:27" x14ac:dyDescent="0.25">
      <c r="A2193" s="19" t="s">
        <v>2510</v>
      </c>
      <c r="B2193" s="19" t="s">
        <v>2503</v>
      </c>
      <c r="C2193" s="19">
        <v>44004</v>
      </c>
      <c r="D2193" s="19">
        <v>0.81499999999999995</v>
      </c>
      <c r="E2193" s="19" t="s">
        <v>58</v>
      </c>
      <c r="F2193" s="19" t="s">
        <v>59</v>
      </c>
      <c r="G2193" s="19" t="s">
        <v>32</v>
      </c>
      <c r="H2193" s="19" t="s">
        <v>33</v>
      </c>
      <c r="I2193" s="19" t="s">
        <v>34</v>
      </c>
      <c r="J2193" s="19">
        <v>13</v>
      </c>
      <c r="K2193" s="19">
        <v>1.6299999999999999E-2</v>
      </c>
      <c r="L2193" s="19" t="s">
        <v>35</v>
      </c>
      <c r="M2193" s="19" t="s">
        <v>142</v>
      </c>
      <c r="N2193" s="19">
        <v>50</v>
      </c>
      <c r="O2193" s="19">
        <v>50</v>
      </c>
      <c r="P2193" s="19">
        <v>0</v>
      </c>
      <c r="Q2193" s="19">
        <v>0</v>
      </c>
      <c r="S2193" s="19">
        <v>1</v>
      </c>
      <c r="T2193" s="19">
        <v>1</v>
      </c>
      <c r="U2193" s="19">
        <v>0</v>
      </c>
      <c r="V2193" s="19" t="s">
        <v>41</v>
      </c>
      <c r="W2193" s="19">
        <v>1</v>
      </c>
      <c r="Y2193" s="19" t="s">
        <v>142</v>
      </c>
      <c r="Z2193" s="19">
        <v>50</v>
      </c>
      <c r="AA2193" s="19">
        <v>50</v>
      </c>
    </row>
    <row r="2194" spans="1:27" x14ac:dyDescent="0.25">
      <c r="A2194" s="19" t="s">
        <v>2511</v>
      </c>
      <c r="B2194" s="19" t="s">
        <v>2503</v>
      </c>
      <c r="C2194" s="19">
        <v>44004</v>
      </c>
      <c r="D2194" s="19">
        <v>0.92999999999999905</v>
      </c>
      <c r="E2194" s="19" t="s">
        <v>61</v>
      </c>
      <c r="F2194" s="19" t="s">
        <v>62</v>
      </c>
      <c r="G2194" s="19" t="s">
        <v>32</v>
      </c>
      <c r="H2194" s="19" t="s">
        <v>63</v>
      </c>
      <c r="I2194" s="19" t="s">
        <v>64</v>
      </c>
      <c r="J2194" s="19">
        <v>22</v>
      </c>
      <c r="K2194" s="19">
        <v>1.8599999999999998E-2</v>
      </c>
      <c r="L2194" s="19" t="s">
        <v>35</v>
      </c>
      <c r="M2194" s="19" t="s">
        <v>142</v>
      </c>
      <c r="N2194" s="19">
        <v>50</v>
      </c>
      <c r="O2194" s="19">
        <v>50</v>
      </c>
      <c r="P2194" s="19">
        <v>0</v>
      </c>
      <c r="Q2194" s="19">
        <v>0</v>
      </c>
      <c r="S2194" s="19">
        <v>1</v>
      </c>
      <c r="T2194" s="19">
        <v>1</v>
      </c>
      <c r="U2194" s="19">
        <v>0</v>
      </c>
      <c r="V2194" s="19" t="s">
        <v>41</v>
      </c>
      <c r="W2194" s="19">
        <v>1</v>
      </c>
      <c r="Y2194" s="19" t="s">
        <v>142</v>
      </c>
      <c r="Z2194" s="19">
        <v>50</v>
      </c>
      <c r="AA2194" s="19">
        <v>50</v>
      </c>
    </row>
    <row r="2195" spans="1:27" x14ac:dyDescent="0.25">
      <c r="A2195" s="19" t="s">
        <v>2512</v>
      </c>
      <c r="B2195" s="19" t="s">
        <v>2503</v>
      </c>
      <c r="C2195" s="19">
        <v>44004</v>
      </c>
      <c r="D2195" s="19">
        <v>0</v>
      </c>
      <c r="E2195" s="19" t="s">
        <v>66</v>
      </c>
      <c r="F2195" s="19" t="s">
        <v>67</v>
      </c>
      <c r="G2195" s="19" t="s">
        <v>32</v>
      </c>
      <c r="H2195" s="19" t="s">
        <v>63</v>
      </c>
      <c r="I2195" s="19" t="s">
        <v>64</v>
      </c>
      <c r="J2195" s="19">
        <v>20</v>
      </c>
      <c r="K2195" s="19">
        <v>1.8599999999999998E-2</v>
      </c>
      <c r="L2195" s="19" t="s">
        <v>35</v>
      </c>
      <c r="N2195" s="19">
        <v>0</v>
      </c>
      <c r="O2195" s="19">
        <v>0</v>
      </c>
      <c r="P2195" s="19">
        <v>0</v>
      </c>
      <c r="Q2195" s="19">
        <v>0</v>
      </c>
      <c r="S2195" s="19">
        <v>1</v>
      </c>
      <c r="T2195" s="19">
        <v>1</v>
      </c>
      <c r="U2195" s="19">
        <v>0</v>
      </c>
      <c r="V2195" s="19" t="s">
        <v>36</v>
      </c>
      <c r="W2195" s="19">
        <v>0</v>
      </c>
      <c r="Z2195" s="19">
        <v>0</v>
      </c>
      <c r="AA2195" s="19">
        <v>0</v>
      </c>
    </row>
    <row r="2196" spans="1:27" x14ac:dyDescent="0.25">
      <c r="A2196" s="19" t="s">
        <v>2513</v>
      </c>
      <c r="B2196" s="19" t="s">
        <v>2503</v>
      </c>
      <c r="C2196" s="19">
        <v>44004</v>
      </c>
      <c r="D2196" s="19">
        <v>0.92999999999999905</v>
      </c>
      <c r="E2196" s="19" t="s">
        <v>69</v>
      </c>
      <c r="F2196" s="19" t="s">
        <v>70</v>
      </c>
      <c r="G2196" s="19" t="s">
        <v>32</v>
      </c>
      <c r="H2196" s="19" t="s">
        <v>63</v>
      </c>
      <c r="I2196" s="19" t="s">
        <v>64</v>
      </c>
      <c r="J2196" s="19">
        <v>23</v>
      </c>
      <c r="K2196" s="19">
        <v>1.8599999999999998E-2</v>
      </c>
      <c r="L2196" s="19" t="s">
        <v>35</v>
      </c>
      <c r="M2196" s="19" t="s">
        <v>142</v>
      </c>
      <c r="N2196" s="19">
        <v>50</v>
      </c>
      <c r="O2196" s="19">
        <v>50</v>
      </c>
      <c r="P2196" s="19">
        <v>0</v>
      </c>
      <c r="Q2196" s="19">
        <v>0</v>
      </c>
      <c r="S2196" s="19">
        <v>1</v>
      </c>
      <c r="T2196" s="19">
        <v>1</v>
      </c>
      <c r="U2196" s="19">
        <v>0</v>
      </c>
      <c r="V2196" s="19" t="s">
        <v>41</v>
      </c>
      <c r="W2196" s="19">
        <v>1</v>
      </c>
      <c r="Y2196" s="19" t="s">
        <v>142</v>
      </c>
      <c r="Z2196" s="19">
        <v>50</v>
      </c>
      <c r="AA2196" s="19">
        <v>50</v>
      </c>
    </row>
    <row r="2197" spans="1:27" x14ac:dyDescent="0.25">
      <c r="A2197" s="19" t="s">
        <v>2514</v>
      </c>
      <c r="B2197" s="19" t="s">
        <v>2503</v>
      </c>
      <c r="C2197" s="19">
        <v>44004</v>
      </c>
      <c r="D2197" s="19">
        <v>0</v>
      </c>
      <c r="E2197" s="19" t="s">
        <v>72</v>
      </c>
      <c r="F2197" s="19" t="s">
        <v>73</v>
      </c>
      <c r="G2197" s="19" t="s">
        <v>32</v>
      </c>
      <c r="H2197" s="19" t="s">
        <v>63</v>
      </c>
      <c r="I2197" s="19" t="s">
        <v>64</v>
      </c>
      <c r="J2197" s="19">
        <v>21</v>
      </c>
      <c r="K2197" s="19">
        <v>1.8599999999999998E-2</v>
      </c>
      <c r="L2197" s="19" t="s">
        <v>35</v>
      </c>
      <c r="N2197" s="19">
        <v>0</v>
      </c>
      <c r="O2197" s="19">
        <v>0</v>
      </c>
      <c r="P2197" s="19">
        <v>0</v>
      </c>
      <c r="Q2197" s="19">
        <v>0</v>
      </c>
      <c r="S2197" s="19">
        <v>1</v>
      </c>
      <c r="T2197" s="19">
        <v>1</v>
      </c>
      <c r="U2197" s="19">
        <v>0</v>
      </c>
      <c r="V2197" s="19" t="s">
        <v>36</v>
      </c>
      <c r="W2197" s="19">
        <v>0</v>
      </c>
      <c r="Z2197" s="19">
        <v>0</v>
      </c>
      <c r="AA2197" s="19">
        <v>0</v>
      </c>
    </row>
    <row r="2198" spans="1:27" x14ac:dyDescent="0.25">
      <c r="A2198" s="19" t="s">
        <v>2515</v>
      </c>
      <c r="B2198" s="19" t="s">
        <v>2503</v>
      </c>
      <c r="C2198" s="19">
        <v>44004</v>
      </c>
      <c r="D2198" s="19">
        <v>0.92999999999999905</v>
      </c>
      <c r="E2198" s="19" t="s">
        <v>75</v>
      </c>
      <c r="F2198" s="19" t="s">
        <v>76</v>
      </c>
      <c r="G2198" s="19" t="s">
        <v>32</v>
      </c>
      <c r="H2198" s="19" t="s">
        <v>63</v>
      </c>
      <c r="I2198" s="19" t="s">
        <v>64</v>
      </c>
      <c r="J2198" s="19">
        <v>24</v>
      </c>
      <c r="K2198" s="19">
        <v>1.8599999999999998E-2</v>
      </c>
      <c r="L2198" s="19" t="s">
        <v>35</v>
      </c>
      <c r="M2198" s="19" t="s">
        <v>142</v>
      </c>
      <c r="N2198" s="19">
        <v>50</v>
      </c>
      <c r="O2198" s="19">
        <v>50</v>
      </c>
      <c r="P2198" s="19">
        <v>0</v>
      </c>
      <c r="Q2198" s="19">
        <v>0</v>
      </c>
      <c r="S2198" s="19">
        <v>1</v>
      </c>
      <c r="T2198" s="19">
        <v>1</v>
      </c>
      <c r="U2198" s="19">
        <v>0</v>
      </c>
      <c r="V2198" s="19" t="s">
        <v>41</v>
      </c>
      <c r="W2198" s="19">
        <v>1</v>
      </c>
      <c r="Y2198" s="19" t="s">
        <v>142</v>
      </c>
      <c r="Z2198" s="19">
        <v>50</v>
      </c>
      <c r="AA2198" s="19">
        <v>50</v>
      </c>
    </row>
    <row r="2199" spans="1:27" x14ac:dyDescent="0.25">
      <c r="A2199" s="19" t="s">
        <v>2516</v>
      </c>
      <c r="B2199" s="19" t="s">
        <v>2503</v>
      </c>
      <c r="C2199" s="19">
        <v>44004</v>
      </c>
      <c r="D2199" s="19">
        <v>0</v>
      </c>
      <c r="E2199" s="19" t="s">
        <v>78</v>
      </c>
      <c r="F2199" s="19" t="s">
        <v>79</v>
      </c>
      <c r="G2199" s="19" t="s">
        <v>32</v>
      </c>
      <c r="H2199" s="19" t="s">
        <v>63</v>
      </c>
      <c r="I2199" s="19" t="s">
        <v>64</v>
      </c>
      <c r="J2199" s="19">
        <v>25</v>
      </c>
      <c r="K2199" s="19">
        <v>1.8599999999999998E-2</v>
      </c>
      <c r="L2199" s="19" t="s">
        <v>35</v>
      </c>
      <c r="M2199" s="19" t="s">
        <v>40</v>
      </c>
      <c r="N2199" s="19">
        <v>0</v>
      </c>
      <c r="O2199" s="19">
        <v>0</v>
      </c>
      <c r="P2199" s="19">
        <v>0</v>
      </c>
      <c r="Q2199" s="19">
        <v>0</v>
      </c>
      <c r="S2199" s="19">
        <v>1</v>
      </c>
      <c r="T2199" s="19">
        <v>1</v>
      </c>
      <c r="U2199" s="19">
        <v>0</v>
      </c>
      <c r="V2199" s="19" t="s">
        <v>80</v>
      </c>
      <c r="W2199" s="19">
        <v>0</v>
      </c>
      <c r="Y2199" s="19" t="s">
        <v>40</v>
      </c>
      <c r="Z2199" s="19">
        <v>33.33</v>
      </c>
      <c r="AA2199" s="19">
        <v>0</v>
      </c>
    </row>
    <row r="2200" spans="1:27" x14ac:dyDescent="0.25">
      <c r="A2200" s="19" t="s">
        <v>2517</v>
      </c>
      <c r="B2200" s="19" t="s">
        <v>2503</v>
      </c>
      <c r="C2200" s="19">
        <v>44004</v>
      </c>
      <c r="D2200" s="19">
        <v>0</v>
      </c>
      <c r="E2200" s="19" t="s">
        <v>82</v>
      </c>
      <c r="F2200" s="19" t="s">
        <v>83</v>
      </c>
      <c r="G2200" s="19" t="s">
        <v>32</v>
      </c>
      <c r="H2200" s="19" t="s">
        <v>63</v>
      </c>
      <c r="I2200" s="19" t="s">
        <v>64</v>
      </c>
      <c r="J2200" s="19">
        <v>26</v>
      </c>
      <c r="K2200" s="19">
        <v>1.8599999999999998E-2</v>
      </c>
      <c r="L2200" s="19" t="s">
        <v>35</v>
      </c>
      <c r="N2200" s="19">
        <v>0</v>
      </c>
      <c r="O2200" s="19">
        <v>0</v>
      </c>
      <c r="P2200" s="19">
        <v>0</v>
      </c>
      <c r="Q2200" s="19">
        <v>0</v>
      </c>
      <c r="S2200" s="19">
        <v>1</v>
      </c>
      <c r="T2200" s="19">
        <v>1</v>
      </c>
      <c r="U2200" s="19">
        <v>0</v>
      </c>
      <c r="V2200" s="19" t="s">
        <v>36</v>
      </c>
      <c r="W2200" s="19">
        <v>0</v>
      </c>
      <c r="Z2200" s="19">
        <v>0</v>
      </c>
      <c r="AA2200" s="19">
        <v>0</v>
      </c>
    </row>
    <row r="2201" spans="1:27" x14ac:dyDescent="0.25">
      <c r="A2201" s="19" t="s">
        <v>2518</v>
      </c>
      <c r="B2201" s="19" t="s">
        <v>2503</v>
      </c>
      <c r="C2201" s="19">
        <v>44004</v>
      </c>
      <c r="D2201" s="19">
        <v>0</v>
      </c>
      <c r="E2201" s="19" t="s">
        <v>85</v>
      </c>
      <c r="F2201" s="19" t="s">
        <v>86</v>
      </c>
      <c r="G2201" s="19" t="s">
        <v>32</v>
      </c>
      <c r="H2201" s="19" t="s">
        <v>87</v>
      </c>
      <c r="I2201" s="19" t="s">
        <v>88</v>
      </c>
      <c r="J2201" s="19">
        <v>35</v>
      </c>
      <c r="K2201" s="19">
        <v>3.2500000000000001E-2</v>
      </c>
      <c r="L2201" s="19" t="s">
        <v>35</v>
      </c>
      <c r="N2201" s="19">
        <v>0</v>
      </c>
      <c r="O2201" s="19">
        <v>0</v>
      </c>
      <c r="P2201" s="19">
        <v>0</v>
      </c>
      <c r="Q2201" s="19">
        <v>0</v>
      </c>
      <c r="S2201" s="19">
        <v>1</v>
      </c>
      <c r="T2201" s="19">
        <v>1</v>
      </c>
      <c r="U2201" s="19">
        <v>0</v>
      </c>
      <c r="V2201" s="19" t="s">
        <v>36</v>
      </c>
      <c r="W2201" s="19">
        <v>0</v>
      </c>
      <c r="Z2201" s="19">
        <v>0</v>
      </c>
      <c r="AA2201" s="19">
        <v>0</v>
      </c>
    </row>
    <row r="2202" spans="1:27" x14ac:dyDescent="0.25">
      <c r="A2202" s="19" t="s">
        <v>2519</v>
      </c>
      <c r="B2202" s="19" t="s">
        <v>2503</v>
      </c>
      <c r="C2202" s="19">
        <v>44004</v>
      </c>
      <c r="D2202" s="19">
        <v>1.625</v>
      </c>
      <c r="E2202" s="19" t="s">
        <v>90</v>
      </c>
      <c r="F2202" s="19" t="s">
        <v>91</v>
      </c>
      <c r="G2202" s="19" t="s">
        <v>32</v>
      </c>
      <c r="H2202" s="19" t="s">
        <v>87</v>
      </c>
      <c r="I2202" s="19" t="s">
        <v>88</v>
      </c>
      <c r="J2202" s="19">
        <v>33</v>
      </c>
      <c r="K2202" s="19">
        <v>3.2500000000000001E-2</v>
      </c>
      <c r="L2202" s="19" t="s">
        <v>35</v>
      </c>
      <c r="M2202" s="19" t="s">
        <v>142</v>
      </c>
      <c r="N2202" s="19">
        <v>50</v>
      </c>
      <c r="O2202" s="19">
        <v>50</v>
      </c>
      <c r="P2202" s="19">
        <v>0</v>
      </c>
      <c r="Q2202" s="19">
        <v>0</v>
      </c>
      <c r="S2202" s="19">
        <v>1</v>
      </c>
      <c r="T2202" s="19">
        <v>1</v>
      </c>
      <c r="U2202" s="19">
        <v>0</v>
      </c>
      <c r="V2202" s="19" t="s">
        <v>41</v>
      </c>
      <c r="W2202" s="19">
        <v>1</v>
      </c>
      <c r="Y2202" s="19" t="s">
        <v>142</v>
      </c>
      <c r="Z2202" s="19">
        <v>50</v>
      </c>
      <c r="AA2202" s="19">
        <v>50</v>
      </c>
    </row>
    <row r="2203" spans="1:27" x14ac:dyDescent="0.25">
      <c r="A2203" s="19" t="s">
        <v>2520</v>
      </c>
      <c r="B2203" s="19" t="s">
        <v>2503</v>
      </c>
      <c r="C2203" s="19">
        <v>44004</v>
      </c>
      <c r="D2203" s="19">
        <v>1.625</v>
      </c>
      <c r="E2203" s="19" t="s">
        <v>93</v>
      </c>
      <c r="F2203" s="19" t="s">
        <v>94</v>
      </c>
      <c r="G2203" s="19" t="s">
        <v>32</v>
      </c>
      <c r="H2203" s="19" t="s">
        <v>87</v>
      </c>
      <c r="I2203" s="19" t="s">
        <v>88</v>
      </c>
      <c r="J2203" s="19">
        <v>34</v>
      </c>
      <c r="K2203" s="19">
        <v>3.2500000000000001E-2</v>
      </c>
      <c r="L2203" s="19" t="s">
        <v>35</v>
      </c>
      <c r="M2203" s="19" t="s">
        <v>142</v>
      </c>
      <c r="N2203" s="19">
        <v>50</v>
      </c>
      <c r="O2203" s="19">
        <v>50</v>
      </c>
      <c r="P2203" s="19">
        <v>0</v>
      </c>
      <c r="Q2203" s="19">
        <v>0</v>
      </c>
      <c r="S2203" s="19">
        <v>1</v>
      </c>
      <c r="T2203" s="19">
        <v>1</v>
      </c>
      <c r="U2203" s="19">
        <v>0</v>
      </c>
      <c r="V2203" s="19" t="s">
        <v>41</v>
      </c>
      <c r="W2203" s="19">
        <v>1</v>
      </c>
      <c r="Y2203" s="19" t="s">
        <v>142</v>
      </c>
      <c r="Z2203" s="19">
        <v>50</v>
      </c>
      <c r="AA2203" s="19">
        <v>50</v>
      </c>
    </row>
    <row r="2204" spans="1:27" x14ac:dyDescent="0.25">
      <c r="A2204" s="19" t="s">
        <v>2521</v>
      </c>
      <c r="B2204" s="19" t="s">
        <v>2503</v>
      </c>
      <c r="C2204" s="19">
        <v>44004</v>
      </c>
      <c r="D2204" s="19">
        <v>0</v>
      </c>
      <c r="E2204" s="19" t="s">
        <v>96</v>
      </c>
      <c r="F2204" s="19" t="s">
        <v>97</v>
      </c>
      <c r="G2204" s="19" t="s">
        <v>32</v>
      </c>
      <c r="H2204" s="19" t="s">
        <v>87</v>
      </c>
      <c r="I2204" s="19" t="s">
        <v>88</v>
      </c>
      <c r="J2204" s="19">
        <v>36</v>
      </c>
      <c r="K2204" s="19">
        <v>3.2500000000000001E-2</v>
      </c>
      <c r="L2204" s="19" t="s">
        <v>35</v>
      </c>
      <c r="N2204" s="19">
        <v>0</v>
      </c>
      <c r="O2204" s="19">
        <v>0</v>
      </c>
      <c r="P2204" s="19">
        <v>0</v>
      </c>
      <c r="Q2204" s="19">
        <v>0</v>
      </c>
      <c r="S2204" s="19">
        <v>1</v>
      </c>
      <c r="T2204" s="19">
        <v>1</v>
      </c>
      <c r="U2204" s="19">
        <v>0</v>
      </c>
      <c r="V2204" s="19" t="s">
        <v>36</v>
      </c>
      <c r="W2204" s="19">
        <v>0</v>
      </c>
      <c r="Z2204" s="19">
        <v>0</v>
      </c>
      <c r="AA2204" s="19">
        <v>0</v>
      </c>
    </row>
    <row r="2205" spans="1:27" x14ac:dyDescent="0.25">
      <c r="A2205" s="19" t="s">
        <v>2522</v>
      </c>
      <c r="B2205" s="19" t="s">
        <v>2503</v>
      </c>
      <c r="C2205" s="19">
        <v>44004</v>
      </c>
      <c r="D2205" s="19">
        <v>0</v>
      </c>
      <c r="E2205" s="19" t="s">
        <v>99</v>
      </c>
      <c r="F2205" s="19" t="s">
        <v>100</v>
      </c>
      <c r="G2205" s="19" t="s">
        <v>32</v>
      </c>
      <c r="H2205" s="19" t="s">
        <v>101</v>
      </c>
      <c r="I2205" s="19" t="s">
        <v>102</v>
      </c>
      <c r="J2205" s="19">
        <v>39</v>
      </c>
      <c r="K2205" s="19">
        <v>4.3299999999999998E-2</v>
      </c>
      <c r="L2205" s="19" t="s">
        <v>35</v>
      </c>
      <c r="M2205" s="19" t="s">
        <v>103</v>
      </c>
      <c r="N2205" s="19">
        <v>0</v>
      </c>
      <c r="O2205" s="19">
        <v>0</v>
      </c>
      <c r="P2205" s="19">
        <v>0</v>
      </c>
      <c r="Q2205" s="19">
        <v>0</v>
      </c>
      <c r="S2205" s="19">
        <v>1</v>
      </c>
      <c r="T2205" s="19">
        <v>1</v>
      </c>
      <c r="U2205" s="19">
        <v>0</v>
      </c>
      <c r="V2205" s="19" t="s">
        <v>80</v>
      </c>
      <c r="W2205" s="19">
        <v>0</v>
      </c>
      <c r="Y2205" s="19" t="s">
        <v>103</v>
      </c>
      <c r="Z2205" s="19">
        <v>50</v>
      </c>
      <c r="AA2205" s="19">
        <v>0</v>
      </c>
    </row>
    <row r="2206" spans="1:27" x14ac:dyDescent="0.25">
      <c r="A2206" s="19" t="s">
        <v>2523</v>
      </c>
      <c r="B2206" s="19" t="s">
        <v>2503</v>
      </c>
      <c r="C2206" s="19">
        <v>44004</v>
      </c>
      <c r="D2206" s="19">
        <v>2.165</v>
      </c>
      <c r="E2206" s="19" t="s">
        <v>105</v>
      </c>
      <c r="F2206" s="19" t="s">
        <v>106</v>
      </c>
      <c r="G2206" s="19" t="s">
        <v>32</v>
      </c>
      <c r="H2206" s="19" t="s">
        <v>101</v>
      </c>
      <c r="I2206" s="19" t="s">
        <v>102</v>
      </c>
      <c r="J2206" s="19">
        <v>38</v>
      </c>
      <c r="K2206" s="19">
        <v>4.3299999999999998E-2</v>
      </c>
      <c r="L2206" s="19" t="s">
        <v>35</v>
      </c>
      <c r="M2206" s="19" t="s">
        <v>103</v>
      </c>
      <c r="N2206" s="19">
        <v>50</v>
      </c>
      <c r="O2206" s="19">
        <v>50</v>
      </c>
      <c r="P2206" s="19">
        <v>0</v>
      </c>
      <c r="Q2206" s="19">
        <v>0</v>
      </c>
      <c r="S2206" s="19">
        <v>1</v>
      </c>
      <c r="T2206" s="19">
        <v>1</v>
      </c>
      <c r="U2206" s="19">
        <v>0</v>
      </c>
      <c r="V2206" s="19" t="s">
        <v>41</v>
      </c>
      <c r="W2206" s="19">
        <v>1</v>
      </c>
      <c r="Y2206" s="19" t="s">
        <v>103</v>
      </c>
      <c r="Z2206" s="19">
        <v>50</v>
      </c>
      <c r="AA2206" s="19">
        <v>50</v>
      </c>
    </row>
    <row r="2207" spans="1:27" x14ac:dyDescent="0.25">
      <c r="A2207" s="19" t="s">
        <v>2524</v>
      </c>
      <c r="B2207" s="19" t="s">
        <v>2503</v>
      </c>
      <c r="C2207" s="19">
        <v>44004</v>
      </c>
      <c r="D2207" s="19">
        <v>0</v>
      </c>
      <c r="E2207" s="19" t="s">
        <v>108</v>
      </c>
      <c r="F2207" s="19" t="s">
        <v>109</v>
      </c>
      <c r="G2207" s="19" t="s">
        <v>32</v>
      </c>
      <c r="H2207" s="19" t="s">
        <v>101</v>
      </c>
      <c r="I2207" s="19" t="s">
        <v>102</v>
      </c>
      <c r="J2207" s="19">
        <v>37</v>
      </c>
      <c r="K2207" s="19">
        <v>4.3299999999999998E-2</v>
      </c>
      <c r="L2207" s="19" t="s">
        <v>35</v>
      </c>
      <c r="M2207" s="19" t="s">
        <v>40</v>
      </c>
      <c r="N2207" s="19">
        <v>0</v>
      </c>
      <c r="O2207" s="19">
        <v>0</v>
      </c>
      <c r="P2207" s="19">
        <v>0</v>
      </c>
      <c r="Q2207" s="19">
        <v>0</v>
      </c>
      <c r="S2207" s="19">
        <v>1</v>
      </c>
      <c r="T2207" s="19">
        <v>1</v>
      </c>
      <c r="U2207" s="19">
        <v>0</v>
      </c>
      <c r="V2207" s="19" t="s">
        <v>80</v>
      </c>
      <c r="W2207" s="19">
        <v>0</v>
      </c>
      <c r="Y2207" s="19" t="s">
        <v>40</v>
      </c>
      <c r="Z2207" s="19">
        <v>33.33</v>
      </c>
      <c r="AA2207" s="19">
        <v>0</v>
      </c>
    </row>
    <row r="2208" spans="1:27" x14ac:dyDescent="0.25">
      <c r="A2208" s="19" t="s">
        <v>2525</v>
      </c>
      <c r="B2208" s="19" t="s">
        <v>2503</v>
      </c>
      <c r="C2208" s="19">
        <v>44004</v>
      </c>
      <c r="D2208" s="19">
        <v>0</v>
      </c>
      <c r="E2208" s="19" t="s">
        <v>112</v>
      </c>
      <c r="F2208" s="19" t="s">
        <v>113</v>
      </c>
      <c r="G2208" s="19" t="s">
        <v>32</v>
      </c>
      <c r="H2208" s="19" t="s">
        <v>114</v>
      </c>
      <c r="I2208" s="19" t="s">
        <v>115</v>
      </c>
      <c r="J2208" s="19">
        <v>30</v>
      </c>
      <c r="K2208" s="19">
        <v>2.1700000000000001E-2</v>
      </c>
      <c r="L2208" s="19" t="s">
        <v>35</v>
      </c>
      <c r="M2208" s="19" t="s">
        <v>103</v>
      </c>
      <c r="N2208" s="19">
        <v>0</v>
      </c>
      <c r="O2208" s="19">
        <v>0</v>
      </c>
      <c r="P2208" s="19">
        <v>0</v>
      </c>
      <c r="Q2208" s="19">
        <v>0</v>
      </c>
      <c r="S2208" s="19">
        <v>1</v>
      </c>
      <c r="T2208" s="19">
        <v>1</v>
      </c>
      <c r="U2208" s="19">
        <v>0</v>
      </c>
      <c r="V2208" s="19" t="s">
        <v>36</v>
      </c>
      <c r="W2208" s="19">
        <v>0</v>
      </c>
      <c r="Y2208" s="19" t="s">
        <v>103</v>
      </c>
      <c r="Z2208" s="19">
        <v>50</v>
      </c>
      <c r="AA2208" s="19">
        <v>0</v>
      </c>
    </row>
    <row r="2209" spans="1:27" x14ac:dyDescent="0.25">
      <c r="A2209" s="19" t="s">
        <v>2526</v>
      </c>
      <c r="B2209" s="19" t="s">
        <v>2503</v>
      </c>
      <c r="C2209" s="19">
        <v>44004</v>
      </c>
      <c r="D2209" s="19">
        <v>0</v>
      </c>
      <c r="E2209" s="19" t="s">
        <v>117</v>
      </c>
      <c r="F2209" s="19" t="s">
        <v>118</v>
      </c>
      <c r="G2209" s="19" t="s">
        <v>32</v>
      </c>
      <c r="H2209" s="19" t="s">
        <v>114</v>
      </c>
      <c r="I2209" s="19" t="s">
        <v>115</v>
      </c>
      <c r="J2209" s="19">
        <v>31</v>
      </c>
      <c r="K2209" s="19">
        <v>2.1700000000000001E-2</v>
      </c>
      <c r="L2209" s="19" t="s">
        <v>35</v>
      </c>
      <c r="M2209" s="19" t="s">
        <v>103</v>
      </c>
      <c r="N2209" s="19">
        <v>0</v>
      </c>
      <c r="O2209" s="19">
        <v>0</v>
      </c>
      <c r="P2209" s="19">
        <v>0</v>
      </c>
      <c r="Q2209" s="19">
        <v>0</v>
      </c>
      <c r="S2209" s="19">
        <v>1</v>
      </c>
      <c r="T2209" s="19">
        <v>1</v>
      </c>
      <c r="U2209" s="19">
        <v>0</v>
      </c>
      <c r="V2209" s="19" t="s">
        <v>36</v>
      </c>
      <c r="W2209" s="19">
        <v>0</v>
      </c>
      <c r="Y2209" s="19" t="s">
        <v>103</v>
      </c>
      <c r="Z2209" s="19">
        <v>50</v>
      </c>
      <c r="AA2209" s="19">
        <v>0</v>
      </c>
    </row>
    <row r="2210" spans="1:27" x14ac:dyDescent="0.25">
      <c r="A2210" s="19" t="s">
        <v>2527</v>
      </c>
      <c r="B2210" s="19" t="s">
        <v>2503</v>
      </c>
      <c r="C2210" s="19">
        <v>44004</v>
      </c>
      <c r="D2210" s="19">
        <v>1.085</v>
      </c>
      <c r="E2210" s="19" t="s">
        <v>120</v>
      </c>
      <c r="F2210" s="19" t="s">
        <v>121</v>
      </c>
      <c r="G2210" s="19" t="s">
        <v>32</v>
      </c>
      <c r="H2210" s="19" t="s">
        <v>114</v>
      </c>
      <c r="I2210" s="19" t="s">
        <v>115</v>
      </c>
      <c r="J2210" s="19">
        <v>28</v>
      </c>
      <c r="K2210" s="19">
        <v>2.1700000000000001E-2</v>
      </c>
      <c r="L2210" s="19" t="s">
        <v>35</v>
      </c>
      <c r="M2210" s="19" t="s">
        <v>103</v>
      </c>
      <c r="N2210" s="19">
        <v>50</v>
      </c>
      <c r="O2210" s="19">
        <v>50</v>
      </c>
      <c r="P2210" s="19">
        <v>0</v>
      </c>
      <c r="Q2210" s="19">
        <v>0</v>
      </c>
      <c r="S2210" s="19">
        <v>1</v>
      </c>
      <c r="T2210" s="19">
        <v>1</v>
      </c>
      <c r="U2210" s="19">
        <v>0</v>
      </c>
      <c r="V2210" s="19" t="s">
        <v>41</v>
      </c>
      <c r="W2210" s="19">
        <v>1</v>
      </c>
      <c r="Y2210" s="19" t="s">
        <v>103</v>
      </c>
      <c r="Z2210" s="19">
        <v>50</v>
      </c>
      <c r="AA2210" s="19">
        <v>50</v>
      </c>
    </row>
    <row r="2211" spans="1:27" x14ac:dyDescent="0.25">
      <c r="A2211" s="19" t="s">
        <v>2528</v>
      </c>
      <c r="B2211" s="19" t="s">
        <v>2503</v>
      </c>
      <c r="C2211" s="19">
        <v>44004</v>
      </c>
      <c r="D2211" s="19">
        <v>0</v>
      </c>
      <c r="E2211" s="19" t="s">
        <v>123</v>
      </c>
      <c r="F2211" s="19" t="s">
        <v>124</v>
      </c>
      <c r="G2211" s="19" t="s">
        <v>32</v>
      </c>
      <c r="H2211" s="19" t="s">
        <v>114</v>
      </c>
      <c r="I2211" s="19" t="s">
        <v>115</v>
      </c>
      <c r="J2211" s="19">
        <v>27</v>
      </c>
      <c r="K2211" s="19">
        <v>2.1700000000000001E-2</v>
      </c>
      <c r="L2211" s="19" t="s">
        <v>35</v>
      </c>
      <c r="M2211" s="19" t="s">
        <v>103</v>
      </c>
      <c r="N2211" s="19">
        <v>0</v>
      </c>
      <c r="O2211" s="19">
        <v>0</v>
      </c>
      <c r="P2211" s="19">
        <v>0</v>
      </c>
      <c r="Q2211" s="19">
        <v>0</v>
      </c>
      <c r="S2211" s="19">
        <v>1</v>
      </c>
      <c r="T2211" s="19">
        <v>1</v>
      </c>
      <c r="U2211" s="19">
        <v>0</v>
      </c>
      <c r="V2211" s="19" t="s">
        <v>36</v>
      </c>
      <c r="W2211" s="19">
        <v>0</v>
      </c>
      <c r="Y2211" s="19" t="s">
        <v>103</v>
      </c>
      <c r="Z2211" s="19">
        <v>50</v>
      </c>
      <c r="AA2211" s="19">
        <v>0</v>
      </c>
    </row>
    <row r="2212" spans="1:27" x14ac:dyDescent="0.25">
      <c r="A2212" s="19" t="s">
        <v>2529</v>
      </c>
      <c r="B2212" s="19" t="s">
        <v>2503</v>
      </c>
      <c r="C2212" s="19">
        <v>44004</v>
      </c>
      <c r="D2212" s="19">
        <v>1.085</v>
      </c>
      <c r="E2212" s="19" t="s">
        <v>126</v>
      </c>
      <c r="F2212" s="19" t="s">
        <v>127</v>
      </c>
      <c r="G2212" s="19" t="s">
        <v>32</v>
      </c>
      <c r="H2212" s="19" t="s">
        <v>114</v>
      </c>
      <c r="I2212" s="19" t="s">
        <v>115</v>
      </c>
      <c r="J2212" s="19">
        <v>29</v>
      </c>
      <c r="K2212" s="19">
        <v>2.1700000000000001E-2</v>
      </c>
      <c r="L2212" s="19" t="s">
        <v>35</v>
      </c>
      <c r="M2212" s="19" t="s">
        <v>103</v>
      </c>
      <c r="N2212" s="19">
        <v>50</v>
      </c>
      <c r="O2212" s="19">
        <v>50</v>
      </c>
      <c r="P2212" s="19">
        <v>0</v>
      </c>
      <c r="Q2212" s="19">
        <v>0</v>
      </c>
      <c r="S2212" s="19">
        <v>1</v>
      </c>
      <c r="T2212" s="19">
        <v>1</v>
      </c>
      <c r="U2212" s="19">
        <v>0</v>
      </c>
      <c r="V2212" s="19" t="s">
        <v>41</v>
      </c>
      <c r="W2212" s="19">
        <v>1</v>
      </c>
      <c r="Y2212" s="19" t="s">
        <v>103</v>
      </c>
      <c r="Z2212" s="19">
        <v>50</v>
      </c>
      <c r="AA2212" s="19">
        <v>50</v>
      </c>
    </row>
    <row r="2213" spans="1:27" x14ac:dyDescent="0.25">
      <c r="A2213" s="19" t="s">
        <v>2530</v>
      </c>
      <c r="B2213" s="19" t="s">
        <v>2503</v>
      </c>
      <c r="C2213" s="19">
        <v>44004</v>
      </c>
      <c r="D2213" s="19">
        <v>1.085</v>
      </c>
      <c r="E2213" s="19" t="s">
        <v>129</v>
      </c>
      <c r="F2213" s="19" t="s">
        <v>130</v>
      </c>
      <c r="G2213" s="19" t="s">
        <v>32</v>
      </c>
      <c r="H2213" s="19" t="s">
        <v>114</v>
      </c>
      <c r="I2213" s="19" t="s">
        <v>115</v>
      </c>
      <c r="J2213" s="19">
        <v>32</v>
      </c>
      <c r="K2213" s="19">
        <v>2.1700000000000001E-2</v>
      </c>
      <c r="L2213" s="19" t="s">
        <v>35</v>
      </c>
      <c r="M2213" s="19" t="s">
        <v>103</v>
      </c>
      <c r="N2213" s="19">
        <v>50</v>
      </c>
      <c r="O2213" s="19">
        <v>50</v>
      </c>
      <c r="P2213" s="19">
        <v>0</v>
      </c>
      <c r="Q2213" s="19">
        <v>0</v>
      </c>
      <c r="S2213" s="19">
        <v>1</v>
      </c>
      <c r="T2213" s="19">
        <v>1</v>
      </c>
      <c r="U2213" s="19">
        <v>0</v>
      </c>
      <c r="V2213" s="19" t="s">
        <v>41</v>
      </c>
      <c r="W2213" s="19">
        <v>1</v>
      </c>
      <c r="Y2213" s="19" t="s">
        <v>103</v>
      </c>
      <c r="Z2213" s="19">
        <v>50</v>
      </c>
      <c r="AA2213" s="19">
        <v>50</v>
      </c>
    </row>
    <row r="2214" spans="1:27" x14ac:dyDescent="0.25">
      <c r="A2214" s="19" t="s">
        <v>2531</v>
      </c>
      <c r="B2214" s="19" t="s">
        <v>2503</v>
      </c>
      <c r="C2214" s="19">
        <v>44004</v>
      </c>
      <c r="D2214" s="19">
        <v>2.085</v>
      </c>
      <c r="E2214" s="19" t="s">
        <v>132</v>
      </c>
      <c r="F2214" s="19" t="s">
        <v>133</v>
      </c>
      <c r="G2214" s="19" t="s">
        <v>134</v>
      </c>
      <c r="H2214" s="19" t="s">
        <v>87</v>
      </c>
      <c r="I2214" s="19" t="s">
        <v>135</v>
      </c>
      <c r="J2214" s="19">
        <v>11</v>
      </c>
      <c r="K2214" s="19">
        <v>4.1700000000000001E-2</v>
      </c>
      <c r="L2214" s="19" t="s">
        <v>35</v>
      </c>
      <c r="M2214" s="19" t="s">
        <v>103</v>
      </c>
      <c r="N2214" s="19">
        <v>50</v>
      </c>
      <c r="O2214" s="19">
        <v>50</v>
      </c>
      <c r="P2214" s="19">
        <v>0</v>
      </c>
      <c r="Q2214" s="19">
        <v>0</v>
      </c>
      <c r="S2214" s="19">
        <v>1</v>
      </c>
      <c r="T2214" s="19">
        <v>1</v>
      </c>
      <c r="U2214" s="19">
        <v>0</v>
      </c>
      <c r="V2214" s="19" t="s">
        <v>41</v>
      </c>
      <c r="W2214" s="19">
        <v>1</v>
      </c>
      <c r="Y2214" s="19" t="s">
        <v>103</v>
      </c>
      <c r="Z2214" s="19">
        <v>50</v>
      </c>
      <c r="AA2214" s="19">
        <v>50</v>
      </c>
    </row>
    <row r="2215" spans="1:27" x14ac:dyDescent="0.25">
      <c r="A2215" s="19" t="s">
        <v>2532</v>
      </c>
      <c r="B2215" s="19" t="s">
        <v>2503</v>
      </c>
      <c r="C2215" s="19">
        <v>44004</v>
      </c>
      <c r="D2215" s="19">
        <v>0.463287</v>
      </c>
      <c r="E2215" s="19" t="s">
        <v>137</v>
      </c>
      <c r="F2215" s="19" t="s">
        <v>138</v>
      </c>
      <c r="G2215" s="19" t="s">
        <v>134</v>
      </c>
      <c r="H2215" s="19" t="s">
        <v>87</v>
      </c>
      <c r="I2215" s="19" t="s">
        <v>135</v>
      </c>
      <c r="J2215" s="19">
        <v>9</v>
      </c>
      <c r="K2215" s="19">
        <v>4.1700000000000001E-2</v>
      </c>
      <c r="L2215" s="19" t="s">
        <v>35</v>
      </c>
      <c r="M2215" s="19" t="s">
        <v>110</v>
      </c>
      <c r="N2215" s="19">
        <v>11.11</v>
      </c>
      <c r="O2215" s="19">
        <v>11.11</v>
      </c>
      <c r="P2215" s="19">
        <v>0</v>
      </c>
      <c r="Q2215" s="19">
        <v>0</v>
      </c>
      <c r="S2215" s="19">
        <v>1</v>
      </c>
      <c r="T2215" s="19">
        <v>1</v>
      </c>
      <c r="U2215" s="19">
        <v>0</v>
      </c>
      <c r="W2215" s="19">
        <v>0</v>
      </c>
      <c r="X2215" s="19">
        <v>2</v>
      </c>
      <c r="Y2215" s="19" t="s">
        <v>110</v>
      </c>
      <c r="Z2215" s="19">
        <v>16.664999999999999</v>
      </c>
      <c r="AA2215" s="19">
        <v>11.11</v>
      </c>
    </row>
    <row r="2216" spans="1:27" x14ac:dyDescent="0.25">
      <c r="A2216" s="19" t="s">
        <v>2533</v>
      </c>
      <c r="B2216" s="19" t="s">
        <v>2503</v>
      </c>
      <c r="C2216" s="19">
        <v>44004</v>
      </c>
      <c r="D2216" s="19">
        <v>0.463287</v>
      </c>
      <c r="E2216" s="19" t="s">
        <v>140</v>
      </c>
      <c r="F2216" s="19" t="s">
        <v>141</v>
      </c>
      <c r="G2216" s="19" t="s">
        <v>134</v>
      </c>
      <c r="H2216" s="19" t="s">
        <v>87</v>
      </c>
      <c r="I2216" s="19" t="s">
        <v>135</v>
      </c>
      <c r="J2216" s="19">
        <v>10</v>
      </c>
      <c r="K2216" s="19">
        <v>4.1700000000000001E-2</v>
      </c>
      <c r="L2216" s="19" t="s">
        <v>35</v>
      </c>
      <c r="M2216" s="19" t="s">
        <v>110</v>
      </c>
      <c r="N2216" s="19">
        <v>11.11</v>
      </c>
      <c r="O2216" s="19">
        <v>11.11</v>
      </c>
      <c r="P2216" s="19">
        <v>0</v>
      </c>
      <c r="Q2216" s="19">
        <v>0</v>
      </c>
      <c r="S2216" s="19">
        <v>1</v>
      </c>
      <c r="T2216" s="19">
        <v>1</v>
      </c>
      <c r="U2216" s="19">
        <v>0</v>
      </c>
      <c r="W2216" s="19">
        <v>0</v>
      </c>
      <c r="X2216" s="19">
        <v>2</v>
      </c>
      <c r="Y2216" s="19" t="s">
        <v>110</v>
      </c>
      <c r="Z2216" s="19">
        <v>16.664999999999999</v>
      </c>
      <c r="AA2216" s="19">
        <v>11.11</v>
      </c>
    </row>
    <row r="2217" spans="1:27" x14ac:dyDescent="0.25">
      <c r="A2217" s="19" t="s">
        <v>2534</v>
      </c>
      <c r="B2217" s="19" t="s">
        <v>2503</v>
      </c>
      <c r="C2217" s="19">
        <v>44004</v>
      </c>
      <c r="D2217" s="19">
        <v>1.25</v>
      </c>
      <c r="E2217" s="19" t="s">
        <v>144</v>
      </c>
      <c r="F2217" s="19" t="s">
        <v>145</v>
      </c>
      <c r="G2217" s="19" t="s">
        <v>134</v>
      </c>
      <c r="H2217" s="19" t="s">
        <v>146</v>
      </c>
      <c r="I2217" s="19" t="s">
        <v>147</v>
      </c>
      <c r="J2217" s="19">
        <v>4</v>
      </c>
      <c r="K2217" s="19">
        <v>2.5000000000000001E-2</v>
      </c>
      <c r="L2217" s="19" t="s">
        <v>35</v>
      </c>
      <c r="M2217" s="19" t="s">
        <v>103</v>
      </c>
      <c r="N2217" s="19">
        <v>50</v>
      </c>
      <c r="O2217" s="19">
        <v>50</v>
      </c>
      <c r="P2217" s="19">
        <v>0</v>
      </c>
      <c r="Q2217" s="19">
        <v>0</v>
      </c>
      <c r="S2217" s="19">
        <v>1</v>
      </c>
      <c r="T2217" s="19">
        <v>1</v>
      </c>
      <c r="U2217" s="19">
        <v>0</v>
      </c>
      <c r="V2217" s="19" t="s">
        <v>41</v>
      </c>
      <c r="W2217" s="19">
        <v>1</v>
      </c>
      <c r="Y2217" s="19" t="s">
        <v>103</v>
      </c>
      <c r="Z2217" s="19">
        <v>50</v>
      </c>
      <c r="AA2217" s="19">
        <v>50</v>
      </c>
    </row>
    <row r="2218" spans="1:27" x14ac:dyDescent="0.25">
      <c r="A2218" s="19" t="s">
        <v>2535</v>
      </c>
      <c r="B2218" s="19" t="s">
        <v>2503</v>
      </c>
      <c r="C2218" s="19">
        <v>44004</v>
      </c>
      <c r="D2218" s="19">
        <v>1.25</v>
      </c>
      <c r="E2218" s="19" t="s">
        <v>149</v>
      </c>
      <c r="F2218" s="19" t="s">
        <v>150</v>
      </c>
      <c r="G2218" s="19" t="s">
        <v>134</v>
      </c>
      <c r="H2218" s="19" t="s">
        <v>146</v>
      </c>
      <c r="I2218" s="19" t="s">
        <v>147</v>
      </c>
      <c r="J2218" s="19">
        <v>5</v>
      </c>
      <c r="K2218" s="19">
        <v>2.5000000000000001E-2</v>
      </c>
      <c r="L2218" s="19" t="s">
        <v>35</v>
      </c>
      <c r="M2218" s="19" t="s">
        <v>103</v>
      </c>
      <c r="N2218" s="19">
        <v>50</v>
      </c>
      <c r="O2218" s="19">
        <v>50</v>
      </c>
      <c r="P2218" s="19">
        <v>0</v>
      </c>
      <c r="Q2218" s="19">
        <v>0</v>
      </c>
      <c r="S2218" s="19">
        <v>1</v>
      </c>
      <c r="T2218" s="19">
        <v>1</v>
      </c>
      <c r="U2218" s="19">
        <v>0</v>
      </c>
      <c r="V2218" s="19" t="s">
        <v>41</v>
      </c>
      <c r="W2218" s="19">
        <v>1</v>
      </c>
      <c r="Y2218" s="19" t="s">
        <v>103</v>
      </c>
      <c r="Z2218" s="19">
        <v>50</v>
      </c>
      <c r="AA2218" s="19">
        <v>50</v>
      </c>
    </row>
    <row r="2219" spans="1:27" x14ac:dyDescent="0.25">
      <c r="A2219" s="19" t="s">
        <v>2536</v>
      </c>
      <c r="B2219" s="19" t="s">
        <v>2503</v>
      </c>
      <c r="C2219" s="19">
        <v>44004</v>
      </c>
      <c r="D2219" s="19">
        <v>1.25</v>
      </c>
      <c r="E2219" s="19" t="s">
        <v>152</v>
      </c>
      <c r="F2219" s="19" t="s">
        <v>153</v>
      </c>
      <c r="G2219" s="19" t="s">
        <v>134</v>
      </c>
      <c r="H2219" s="19" t="s">
        <v>146</v>
      </c>
      <c r="I2219" s="19" t="s">
        <v>147</v>
      </c>
      <c r="J2219" s="19">
        <v>6</v>
      </c>
      <c r="K2219" s="19">
        <v>2.5000000000000001E-2</v>
      </c>
      <c r="L2219" s="19" t="s">
        <v>35</v>
      </c>
      <c r="M2219" s="19" t="s">
        <v>103</v>
      </c>
      <c r="N2219" s="19">
        <v>50</v>
      </c>
      <c r="O2219" s="19">
        <v>50</v>
      </c>
      <c r="P2219" s="19">
        <v>0</v>
      </c>
      <c r="Q2219" s="19">
        <v>0</v>
      </c>
      <c r="S2219" s="19">
        <v>1</v>
      </c>
      <c r="T2219" s="19">
        <v>1</v>
      </c>
      <c r="U2219" s="19">
        <v>0</v>
      </c>
      <c r="V2219" s="19" t="s">
        <v>41</v>
      </c>
      <c r="W2219" s="19">
        <v>1</v>
      </c>
      <c r="Y2219" s="19" t="s">
        <v>103</v>
      </c>
      <c r="Z2219" s="19">
        <v>50</v>
      </c>
      <c r="AA2219" s="19">
        <v>50</v>
      </c>
    </row>
    <row r="2220" spans="1:27" x14ac:dyDescent="0.25">
      <c r="A2220" s="19" t="s">
        <v>2537</v>
      </c>
      <c r="B2220" s="19" t="s">
        <v>2503</v>
      </c>
      <c r="C2220" s="19">
        <v>44004</v>
      </c>
      <c r="D2220" s="19">
        <v>1.25</v>
      </c>
      <c r="E2220" s="19" t="s">
        <v>155</v>
      </c>
      <c r="F2220" s="19" t="s">
        <v>156</v>
      </c>
      <c r="G2220" s="19" t="s">
        <v>134</v>
      </c>
      <c r="H2220" s="19" t="s">
        <v>146</v>
      </c>
      <c r="I2220" s="19" t="s">
        <v>147</v>
      </c>
      <c r="J2220" s="19">
        <v>7</v>
      </c>
      <c r="K2220" s="19">
        <v>2.5000000000000001E-2</v>
      </c>
      <c r="L2220" s="19" t="s">
        <v>35</v>
      </c>
      <c r="M2220" s="19" t="s">
        <v>103</v>
      </c>
      <c r="N2220" s="19">
        <v>50</v>
      </c>
      <c r="O2220" s="19">
        <v>50</v>
      </c>
      <c r="P2220" s="19">
        <v>0</v>
      </c>
      <c r="Q2220" s="19">
        <v>0</v>
      </c>
      <c r="S2220" s="19">
        <v>1</v>
      </c>
      <c r="T2220" s="19">
        <v>1</v>
      </c>
      <c r="U2220" s="19">
        <v>0</v>
      </c>
      <c r="V2220" s="19" t="s">
        <v>41</v>
      </c>
      <c r="W2220" s="19">
        <v>1</v>
      </c>
      <c r="Y2220" s="19" t="s">
        <v>103</v>
      </c>
      <c r="Z2220" s="19">
        <v>50</v>
      </c>
      <c r="AA2220" s="19">
        <v>50</v>
      </c>
    </row>
    <row r="2221" spans="1:27" x14ac:dyDescent="0.25">
      <c r="A2221" s="19" t="s">
        <v>2538</v>
      </c>
      <c r="B2221" s="19" t="s">
        <v>2503</v>
      </c>
      <c r="C2221" s="19">
        <v>44004</v>
      </c>
      <c r="D2221" s="19">
        <v>1.25</v>
      </c>
      <c r="E2221" s="19" t="s">
        <v>158</v>
      </c>
      <c r="F2221" s="19" t="s">
        <v>159</v>
      </c>
      <c r="G2221" s="19" t="s">
        <v>134</v>
      </c>
      <c r="H2221" s="19" t="s">
        <v>146</v>
      </c>
      <c r="I2221" s="19" t="s">
        <v>147</v>
      </c>
      <c r="J2221" s="19">
        <v>8</v>
      </c>
      <c r="K2221" s="19">
        <v>2.5000000000000001E-2</v>
      </c>
      <c r="L2221" s="19" t="s">
        <v>35</v>
      </c>
      <c r="M2221" s="19" t="s">
        <v>103</v>
      </c>
      <c r="N2221" s="19">
        <v>50</v>
      </c>
      <c r="O2221" s="19">
        <v>50</v>
      </c>
      <c r="P2221" s="19">
        <v>0</v>
      </c>
      <c r="Q2221" s="19">
        <v>0</v>
      </c>
      <c r="S2221" s="19">
        <v>1</v>
      </c>
      <c r="T2221" s="19">
        <v>1</v>
      </c>
      <c r="U2221" s="19">
        <v>0</v>
      </c>
      <c r="V2221" s="19" t="s">
        <v>41</v>
      </c>
      <c r="W2221" s="19">
        <v>1</v>
      </c>
      <c r="Y2221" s="19" t="s">
        <v>103</v>
      </c>
      <c r="Z2221" s="19">
        <v>50</v>
      </c>
      <c r="AA2221" s="19">
        <v>50</v>
      </c>
    </row>
    <row r="2222" spans="1:27" x14ac:dyDescent="0.25">
      <c r="A2222" s="19" t="s">
        <v>2539</v>
      </c>
      <c r="B2222" s="19" t="s">
        <v>2503</v>
      </c>
      <c r="C2222" s="19">
        <v>44004</v>
      </c>
      <c r="D2222" s="19">
        <v>2.2197779999999998</v>
      </c>
      <c r="E2222" s="19" t="s">
        <v>161</v>
      </c>
      <c r="F2222" s="19" t="s">
        <v>162</v>
      </c>
      <c r="G2222" s="19" t="s">
        <v>163</v>
      </c>
      <c r="I2222" s="19" t="s">
        <v>164</v>
      </c>
      <c r="J2222" s="19">
        <v>1</v>
      </c>
      <c r="K2222" s="19">
        <v>3.3300000000000003E-2</v>
      </c>
      <c r="L2222" s="19" t="s">
        <v>35</v>
      </c>
      <c r="M2222" s="19" t="s">
        <v>165</v>
      </c>
      <c r="N2222" s="19">
        <v>66.66</v>
      </c>
      <c r="O2222" s="19">
        <v>66.66</v>
      </c>
      <c r="P2222" s="19">
        <v>0</v>
      </c>
      <c r="Q2222" s="19">
        <v>0</v>
      </c>
      <c r="S2222" s="19">
        <v>1</v>
      </c>
      <c r="T2222" s="19">
        <v>1</v>
      </c>
      <c r="U2222" s="19">
        <v>0</v>
      </c>
      <c r="W2222" s="19">
        <v>0</v>
      </c>
      <c r="X2222" s="19">
        <v>66.66</v>
      </c>
      <c r="Z2222" s="19">
        <v>0</v>
      </c>
      <c r="AA2222" s="19">
        <v>66.66</v>
      </c>
    </row>
    <row r="2223" spans="1:27" x14ac:dyDescent="0.25">
      <c r="A2223" s="19" t="s">
        <v>2540</v>
      </c>
      <c r="B2223" s="19" t="s">
        <v>2503</v>
      </c>
      <c r="C2223" s="19">
        <v>44004</v>
      </c>
      <c r="D2223" s="19">
        <v>3.33</v>
      </c>
      <c r="E2223" s="19" t="s">
        <v>167</v>
      </c>
      <c r="F2223" s="19" t="s">
        <v>168</v>
      </c>
      <c r="G2223" s="19" t="s">
        <v>163</v>
      </c>
      <c r="I2223" s="19" t="s">
        <v>164</v>
      </c>
      <c r="J2223" s="19">
        <v>3</v>
      </c>
      <c r="K2223" s="19">
        <v>3.3300000000000003E-2</v>
      </c>
      <c r="L2223" s="19" t="s">
        <v>35</v>
      </c>
      <c r="M2223" s="19" t="s">
        <v>165</v>
      </c>
      <c r="N2223" s="19">
        <v>100</v>
      </c>
      <c r="O2223" s="19">
        <v>100</v>
      </c>
      <c r="P2223" s="19">
        <v>0</v>
      </c>
      <c r="Q2223" s="19">
        <v>0</v>
      </c>
      <c r="S2223" s="19">
        <v>1</v>
      </c>
      <c r="T2223" s="19">
        <v>1</v>
      </c>
      <c r="U2223" s="19">
        <v>0</v>
      </c>
      <c r="W2223" s="19">
        <v>0</v>
      </c>
      <c r="X2223" s="19">
        <v>100</v>
      </c>
      <c r="Z2223" s="19">
        <v>0</v>
      </c>
      <c r="AA2223" s="19">
        <v>100</v>
      </c>
    </row>
    <row r="2224" spans="1:27" x14ac:dyDescent="0.25">
      <c r="A2224" s="19" t="s">
        <v>2541</v>
      </c>
      <c r="B2224" s="19" t="s">
        <v>2503</v>
      </c>
      <c r="C2224" s="19">
        <v>44004</v>
      </c>
      <c r="D2224" s="19">
        <v>0</v>
      </c>
      <c r="E2224" s="19" t="s">
        <v>170</v>
      </c>
      <c r="F2224" s="19" t="s">
        <v>171</v>
      </c>
      <c r="G2224" s="19" t="s">
        <v>163</v>
      </c>
      <c r="I2224" s="19" t="s">
        <v>164</v>
      </c>
      <c r="J2224" s="19">
        <v>2</v>
      </c>
      <c r="K2224" s="19">
        <v>3.3300000000000003E-2</v>
      </c>
      <c r="L2224" s="19" t="s">
        <v>35</v>
      </c>
      <c r="M2224" s="19" t="s">
        <v>165</v>
      </c>
      <c r="N2224" s="19">
        <v>0</v>
      </c>
      <c r="O2224" s="19">
        <v>0</v>
      </c>
      <c r="P2224" s="19">
        <v>0</v>
      </c>
      <c r="Q2224" s="19">
        <v>0</v>
      </c>
      <c r="S2224" s="19">
        <v>1</v>
      </c>
      <c r="T2224" s="19">
        <v>1</v>
      </c>
      <c r="U2224" s="19">
        <v>0</v>
      </c>
      <c r="W2224" s="19">
        <v>0</v>
      </c>
      <c r="X2224" s="19">
        <v>0</v>
      </c>
      <c r="Z2224" s="19">
        <v>0</v>
      </c>
      <c r="AA2224" s="19">
        <v>0</v>
      </c>
    </row>
    <row r="2225" spans="1:27" x14ac:dyDescent="0.25">
      <c r="A2225" s="19" t="s">
        <v>1481</v>
      </c>
      <c r="B2225" s="19" t="s">
        <v>1482</v>
      </c>
      <c r="C2225" s="19" t="s">
        <v>1483</v>
      </c>
      <c r="D2225" s="19">
        <v>1.3781741573033699</v>
      </c>
      <c r="E2225" s="19" t="s">
        <v>30</v>
      </c>
      <c r="F2225" s="19" t="s">
        <v>31</v>
      </c>
      <c r="G2225" s="19" t="s">
        <v>32</v>
      </c>
      <c r="H2225" s="19" t="s">
        <v>33</v>
      </c>
      <c r="I2225" s="19" t="s">
        <v>34</v>
      </c>
      <c r="J2225" s="19">
        <v>17</v>
      </c>
      <c r="K2225" s="19">
        <v>1.6299999999999999E-2</v>
      </c>
      <c r="L2225" s="19" t="s">
        <v>541</v>
      </c>
      <c r="M2225" s="19" t="s">
        <v>541</v>
      </c>
      <c r="N2225" s="19">
        <v>50</v>
      </c>
      <c r="O2225" s="19">
        <v>84.5505617978</v>
      </c>
      <c r="P2225" s="19">
        <v>69.101123595499999</v>
      </c>
      <c r="Q2225" s="19">
        <v>34.5505617978</v>
      </c>
      <c r="R2225" s="19" t="s">
        <v>1075</v>
      </c>
      <c r="S2225" s="19">
        <v>1</v>
      </c>
      <c r="T2225" s="19">
        <v>1</v>
      </c>
      <c r="U2225" s="19">
        <v>34.5505617978</v>
      </c>
      <c r="AA2225" s="19">
        <v>0</v>
      </c>
    </row>
    <row r="2226" spans="1:27" x14ac:dyDescent="0.25">
      <c r="A2226" s="19" t="s">
        <v>1484</v>
      </c>
      <c r="B2226" s="19" t="s">
        <v>1482</v>
      </c>
      <c r="C2226" s="19" t="s">
        <v>1483</v>
      </c>
      <c r="D2226" s="19">
        <v>1.55248951048951</v>
      </c>
      <c r="E2226" s="19" t="s">
        <v>38</v>
      </c>
      <c r="F2226" s="19" t="s">
        <v>39</v>
      </c>
      <c r="G2226" s="19" t="s">
        <v>32</v>
      </c>
      <c r="H2226" s="19" t="s">
        <v>33</v>
      </c>
      <c r="I2226" s="19" t="s">
        <v>34</v>
      </c>
      <c r="J2226" s="19">
        <v>19</v>
      </c>
      <c r="K2226" s="19">
        <v>1.6299999999999999E-2</v>
      </c>
      <c r="L2226" s="19" t="s">
        <v>541</v>
      </c>
      <c r="M2226" s="19" t="s">
        <v>541</v>
      </c>
      <c r="N2226" s="19">
        <v>50</v>
      </c>
      <c r="O2226" s="19">
        <v>95.244755244800004</v>
      </c>
      <c r="P2226" s="19">
        <v>90.489510489500006</v>
      </c>
      <c r="Q2226" s="19">
        <v>45.244755244799997</v>
      </c>
      <c r="R2226" s="19" t="s">
        <v>1075</v>
      </c>
      <c r="S2226" s="19">
        <v>1</v>
      </c>
      <c r="T2226" s="19">
        <v>1</v>
      </c>
      <c r="U2226" s="19">
        <v>45.244755244799997</v>
      </c>
      <c r="AA2226" s="19">
        <v>0</v>
      </c>
    </row>
    <row r="2227" spans="1:27" x14ac:dyDescent="0.25">
      <c r="A2227" s="19" t="s">
        <v>1485</v>
      </c>
      <c r="B2227" s="19" t="s">
        <v>1482</v>
      </c>
      <c r="C2227" s="19" t="s">
        <v>1483</v>
      </c>
      <c r="D2227" s="19">
        <v>1.63</v>
      </c>
      <c r="E2227" s="19" t="s">
        <v>43</v>
      </c>
      <c r="F2227" s="19" t="s">
        <v>44</v>
      </c>
      <c r="G2227" s="19" t="s">
        <v>32</v>
      </c>
      <c r="H2227" s="19" t="s">
        <v>33</v>
      </c>
      <c r="I2227" s="19" t="s">
        <v>34</v>
      </c>
      <c r="J2227" s="19">
        <v>18</v>
      </c>
      <c r="K2227" s="19">
        <v>1.6299999999999999E-2</v>
      </c>
      <c r="L2227" s="19" t="s">
        <v>541</v>
      </c>
      <c r="M2227" s="19" t="s">
        <v>541</v>
      </c>
      <c r="N2227" s="19">
        <v>50</v>
      </c>
      <c r="O2227" s="19">
        <v>100</v>
      </c>
      <c r="P2227" s="19">
        <v>100</v>
      </c>
      <c r="Q2227" s="19">
        <v>50</v>
      </c>
      <c r="R2227" s="19" t="s">
        <v>1075</v>
      </c>
      <c r="S2227" s="19">
        <v>1</v>
      </c>
      <c r="T2227" s="19">
        <v>1</v>
      </c>
      <c r="U2227" s="19">
        <v>50</v>
      </c>
      <c r="AA2227" s="19">
        <v>0</v>
      </c>
    </row>
    <row r="2228" spans="1:27" x14ac:dyDescent="0.25">
      <c r="A2228" s="19" t="s">
        <v>1486</v>
      </c>
      <c r="B2228" s="19" t="s">
        <v>1482</v>
      </c>
      <c r="C2228" s="19" t="s">
        <v>1483</v>
      </c>
      <c r="D2228" s="19">
        <v>1.5285524475524399</v>
      </c>
      <c r="E2228" s="19" t="s">
        <v>46</v>
      </c>
      <c r="F2228" s="19" t="s">
        <v>47</v>
      </c>
      <c r="G2228" s="19" t="s">
        <v>32</v>
      </c>
      <c r="H2228" s="19" t="s">
        <v>33</v>
      </c>
      <c r="I2228" s="19" t="s">
        <v>34</v>
      </c>
      <c r="J2228" s="19">
        <v>15</v>
      </c>
      <c r="K2228" s="19">
        <v>1.6299999999999999E-2</v>
      </c>
      <c r="L2228" s="19" t="s">
        <v>541</v>
      </c>
      <c r="M2228" s="19" t="s">
        <v>541</v>
      </c>
      <c r="N2228" s="19">
        <v>50</v>
      </c>
      <c r="O2228" s="19">
        <v>93.776223776199998</v>
      </c>
      <c r="P2228" s="19">
        <v>87.552447552399997</v>
      </c>
      <c r="Q2228" s="19">
        <v>43.776223776199998</v>
      </c>
      <c r="R2228" s="19" t="s">
        <v>1075</v>
      </c>
      <c r="S2228" s="19">
        <v>1</v>
      </c>
      <c r="T2228" s="19">
        <v>1</v>
      </c>
      <c r="U2228" s="19">
        <v>43.776223776199998</v>
      </c>
      <c r="AA2228" s="19">
        <v>0</v>
      </c>
    </row>
    <row r="2229" spans="1:27" x14ac:dyDescent="0.25">
      <c r="A2229" s="19" t="s">
        <v>1487</v>
      </c>
      <c r="B2229" s="19" t="s">
        <v>1482</v>
      </c>
      <c r="C2229" s="19" t="s">
        <v>1483</v>
      </c>
      <c r="D2229" s="19">
        <v>1.63</v>
      </c>
      <c r="E2229" s="19" t="s">
        <v>49</v>
      </c>
      <c r="F2229" s="19" t="s">
        <v>50</v>
      </c>
      <c r="G2229" s="19" t="s">
        <v>32</v>
      </c>
      <c r="H2229" s="19" t="s">
        <v>33</v>
      </c>
      <c r="I2229" s="19" t="s">
        <v>34</v>
      </c>
      <c r="J2229" s="19">
        <v>12</v>
      </c>
      <c r="K2229" s="19">
        <v>1.6299999999999999E-2</v>
      </c>
      <c r="L2229" s="19" t="s">
        <v>541</v>
      </c>
      <c r="M2229" s="19" t="s">
        <v>541</v>
      </c>
      <c r="N2229" s="19">
        <v>50</v>
      </c>
      <c r="O2229" s="19">
        <v>100</v>
      </c>
      <c r="P2229" s="19">
        <v>100</v>
      </c>
      <c r="Q2229" s="19">
        <v>50</v>
      </c>
      <c r="R2229" s="19" t="s">
        <v>1075</v>
      </c>
      <c r="S2229" s="19">
        <v>1</v>
      </c>
      <c r="T2229" s="19">
        <v>1</v>
      </c>
      <c r="U2229" s="19">
        <v>50</v>
      </c>
      <c r="AA2229" s="19">
        <v>0</v>
      </c>
    </row>
    <row r="2230" spans="1:27" x14ac:dyDescent="0.25">
      <c r="A2230" s="19" t="s">
        <v>1488</v>
      </c>
      <c r="B2230" s="19" t="s">
        <v>1482</v>
      </c>
      <c r="C2230" s="19" t="s">
        <v>1483</v>
      </c>
      <c r="D2230" s="19">
        <v>1.5844055944055899</v>
      </c>
      <c r="E2230" s="19" t="s">
        <v>52</v>
      </c>
      <c r="F2230" s="19" t="s">
        <v>53</v>
      </c>
      <c r="G2230" s="19" t="s">
        <v>32</v>
      </c>
      <c r="H2230" s="19" t="s">
        <v>33</v>
      </c>
      <c r="I2230" s="19" t="s">
        <v>34</v>
      </c>
      <c r="J2230" s="19">
        <v>16</v>
      </c>
      <c r="K2230" s="19">
        <v>1.6299999999999999E-2</v>
      </c>
      <c r="L2230" s="19" t="s">
        <v>541</v>
      </c>
      <c r="M2230" s="19" t="s">
        <v>541</v>
      </c>
      <c r="N2230" s="19">
        <v>50</v>
      </c>
      <c r="O2230" s="19">
        <v>97.202797202799999</v>
      </c>
      <c r="P2230" s="19">
        <v>94.405594405599999</v>
      </c>
      <c r="Q2230" s="19">
        <v>47.202797202799999</v>
      </c>
      <c r="R2230" s="19" t="s">
        <v>1075</v>
      </c>
      <c r="S2230" s="19">
        <v>1</v>
      </c>
      <c r="T2230" s="19">
        <v>1</v>
      </c>
      <c r="U2230" s="19">
        <v>47.202797202799999</v>
      </c>
      <c r="AA2230" s="19">
        <v>0</v>
      </c>
    </row>
    <row r="2231" spans="1:27" x14ac:dyDescent="0.25">
      <c r="A2231" s="19" t="s">
        <v>1489</v>
      </c>
      <c r="B2231" s="19" t="s">
        <v>1482</v>
      </c>
      <c r="C2231" s="19" t="s">
        <v>1483</v>
      </c>
      <c r="D2231" s="19">
        <v>1.6197412587412501</v>
      </c>
      <c r="E2231" s="19" t="s">
        <v>55</v>
      </c>
      <c r="F2231" s="19" t="s">
        <v>56</v>
      </c>
      <c r="G2231" s="19" t="s">
        <v>32</v>
      </c>
      <c r="H2231" s="19" t="s">
        <v>33</v>
      </c>
      <c r="I2231" s="19" t="s">
        <v>34</v>
      </c>
      <c r="J2231" s="19">
        <v>14</v>
      </c>
      <c r="K2231" s="19">
        <v>1.6299999999999999E-2</v>
      </c>
      <c r="L2231" s="19" t="s">
        <v>541</v>
      </c>
      <c r="M2231" s="19" t="s">
        <v>541</v>
      </c>
      <c r="N2231" s="19">
        <v>50</v>
      </c>
      <c r="O2231" s="19">
        <v>99.3706293706</v>
      </c>
      <c r="P2231" s="19">
        <v>98.741258741300001</v>
      </c>
      <c r="Q2231" s="19">
        <v>49.3706293706</v>
      </c>
      <c r="R2231" s="19" t="s">
        <v>1075</v>
      </c>
      <c r="S2231" s="19">
        <v>1</v>
      </c>
      <c r="T2231" s="19">
        <v>1</v>
      </c>
      <c r="U2231" s="19">
        <v>49.3706293706</v>
      </c>
      <c r="AA2231" s="19">
        <v>0</v>
      </c>
    </row>
    <row r="2232" spans="1:27" x14ac:dyDescent="0.25">
      <c r="A2232" s="19" t="s">
        <v>1490</v>
      </c>
      <c r="B2232" s="19" t="s">
        <v>1482</v>
      </c>
      <c r="C2232" s="19" t="s">
        <v>1483</v>
      </c>
      <c r="D2232" s="19">
        <v>1.59124475524475</v>
      </c>
      <c r="E2232" s="19" t="s">
        <v>58</v>
      </c>
      <c r="F2232" s="19" t="s">
        <v>59</v>
      </c>
      <c r="G2232" s="19" t="s">
        <v>32</v>
      </c>
      <c r="H2232" s="19" t="s">
        <v>33</v>
      </c>
      <c r="I2232" s="19" t="s">
        <v>34</v>
      </c>
      <c r="J2232" s="19">
        <v>13</v>
      </c>
      <c r="K2232" s="19">
        <v>1.6299999999999999E-2</v>
      </c>
      <c r="L2232" s="19" t="s">
        <v>541</v>
      </c>
      <c r="M2232" s="19" t="s">
        <v>541</v>
      </c>
      <c r="N2232" s="19">
        <v>50</v>
      </c>
      <c r="O2232" s="19">
        <v>97.622377622399995</v>
      </c>
      <c r="P2232" s="19">
        <v>95.244755244800004</v>
      </c>
      <c r="Q2232" s="19">
        <v>47.622377622400002</v>
      </c>
      <c r="R2232" s="19" t="s">
        <v>1075</v>
      </c>
      <c r="S2232" s="19">
        <v>1</v>
      </c>
      <c r="T2232" s="19">
        <v>1</v>
      </c>
      <c r="U2232" s="19">
        <v>47.622377622400002</v>
      </c>
      <c r="AA2232" s="19">
        <v>0</v>
      </c>
    </row>
    <row r="2233" spans="1:27" x14ac:dyDescent="0.25">
      <c r="A2233" s="19" t="s">
        <v>1491</v>
      </c>
      <c r="B2233" s="19" t="s">
        <v>1482</v>
      </c>
      <c r="C2233" s="19" t="s">
        <v>1483</v>
      </c>
      <c r="D2233" s="19">
        <v>1.8599999999999901</v>
      </c>
      <c r="E2233" s="19" t="s">
        <v>61</v>
      </c>
      <c r="F2233" s="19" t="s">
        <v>62</v>
      </c>
      <c r="G2233" s="19" t="s">
        <v>32</v>
      </c>
      <c r="H2233" s="19" t="s">
        <v>63</v>
      </c>
      <c r="I2233" s="19" t="s">
        <v>64</v>
      </c>
      <c r="J2233" s="19">
        <v>22</v>
      </c>
      <c r="K2233" s="19">
        <v>1.8599999999999998E-2</v>
      </c>
      <c r="L2233" s="19" t="s">
        <v>541</v>
      </c>
      <c r="M2233" s="19" t="s">
        <v>541</v>
      </c>
      <c r="N2233" s="19">
        <v>50</v>
      </c>
      <c r="O2233" s="19">
        <v>100</v>
      </c>
      <c r="P2233" s="19">
        <v>100</v>
      </c>
      <c r="Q2233" s="19">
        <v>50</v>
      </c>
      <c r="R2233" s="19" t="s">
        <v>1075</v>
      </c>
      <c r="S2233" s="19">
        <v>1</v>
      </c>
      <c r="T2233" s="19">
        <v>1</v>
      </c>
      <c r="U2233" s="19">
        <v>50</v>
      </c>
      <c r="AA2233" s="19">
        <v>0</v>
      </c>
    </row>
    <row r="2234" spans="1:27" x14ac:dyDescent="0.25">
      <c r="A2234" s="19" t="s">
        <v>1492</v>
      </c>
      <c r="B2234" s="19" t="s">
        <v>1482</v>
      </c>
      <c r="C2234" s="19" t="s">
        <v>1483</v>
      </c>
      <c r="D2234" s="19">
        <v>1.8599999999999901</v>
      </c>
      <c r="E2234" s="19" t="s">
        <v>66</v>
      </c>
      <c r="F2234" s="19" t="s">
        <v>67</v>
      </c>
      <c r="G2234" s="19" t="s">
        <v>32</v>
      </c>
      <c r="H2234" s="19" t="s">
        <v>63</v>
      </c>
      <c r="I2234" s="19" t="s">
        <v>64</v>
      </c>
      <c r="J2234" s="19">
        <v>20</v>
      </c>
      <c r="K2234" s="19">
        <v>1.8599999999999998E-2</v>
      </c>
      <c r="L2234" s="19" t="s">
        <v>541</v>
      </c>
      <c r="M2234" s="19" t="s">
        <v>541</v>
      </c>
      <c r="N2234" s="19">
        <v>50</v>
      </c>
      <c r="O2234" s="19">
        <v>100</v>
      </c>
      <c r="P2234" s="19">
        <v>100</v>
      </c>
      <c r="Q2234" s="19">
        <v>50</v>
      </c>
      <c r="R2234" s="19" t="s">
        <v>1075</v>
      </c>
      <c r="S2234" s="19">
        <v>1</v>
      </c>
      <c r="T2234" s="19">
        <v>1</v>
      </c>
      <c r="U2234" s="19">
        <v>50</v>
      </c>
      <c r="AA2234" s="19">
        <v>0</v>
      </c>
    </row>
    <row r="2235" spans="1:27" x14ac:dyDescent="0.25">
      <c r="A2235" s="19" t="s">
        <v>1493</v>
      </c>
      <c r="B2235" s="19" t="s">
        <v>1482</v>
      </c>
      <c r="C2235" s="19" t="s">
        <v>1483</v>
      </c>
      <c r="D2235" s="19">
        <v>1.8599999999999901</v>
      </c>
      <c r="E2235" s="19" t="s">
        <v>69</v>
      </c>
      <c r="F2235" s="19" t="s">
        <v>70</v>
      </c>
      <c r="G2235" s="19" t="s">
        <v>32</v>
      </c>
      <c r="H2235" s="19" t="s">
        <v>63</v>
      </c>
      <c r="I2235" s="19" t="s">
        <v>64</v>
      </c>
      <c r="J2235" s="19">
        <v>23</v>
      </c>
      <c r="K2235" s="19">
        <v>1.8599999999999998E-2</v>
      </c>
      <c r="L2235" s="19" t="s">
        <v>541</v>
      </c>
      <c r="M2235" s="19" t="s">
        <v>541</v>
      </c>
      <c r="N2235" s="19">
        <v>50</v>
      </c>
      <c r="O2235" s="19">
        <v>100</v>
      </c>
      <c r="P2235" s="19">
        <v>100</v>
      </c>
      <c r="Q2235" s="19">
        <v>50</v>
      </c>
      <c r="R2235" s="19" t="s">
        <v>1075</v>
      </c>
      <c r="S2235" s="19">
        <v>1</v>
      </c>
      <c r="T2235" s="19">
        <v>1</v>
      </c>
      <c r="U2235" s="19">
        <v>50</v>
      </c>
      <c r="AA2235" s="19">
        <v>0</v>
      </c>
    </row>
    <row r="2236" spans="1:27" x14ac:dyDescent="0.25">
      <c r="A2236" s="19" t="s">
        <v>1494</v>
      </c>
      <c r="B2236" s="19" t="s">
        <v>1482</v>
      </c>
      <c r="C2236" s="19" t="s">
        <v>1483</v>
      </c>
      <c r="D2236" s="19">
        <v>1.8599999999999901</v>
      </c>
      <c r="E2236" s="19" t="s">
        <v>72</v>
      </c>
      <c r="F2236" s="19" t="s">
        <v>73</v>
      </c>
      <c r="G2236" s="19" t="s">
        <v>32</v>
      </c>
      <c r="H2236" s="19" t="s">
        <v>63</v>
      </c>
      <c r="I2236" s="19" t="s">
        <v>64</v>
      </c>
      <c r="J2236" s="19">
        <v>21</v>
      </c>
      <c r="K2236" s="19">
        <v>1.8599999999999998E-2</v>
      </c>
      <c r="L2236" s="19" t="s">
        <v>541</v>
      </c>
      <c r="M2236" s="19" t="s">
        <v>541</v>
      </c>
      <c r="N2236" s="19">
        <v>50</v>
      </c>
      <c r="O2236" s="19">
        <v>100</v>
      </c>
      <c r="P2236" s="19">
        <v>100</v>
      </c>
      <c r="Q2236" s="19">
        <v>50</v>
      </c>
      <c r="R2236" s="19" t="s">
        <v>1075</v>
      </c>
      <c r="S2236" s="19">
        <v>1</v>
      </c>
      <c r="T2236" s="19">
        <v>1</v>
      </c>
      <c r="U2236" s="19">
        <v>50</v>
      </c>
      <c r="AA2236" s="19">
        <v>0</v>
      </c>
    </row>
    <row r="2237" spans="1:27" x14ac:dyDescent="0.25">
      <c r="A2237" s="19" t="s">
        <v>1495</v>
      </c>
      <c r="B2237" s="19" t="s">
        <v>1482</v>
      </c>
      <c r="C2237" s="19" t="s">
        <v>1483</v>
      </c>
      <c r="D2237" s="19">
        <v>1.8599999999999901</v>
      </c>
      <c r="E2237" s="19" t="s">
        <v>75</v>
      </c>
      <c r="F2237" s="19" t="s">
        <v>76</v>
      </c>
      <c r="G2237" s="19" t="s">
        <v>32</v>
      </c>
      <c r="H2237" s="19" t="s">
        <v>63</v>
      </c>
      <c r="I2237" s="19" t="s">
        <v>64</v>
      </c>
      <c r="J2237" s="19">
        <v>24</v>
      </c>
      <c r="K2237" s="19">
        <v>1.8599999999999998E-2</v>
      </c>
      <c r="L2237" s="19" t="s">
        <v>541</v>
      </c>
      <c r="M2237" s="19" t="s">
        <v>541</v>
      </c>
      <c r="N2237" s="19">
        <v>50</v>
      </c>
      <c r="O2237" s="19">
        <v>100</v>
      </c>
      <c r="P2237" s="19">
        <v>100</v>
      </c>
      <c r="Q2237" s="19">
        <v>50</v>
      </c>
      <c r="R2237" s="19" t="s">
        <v>1075</v>
      </c>
      <c r="S2237" s="19">
        <v>1</v>
      </c>
      <c r="T2237" s="19">
        <v>1</v>
      </c>
      <c r="U2237" s="19">
        <v>50</v>
      </c>
      <c r="AA2237" s="19">
        <v>0</v>
      </c>
    </row>
    <row r="2238" spans="1:27" x14ac:dyDescent="0.25">
      <c r="A2238" s="19" t="s">
        <v>1496</v>
      </c>
      <c r="B2238" s="19" t="s">
        <v>1482</v>
      </c>
      <c r="C2238" s="19" t="s">
        <v>1483</v>
      </c>
      <c r="D2238" s="19">
        <v>1.8018749999999999</v>
      </c>
      <c r="E2238" s="19" t="s">
        <v>82</v>
      </c>
      <c r="F2238" s="19" t="s">
        <v>83</v>
      </c>
      <c r="G2238" s="19" t="s">
        <v>32</v>
      </c>
      <c r="H2238" s="19" t="s">
        <v>63</v>
      </c>
      <c r="I2238" s="19" t="s">
        <v>64</v>
      </c>
      <c r="J2238" s="19">
        <v>26</v>
      </c>
      <c r="K2238" s="19">
        <v>1.8599999999999998E-2</v>
      </c>
      <c r="L2238" s="19" t="s">
        <v>541</v>
      </c>
      <c r="M2238" s="19" t="s">
        <v>541</v>
      </c>
      <c r="N2238" s="19">
        <v>50</v>
      </c>
      <c r="O2238" s="19">
        <v>96.875</v>
      </c>
      <c r="P2238" s="19">
        <v>93.75</v>
      </c>
      <c r="Q2238" s="19">
        <v>46.875</v>
      </c>
      <c r="R2238" s="19" t="s">
        <v>1075</v>
      </c>
      <c r="S2238" s="19">
        <v>1</v>
      </c>
      <c r="T2238" s="19">
        <v>1</v>
      </c>
      <c r="U2238" s="19">
        <v>46.875</v>
      </c>
      <c r="AA2238" s="19">
        <v>0</v>
      </c>
    </row>
    <row r="2239" spans="1:27" x14ac:dyDescent="0.25">
      <c r="A2239" s="19" t="s">
        <v>1497</v>
      </c>
      <c r="B2239" s="19" t="s">
        <v>1482</v>
      </c>
      <c r="C2239" s="19" t="s">
        <v>1483</v>
      </c>
      <c r="D2239" s="19">
        <v>2.8323384831460601</v>
      </c>
      <c r="E2239" s="19" t="s">
        <v>85</v>
      </c>
      <c r="F2239" s="19" t="s">
        <v>86</v>
      </c>
      <c r="G2239" s="19" t="s">
        <v>32</v>
      </c>
      <c r="H2239" s="19" t="s">
        <v>87</v>
      </c>
      <c r="I2239" s="19" t="s">
        <v>88</v>
      </c>
      <c r="J2239" s="19">
        <v>35</v>
      </c>
      <c r="K2239" s="19">
        <v>3.2500000000000001E-2</v>
      </c>
      <c r="L2239" s="19" t="s">
        <v>541</v>
      </c>
      <c r="M2239" s="19" t="s">
        <v>541</v>
      </c>
      <c r="N2239" s="19">
        <v>50</v>
      </c>
      <c r="O2239" s="19">
        <v>87.148876404500001</v>
      </c>
      <c r="P2239" s="19">
        <v>74.297752809000002</v>
      </c>
      <c r="Q2239" s="19">
        <v>37.148876404500001</v>
      </c>
      <c r="R2239" s="19" t="s">
        <v>1075</v>
      </c>
      <c r="S2239" s="19">
        <v>1</v>
      </c>
      <c r="T2239" s="19">
        <v>1</v>
      </c>
      <c r="U2239" s="19">
        <v>37.148876404500001</v>
      </c>
      <c r="AA2239" s="19">
        <v>0</v>
      </c>
    </row>
    <row r="2240" spans="1:27" x14ac:dyDescent="0.25">
      <c r="A2240" s="19" t="s">
        <v>1498</v>
      </c>
      <c r="B2240" s="19" t="s">
        <v>1482</v>
      </c>
      <c r="C2240" s="19" t="s">
        <v>1483</v>
      </c>
      <c r="D2240" s="19">
        <v>3.25</v>
      </c>
      <c r="E2240" s="19" t="s">
        <v>93</v>
      </c>
      <c r="F2240" s="19" t="s">
        <v>94</v>
      </c>
      <c r="G2240" s="19" t="s">
        <v>32</v>
      </c>
      <c r="H2240" s="19" t="s">
        <v>87</v>
      </c>
      <c r="I2240" s="19" t="s">
        <v>88</v>
      </c>
      <c r="J2240" s="19">
        <v>34</v>
      </c>
      <c r="K2240" s="19">
        <v>3.2500000000000001E-2</v>
      </c>
      <c r="L2240" s="19" t="s">
        <v>541</v>
      </c>
      <c r="M2240" s="19" t="s">
        <v>541</v>
      </c>
      <c r="N2240" s="19">
        <v>50</v>
      </c>
      <c r="O2240" s="19">
        <v>100</v>
      </c>
      <c r="P2240" s="19">
        <v>100</v>
      </c>
      <c r="Q2240" s="19">
        <v>50</v>
      </c>
      <c r="R2240" s="19" t="s">
        <v>1075</v>
      </c>
      <c r="S2240" s="19">
        <v>1</v>
      </c>
      <c r="T2240" s="19">
        <v>1</v>
      </c>
      <c r="U2240" s="19">
        <v>50</v>
      </c>
      <c r="AA2240" s="19">
        <v>0</v>
      </c>
    </row>
    <row r="2241" spans="1:27" x14ac:dyDescent="0.25">
      <c r="A2241" s="19" t="s">
        <v>1499</v>
      </c>
      <c r="B2241" s="19" t="s">
        <v>1482</v>
      </c>
      <c r="C2241" s="19" t="s">
        <v>1483</v>
      </c>
      <c r="D2241" s="19">
        <v>4.17</v>
      </c>
      <c r="E2241" s="19" t="s">
        <v>132</v>
      </c>
      <c r="F2241" s="19" t="s">
        <v>133</v>
      </c>
      <c r="G2241" s="19" t="s">
        <v>134</v>
      </c>
      <c r="H2241" s="19" t="s">
        <v>87</v>
      </c>
      <c r="I2241" s="19" t="s">
        <v>135</v>
      </c>
      <c r="J2241" s="19">
        <v>11</v>
      </c>
      <c r="K2241" s="19">
        <v>4.1700000000000001E-2</v>
      </c>
      <c r="L2241" s="19" t="s">
        <v>541</v>
      </c>
      <c r="M2241" s="19" t="s">
        <v>541</v>
      </c>
      <c r="N2241" s="19">
        <v>50</v>
      </c>
      <c r="O2241" s="19">
        <v>100</v>
      </c>
      <c r="P2241" s="19">
        <v>100</v>
      </c>
      <c r="Q2241" s="19">
        <v>50</v>
      </c>
      <c r="R2241" s="19" t="s">
        <v>1075</v>
      </c>
      <c r="S2241" s="19">
        <v>1</v>
      </c>
      <c r="T2241" s="19">
        <v>1</v>
      </c>
      <c r="U2241" s="19">
        <v>50</v>
      </c>
      <c r="AA2241" s="19">
        <v>0</v>
      </c>
    </row>
    <row r="2242" spans="1:27" x14ac:dyDescent="0.25">
      <c r="A2242" s="19" t="s">
        <v>1500</v>
      </c>
      <c r="B2242" s="19" t="s">
        <v>1482</v>
      </c>
      <c r="C2242" s="19" t="s">
        <v>1483</v>
      </c>
      <c r="D2242" s="19">
        <v>4.17</v>
      </c>
      <c r="E2242" s="19" t="s">
        <v>137</v>
      </c>
      <c r="F2242" s="19" t="s">
        <v>138</v>
      </c>
      <c r="G2242" s="19" t="s">
        <v>134</v>
      </c>
      <c r="H2242" s="19" t="s">
        <v>87</v>
      </c>
      <c r="I2242" s="19" t="s">
        <v>135</v>
      </c>
      <c r="J2242" s="19">
        <v>9</v>
      </c>
      <c r="K2242" s="19">
        <v>4.1700000000000001E-2</v>
      </c>
      <c r="L2242" s="19" t="s">
        <v>541</v>
      </c>
      <c r="M2242" s="19" t="s">
        <v>541</v>
      </c>
      <c r="N2242" s="19">
        <v>50</v>
      </c>
      <c r="O2242" s="19">
        <v>100</v>
      </c>
      <c r="P2242" s="19">
        <v>100</v>
      </c>
      <c r="Q2242" s="19">
        <v>50</v>
      </c>
      <c r="R2242" s="19" t="s">
        <v>1075</v>
      </c>
      <c r="S2242" s="19">
        <v>1</v>
      </c>
      <c r="T2242" s="19">
        <v>1</v>
      </c>
      <c r="U2242" s="19">
        <v>50</v>
      </c>
      <c r="AA2242" s="19">
        <v>0</v>
      </c>
    </row>
    <row r="2243" spans="1:27" x14ac:dyDescent="0.25">
      <c r="A2243" s="19" t="s">
        <v>1501</v>
      </c>
      <c r="B2243" s="19" t="s">
        <v>1482</v>
      </c>
      <c r="C2243" s="19" t="s">
        <v>1483</v>
      </c>
      <c r="D2243" s="19">
        <v>2.5</v>
      </c>
      <c r="E2243" s="19" t="s">
        <v>144</v>
      </c>
      <c r="F2243" s="19" t="s">
        <v>145</v>
      </c>
      <c r="G2243" s="19" t="s">
        <v>134</v>
      </c>
      <c r="H2243" s="19" t="s">
        <v>146</v>
      </c>
      <c r="I2243" s="19" t="s">
        <v>147</v>
      </c>
      <c r="J2243" s="19">
        <v>4</v>
      </c>
      <c r="K2243" s="19">
        <v>2.5000000000000001E-2</v>
      </c>
      <c r="L2243" s="19" t="s">
        <v>541</v>
      </c>
      <c r="M2243" s="19" t="s">
        <v>541</v>
      </c>
      <c r="N2243" s="19">
        <v>50</v>
      </c>
      <c r="O2243" s="19">
        <v>100</v>
      </c>
      <c r="P2243" s="19">
        <v>100</v>
      </c>
      <c r="Q2243" s="19">
        <v>50</v>
      </c>
      <c r="R2243" s="19" t="s">
        <v>1075</v>
      </c>
      <c r="S2243" s="19">
        <v>1</v>
      </c>
      <c r="T2243" s="19">
        <v>1</v>
      </c>
      <c r="U2243" s="19">
        <v>50</v>
      </c>
      <c r="AA2243" s="19">
        <v>0</v>
      </c>
    </row>
    <row r="2244" spans="1:27" x14ac:dyDescent="0.25">
      <c r="A2244" s="19" t="s">
        <v>1502</v>
      </c>
      <c r="B2244" s="19" t="s">
        <v>1482</v>
      </c>
      <c r="C2244" s="19" t="s">
        <v>1483</v>
      </c>
      <c r="D2244" s="19">
        <v>2.5</v>
      </c>
      <c r="E2244" s="19" t="s">
        <v>149</v>
      </c>
      <c r="F2244" s="19" t="s">
        <v>150</v>
      </c>
      <c r="G2244" s="19" t="s">
        <v>134</v>
      </c>
      <c r="H2244" s="19" t="s">
        <v>146</v>
      </c>
      <c r="I2244" s="19" t="s">
        <v>147</v>
      </c>
      <c r="J2244" s="19">
        <v>5</v>
      </c>
      <c r="K2244" s="19">
        <v>2.5000000000000001E-2</v>
      </c>
      <c r="L2244" s="19" t="s">
        <v>541</v>
      </c>
      <c r="M2244" s="19" t="s">
        <v>541</v>
      </c>
      <c r="N2244" s="19">
        <v>50</v>
      </c>
      <c r="O2244" s="19">
        <v>100</v>
      </c>
      <c r="P2244" s="19">
        <v>100</v>
      </c>
      <c r="Q2244" s="19">
        <v>50</v>
      </c>
      <c r="R2244" s="19" t="s">
        <v>1075</v>
      </c>
      <c r="S2244" s="19">
        <v>1</v>
      </c>
      <c r="T2244" s="19">
        <v>1</v>
      </c>
      <c r="U2244" s="19">
        <v>50</v>
      </c>
      <c r="AA2244" s="19">
        <v>0</v>
      </c>
    </row>
    <row r="2245" spans="1:27" x14ac:dyDescent="0.25">
      <c r="A2245" s="19" t="s">
        <v>1503</v>
      </c>
      <c r="B2245" s="19" t="s">
        <v>1482</v>
      </c>
      <c r="C2245" s="19" t="s">
        <v>1483</v>
      </c>
      <c r="D2245" s="19">
        <v>2.5</v>
      </c>
      <c r="E2245" s="19" t="s">
        <v>152</v>
      </c>
      <c r="F2245" s="19" t="s">
        <v>153</v>
      </c>
      <c r="G2245" s="19" t="s">
        <v>134</v>
      </c>
      <c r="H2245" s="19" t="s">
        <v>146</v>
      </c>
      <c r="I2245" s="19" t="s">
        <v>147</v>
      </c>
      <c r="J2245" s="19">
        <v>6</v>
      </c>
      <c r="K2245" s="19">
        <v>2.5000000000000001E-2</v>
      </c>
      <c r="L2245" s="19" t="s">
        <v>541</v>
      </c>
      <c r="M2245" s="19" t="s">
        <v>541</v>
      </c>
      <c r="N2245" s="19">
        <v>50</v>
      </c>
      <c r="O2245" s="19">
        <v>100</v>
      </c>
      <c r="P2245" s="19">
        <v>100</v>
      </c>
      <c r="Q2245" s="19">
        <v>50</v>
      </c>
      <c r="R2245" s="19" t="s">
        <v>1075</v>
      </c>
      <c r="S2245" s="19">
        <v>1</v>
      </c>
      <c r="T2245" s="19">
        <v>1</v>
      </c>
      <c r="U2245" s="19">
        <v>50</v>
      </c>
      <c r="AA2245" s="19">
        <v>0</v>
      </c>
    </row>
    <row r="2246" spans="1:27" x14ac:dyDescent="0.25">
      <c r="A2246" s="19" t="s">
        <v>1504</v>
      </c>
      <c r="B2246" s="19" t="s">
        <v>1482</v>
      </c>
      <c r="C2246" s="19" t="s">
        <v>1483</v>
      </c>
      <c r="D2246" s="19">
        <v>2.5</v>
      </c>
      <c r="E2246" s="19" t="s">
        <v>155</v>
      </c>
      <c r="F2246" s="19" t="s">
        <v>156</v>
      </c>
      <c r="G2246" s="19" t="s">
        <v>134</v>
      </c>
      <c r="H2246" s="19" t="s">
        <v>146</v>
      </c>
      <c r="I2246" s="19" t="s">
        <v>147</v>
      </c>
      <c r="J2246" s="19">
        <v>7</v>
      </c>
      <c r="K2246" s="19">
        <v>2.5000000000000001E-2</v>
      </c>
      <c r="L2246" s="19" t="s">
        <v>541</v>
      </c>
      <c r="M2246" s="19" t="s">
        <v>541</v>
      </c>
      <c r="N2246" s="19">
        <v>50</v>
      </c>
      <c r="O2246" s="19">
        <v>100</v>
      </c>
      <c r="P2246" s="19">
        <v>100</v>
      </c>
      <c r="Q2246" s="19">
        <v>50</v>
      </c>
      <c r="R2246" s="19" t="s">
        <v>1075</v>
      </c>
      <c r="S2246" s="19">
        <v>1</v>
      </c>
      <c r="T2246" s="19">
        <v>1</v>
      </c>
      <c r="U2246" s="19">
        <v>50</v>
      </c>
      <c r="AA2246" s="19">
        <v>0</v>
      </c>
    </row>
    <row r="2247" spans="1:27" x14ac:dyDescent="0.25">
      <c r="A2247" s="19" t="s">
        <v>1505</v>
      </c>
      <c r="B2247" s="19" t="s">
        <v>1482</v>
      </c>
      <c r="C2247" s="19" t="s">
        <v>1483</v>
      </c>
      <c r="D2247" s="19">
        <v>0</v>
      </c>
      <c r="E2247" s="19" t="s">
        <v>140</v>
      </c>
      <c r="F2247" s="19" t="s">
        <v>141</v>
      </c>
      <c r="G2247" s="19" t="s">
        <v>134</v>
      </c>
      <c r="H2247" s="19" t="s">
        <v>87</v>
      </c>
      <c r="I2247" s="19" t="s">
        <v>135</v>
      </c>
      <c r="J2247" s="19">
        <v>10</v>
      </c>
      <c r="K2247" s="19">
        <v>4.1700000000000001E-2</v>
      </c>
      <c r="L2247" s="19" t="s">
        <v>35</v>
      </c>
      <c r="N2247" s="19">
        <v>0</v>
      </c>
      <c r="O2247" s="19">
        <v>0</v>
      </c>
      <c r="P2247" s="19">
        <v>0</v>
      </c>
      <c r="Q2247" s="19">
        <v>0</v>
      </c>
      <c r="R2247" s="19" t="s">
        <v>1075</v>
      </c>
      <c r="S2247" s="19">
        <v>1</v>
      </c>
      <c r="T2247" s="19">
        <v>1</v>
      </c>
      <c r="U2247" s="19">
        <v>0</v>
      </c>
      <c r="W2247" s="19">
        <v>0</v>
      </c>
      <c r="X2247" s="19">
        <v>0</v>
      </c>
      <c r="Z2247" s="19">
        <v>0</v>
      </c>
      <c r="AA2247" s="19">
        <v>0</v>
      </c>
    </row>
    <row r="2248" spans="1:27" x14ac:dyDescent="0.25">
      <c r="A2248" s="19" t="s">
        <v>1506</v>
      </c>
      <c r="B2248" s="19" t="s">
        <v>1482</v>
      </c>
      <c r="C2248" s="19" t="s">
        <v>1483</v>
      </c>
      <c r="D2248" s="19">
        <v>1.25</v>
      </c>
      <c r="E2248" s="19" t="s">
        <v>158</v>
      </c>
      <c r="F2248" s="19" t="s">
        <v>159</v>
      </c>
      <c r="G2248" s="19" t="s">
        <v>134</v>
      </c>
      <c r="H2248" s="19" t="s">
        <v>146</v>
      </c>
      <c r="I2248" s="19" t="s">
        <v>147</v>
      </c>
      <c r="J2248" s="19">
        <v>8</v>
      </c>
      <c r="K2248" s="19">
        <v>2.5000000000000001E-2</v>
      </c>
      <c r="L2248" s="19" t="s">
        <v>35</v>
      </c>
      <c r="M2248" s="19" t="s">
        <v>103</v>
      </c>
      <c r="N2248" s="19">
        <v>50</v>
      </c>
      <c r="O2248" s="19">
        <v>50</v>
      </c>
      <c r="P2248" s="19">
        <v>0</v>
      </c>
      <c r="Q2248" s="19">
        <v>0</v>
      </c>
      <c r="R2248" s="19" t="s">
        <v>1075</v>
      </c>
      <c r="S2248" s="19">
        <v>1</v>
      </c>
      <c r="T2248" s="19">
        <v>1</v>
      </c>
      <c r="U2248" s="19">
        <v>0</v>
      </c>
      <c r="V2248" s="19" t="s">
        <v>41</v>
      </c>
      <c r="W2248" s="19">
        <v>1</v>
      </c>
      <c r="Y2248" s="19" t="s">
        <v>103</v>
      </c>
      <c r="Z2248" s="19">
        <v>50</v>
      </c>
      <c r="AA2248" s="19">
        <v>50</v>
      </c>
    </row>
    <row r="2249" spans="1:27" x14ac:dyDescent="0.25">
      <c r="A2249" s="19" t="s">
        <v>1507</v>
      </c>
      <c r="B2249" s="19" t="s">
        <v>1482</v>
      </c>
      <c r="C2249" s="19" t="s">
        <v>1483</v>
      </c>
      <c r="D2249" s="19">
        <v>0</v>
      </c>
      <c r="E2249" s="19" t="s">
        <v>78</v>
      </c>
      <c r="F2249" s="19" t="s">
        <v>79</v>
      </c>
      <c r="G2249" s="19" t="s">
        <v>32</v>
      </c>
      <c r="H2249" s="19" t="s">
        <v>63</v>
      </c>
      <c r="I2249" s="19" t="s">
        <v>64</v>
      </c>
      <c r="J2249" s="19">
        <v>25</v>
      </c>
      <c r="K2249" s="19">
        <v>1.8599999999999998E-2</v>
      </c>
      <c r="L2249" s="19" t="s">
        <v>35</v>
      </c>
      <c r="M2249" s="19" t="s">
        <v>110</v>
      </c>
      <c r="N2249" s="19">
        <v>0</v>
      </c>
      <c r="O2249" s="19">
        <v>0</v>
      </c>
      <c r="P2249" s="19">
        <v>0</v>
      </c>
      <c r="Q2249" s="19">
        <v>0</v>
      </c>
      <c r="R2249" s="19" t="s">
        <v>1075</v>
      </c>
      <c r="S2249" s="19">
        <v>1</v>
      </c>
      <c r="T2249" s="19">
        <v>1</v>
      </c>
      <c r="U2249" s="19">
        <v>0</v>
      </c>
      <c r="V2249" s="19" t="s">
        <v>80</v>
      </c>
      <c r="W2249" s="19">
        <v>0</v>
      </c>
      <c r="Y2249" s="19" t="s">
        <v>110</v>
      </c>
      <c r="Z2249" s="19">
        <v>16.664999999999999</v>
      </c>
      <c r="AA2249" s="19">
        <v>0</v>
      </c>
    </row>
    <row r="2250" spans="1:27" x14ac:dyDescent="0.25">
      <c r="A2250" s="19" t="s">
        <v>1508</v>
      </c>
      <c r="B2250" s="19" t="s">
        <v>1482</v>
      </c>
      <c r="C2250" s="19" t="s">
        <v>1483</v>
      </c>
      <c r="D2250" s="19">
        <v>0</v>
      </c>
      <c r="E2250" s="19" t="s">
        <v>90</v>
      </c>
      <c r="F2250" s="19" t="s">
        <v>91</v>
      </c>
      <c r="G2250" s="19" t="s">
        <v>32</v>
      </c>
      <c r="H2250" s="19" t="s">
        <v>87</v>
      </c>
      <c r="I2250" s="19" t="s">
        <v>88</v>
      </c>
      <c r="J2250" s="19">
        <v>33</v>
      </c>
      <c r="K2250" s="19">
        <v>3.2500000000000001E-2</v>
      </c>
      <c r="L2250" s="19" t="s">
        <v>35</v>
      </c>
      <c r="N2250" s="19">
        <v>0</v>
      </c>
      <c r="O2250" s="19">
        <v>0</v>
      </c>
      <c r="P2250" s="19">
        <v>0</v>
      </c>
      <c r="Q2250" s="19">
        <v>0</v>
      </c>
      <c r="R2250" s="19" t="s">
        <v>1075</v>
      </c>
      <c r="S2250" s="19">
        <v>1</v>
      </c>
      <c r="T2250" s="19">
        <v>1</v>
      </c>
      <c r="U2250" s="19">
        <v>0</v>
      </c>
      <c r="V2250" s="19" t="s">
        <v>36</v>
      </c>
      <c r="W2250" s="19">
        <v>0</v>
      </c>
      <c r="Z2250" s="19">
        <v>0</v>
      </c>
      <c r="AA2250" s="19">
        <v>0</v>
      </c>
    </row>
    <row r="2251" spans="1:27" x14ac:dyDescent="0.25">
      <c r="A2251" s="19" t="s">
        <v>1509</v>
      </c>
      <c r="B2251" s="19" t="s">
        <v>1482</v>
      </c>
      <c r="C2251" s="19" t="s">
        <v>1483</v>
      </c>
      <c r="D2251" s="19">
        <v>0</v>
      </c>
      <c r="E2251" s="19" t="s">
        <v>96</v>
      </c>
      <c r="F2251" s="19" t="s">
        <v>97</v>
      </c>
      <c r="G2251" s="19" t="s">
        <v>32</v>
      </c>
      <c r="H2251" s="19" t="s">
        <v>87</v>
      </c>
      <c r="I2251" s="19" t="s">
        <v>88</v>
      </c>
      <c r="J2251" s="19">
        <v>36</v>
      </c>
      <c r="K2251" s="19">
        <v>3.2500000000000001E-2</v>
      </c>
      <c r="L2251" s="19" t="s">
        <v>35</v>
      </c>
      <c r="N2251" s="19">
        <v>0</v>
      </c>
      <c r="O2251" s="19">
        <v>0</v>
      </c>
      <c r="P2251" s="19">
        <v>0</v>
      </c>
      <c r="Q2251" s="19">
        <v>0</v>
      </c>
      <c r="R2251" s="19" t="s">
        <v>1075</v>
      </c>
      <c r="S2251" s="19">
        <v>1</v>
      </c>
      <c r="T2251" s="19">
        <v>1</v>
      </c>
      <c r="U2251" s="19">
        <v>0</v>
      </c>
      <c r="V2251" s="19" t="s">
        <v>36</v>
      </c>
      <c r="W2251" s="19">
        <v>0</v>
      </c>
      <c r="Z2251" s="19">
        <v>0</v>
      </c>
      <c r="AA2251" s="19">
        <v>0</v>
      </c>
    </row>
    <row r="2252" spans="1:27" x14ac:dyDescent="0.25">
      <c r="A2252" s="19" t="s">
        <v>1510</v>
      </c>
      <c r="B2252" s="19" t="s">
        <v>1482</v>
      </c>
      <c r="C2252" s="19" t="s">
        <v>1483</v>
      </c>
      <c r="D2252" s="19">
        <v>0</v>
      </c>
      <c r="E2252" s="19" t="s">
        <v>99</v>
      </c>
      <c r="F2252" s="19" t="s">
        <v>100</v>
      </c>
      <c r="G2252" s="19" t="s">
        <v>32</v>
      </c>
      <c r="H2252" s="19" t="s">
        <v>101</v>
      </c>
      <c r="I2252" s="19" t="s">
        <v>102</v>
      </c>
      <c r="J2252" s="19">
        <v>39</v>
      </c>
      <c r="K2252" s="19">
        <v>4.3299999999999998E-2</v>
      </c>
      <c r="L2252" s="19" t="s">
        <v>35</v>
      </c>
      <c r="M2252" s="19" t="s">
        <v>103</v>
      </c>
      <c r="N2252" s="19">
        <v>0</v>
      </c>
      <c r="O2252" s="19">
        <v>0</v>
      </c>
      <c r="P2252" s="19">
        <v>0</v>
      </c>
      <c r="Q2252" s="19">
        <v>0</v>
      </c>
      <c r="R2252" s="19" t="s">
        <v>1075</v>
      </c>
      <c r="S2252" s="19">
        <v>1</v>
      </c>
      <c r="T2252" s="19">
        <v>1</v>
      </c>
      <c r="U2252" s="19">
        <v>0</v>
      </c>
      <c r="V2252" s="19" t="s">
        <v>36</v>
      </c>
      <c r="W2252" s="19">
        <v>0</v>
      </c>
      <c r="Y2252" s="19" t="s">
        <v>103</v>
      </c>
      <c r="Z2252" s="19">
        <v>50</v>
      </c>
      <c r="AA2252" s="19">
        <v>0</v>
      </c>
    </row>
    <row r="2253" spans="1:27" x14ac:dyDescent="0.25">
      <c r="A2253" s="19" t="s">
        <v>1511</v>
      </c>
      <c r="B2253" s="19" t="s">
        <v>1482</v>
      </c>
      <c r="C2253" s="19" t="s">
        <v>1483</v>
      </c>
      <c r="D2253" s="19">
        <v>0</v>
      </c>
      <c r="E2253" s="19" t="s">
        <v>105</v>
      </c>
      <c r="F2253" s="19" t="s">
        <v>106</v>
      </c>
      <c r="G2253" s="19" t="s">
        <v>32</v>
      </c>
      <c r="H2253" s="19" t="s">
        <v>101</v>
      </c>
      <c r="I2253" s="19" t="s">
        <v>102</v>
      </c>
      <c r="J2253" s="19">
        <v>38</v>
      </c>
      <c r="K2253" s="19">
        <v>4.3299999999999998E-2</v>
      </c>
      <c r="L2253" s="19" t="s">
        <v>35</v>
      </c>
      <c r="M2253" s="19" t="s">
        <v>103</v>
      </c>
      <c r="N2253" s="19">
        <v>0</v>
      </c>
      <c r="O2253" s="19">
        <v>0</v>
      </c>
      <c r="P2253" s="19">
        <v>0</v>
      </c>
      <c r="Q2253" s="19">
        <v>0</v>
      </c>
      <c r="R2253" s="19" t="s">
        <v>1075</v>
      </c>
      <c r="S2253" s="19">
        <v>1</v>
      </c>
      <c r="T2253" s="19">
        <v>1</v>
      </c>
      <c r="U2253" s="19">
        <v>0</v>
      </c>
      <c r="V2253" s="19" t="s">
        <v>80</v>
      </c>
      <c r="W2253" s="19">
        <v>0</v>
      </c>
      <c r="Y2253" s="19" t="s">
        <v>103</v>
      </c>
      <c r="Z2253" s="19">
        <v>50</v>
      </c>
      <c r="AA2253" s="19">
        <v>0</v>
      </c>
    </row>
    <row r="2254" spans="1:27" x14ac:dyDescent="0.25">
      <c r="A2254" s="19" t="s">
        <v>1512</v>
      </c>
      <c r="B2254" s="19" t="s">
        <v>1482</v>
      </c>
      <c r="C2254" s="19" t="s">
        <v>1483</v>
      </c>
      <c r="D2254" s="19">
        <v>0</v>
      </c>
      <c r="E2254" s="19" t="s">
        <v>108</v>
      </c>
      <c r="F2254" s="19" t="s">
        <v>109</v>
      </c>
      <c r="G2254" s="19" t="s">
        <v>32</v>
      </c>
      <c r="H2254" s="19" t="s">
        <v>101</v>
      </c>
      <c r="I2254" s="19" t="s">
        <v>102</v>
      </c>
      <c r="J2254" s="19">
        <v>37</v>
      </c>
      <c r="K2254" s="19">
        <v>4.3299999999999998E-2</v>
      </c>
      <c r="L2254" s="19" t="s">
        <v>35</v>
      </c>
      <c r="M2254" s="19" t="s">
        <v>110</v>
      </c>
      <c r="N2254" s="19">
        <v>0</v>
      </c>
      <c r="O2254" s="19">
        <v>0</v>
      </c>
      <c r="P2254" s="19">
        <v>0</v>
      </c>
      <c r="Q2254" s="19">
        <v>0</v>
      </c>
      <c r="R2254" s="19" t="s">
        <v>1075</v>
      </c>
      <c r="S2254" s="19">
        <v>1</v>
      </c>
      <c r="T2254" s="19">
        <v>1</v>
      </c>
      <c r="U2254" s="19">
        <v>0</v>
      </c>
      <c r="V2254" s="19" t="s">
        <v>80</v>
      </c>
      <c r="W2254" s="19">
        <v>0</v>
      </c>
      <c r="Y2254" s="19" t="s">
        <v>110</v>
      </c>
      <c r="Z2254" s="19">
        <v>16.664999999999999</v>
      </c>
      <c r="AA2254" s="19">
        <v>0</v>
      </c>
    </row>
    <row r="2255" spans="1:27" x14ac:dyDescent="0.25">
      <c r="A2255" s="19" t="s">
        <v>1513</v>
      </c>
      <c r="B2255" s="19" t="s">
        <v>1482</v>
      </c>
      <c r="C2255" s="19" t="s">
        <v>1483</v>
      </c>
      <c r="D2255" s="19">
        <v>0</v>
      </c>
      <c r="E2255" s="19" t="s">
        <v>112</v>
      </c>
      <c r="F2255" s="19" t="s">
        <v>113</v>
      </c>
      <c r="G2255" s="19" t="s">
        <v>32</v>
      </c>
      <c r="H2255" s="19" t="s">
        <v>114</v>
      </c>
      <c r="I2255" s="19" t="s">
        <v>115</v>
      </c>
      <c r="J2255" s="19">
        <v>30</v>
      </c>
      <c r="K2255" s="19">
        <v>2.1700000000000001E-2</v>
      </c>
      <c r="L2255" s="19" t="s">
        <v>35</v>
      </c>
      <c r="M2255" s="19" t="s">
        <v>103</v>
      </c>
      <c r="N2255" s="19">
        <v>0</v>
      </c>
      <c r="O2255" s="19">
        <v>0</v>
      </c>
      <c r="P2255" s="19">
        <v>0</v>
      </c>
      <c r="Q2255" s="19">
        <v>0</v>
      </c>
      <c r="R2255" s="19" t="s">
        <v>1075</v>
      </c>
      <c r="S2255" s="19">
        <v>1</v>
      </c>
      <c r="T2255" s="19">
        <v>1</v>
      </c>
      <c r="U2255" s="19">
        <v>0</v>
      </c>
      <c r="V2255" s="19" t="s">
        <v>80</v>
      </c>
      <c r="W2255" s="19">
        <v>0</v>
      </c>
      <c r="Y2255" s="19" t="s">
        <v>103</v>
      </c>
      <c r="Z2255" s="19">
        <v>50</v>
      </c>
      <c r="AA2255" s="19">
        <v>0</v>
      </c>
    </row>
    <row r="2256" spans="1:27" x14ac:dyDescent="0.25">
      <c r="A2256" s="19" t="s">
        <v>1514</v>
      </c>
      <c r="B2256" s="19" t="s">
        <v>1482</v>
      </c>
      <c r="C2256" s="19" t="s">
        <v>1483</v>
      </c>
      <c r="D2256" s="19">
        <v>1.085</v>
      </c>
      <c r="E2256" s="19" t="s">
        <v>117</v>
      </c>
      <c r="F2256" s="19" t="s">
        <v>118</v>
      </c>
      <c r="G2256" s="19" t="s">
        <v>32</v>
      </c>
      <c r="H2256" s="19" t="s">
        <v>114</v>
      </c>
      <c r="I2256" s="19" t="s">
        <v>115</v>
      </c>
      <c r="J2256" s="19">
        <v>31</v>
      </c>
      <c r="K2256" s="19">
        <v>2.1700000000000001E-2</v>
      </c>
      <c r="L2256" s="19" t="s">
        <v>35</v>
      </c>
      <c r="M2256" s="19" t="s">
        <v>103</v>
      </c>
      <c r="N2256" s="19">
        <v>50</v>
      </c>
      <c r="O2256" s="19">
        <v>50</v>
      </c>
      <c r="P2256" s="19">
        <v>0</v>
      </c>
      <c r="Q2256" s="19">
        <v>0</v>
      </c>
      <c r="R2256" s="19" t="s">
        <v>1075</v>
      </c>
      <c r="S2256" s="19">
        <v>1</v>
      </c>
      <c r="T2256" s="19">
        <v>1</v>
      </c>
      <c r="U2256" s="19">
        <v>0</v>
      </c>
      <c r="V2256" s="19" t="s">
        <v>41</v>
      </c>
      <c r="W2256" s="19">
        <v>1</v>
      </c>
      <c r="Y2256" s="19" t="s">
        <v>103</v>
      </c>
      <c r="Z2256" s="19">
        <v>50</v>
      </c>
      <c r="AA2256" s="19">
        <v>50</v>
      </c>
    </row>
    <row r="2257" spans="1:27" x14ac:dyDescent="0.25">
      <c r="A2257" s="19" t="s">
        <v>1515</v>
      </c>
      <c r="B2257" s="19" t="s">
        <v>1482</v>
      </c>
      <c r="C2257" s="19" t="s">
        <v>1483</v>
      </c>
      <c r="D2257" s="19">
        <v>1.085</v>
      </c>
      <c r="E2257" s="19" t="s">
        <v>120</v>
      </c>
      <c r="F2257" s="19" t="s">
        <v>121</v>
      </c>
      <c r="G2257" s="19" t="s">
        <v>32</v>
      </c>
      <c r="H2257" s="19" t="s">
        <v>114</v>
      </c>
      <c r="I2257" s="19" t="s">
        <v>115</v>
      </c>
      <c r="J2257" s="19">
        <v>28</v>
      </c>
      <c r="K2257" s="19">
        <v>2.1700000000000001E-2</v>
      </c>
      <c r="L2257" s="19" t="s">
        <v>35</v>
      </c>
      <c r="M2257" s="19" t="s">
        <v>103</v>
      </c>
      <c r="N2257" s="19">
        <v>50</v>
      </c>
      <c r="O2257" s="19">
        <v>50</v>
      </c>
      <c r="P2257" s="19">
        <v>0</v>
      </c>
      <c r="Q2257" s="19">
        <v>0</v>
      </c>
      <c r="R2257" s="19" t="s">
        <v>1075</v>
      </c>
      <c r="S2257" s="19">
        <v>1</v>
      </c>
      <c r="T2257" s="19">
        <v>1</v>
      </c>
      <c r="U2257" s="19">
        <v>0</v>
      </c>
      <c r="V2257" s="19" t="s">
        <v>41</v>
      </c>
      <c r="W2257" s="19">
        <v>1</v>
      </c>
      <c r="Y2257" s="19" t="s">
        <v>103</v>
      </c>
      <c r="Z2257" s="19">
        <v>50</v>
      </c>
      <c r="AA2257" s="19">
        <v>50</v>
      </c>
    </row>
    <row r="2258" spans="1:27" x14ac:dyDescent="0.25">
      <c r="A2258" s="19" t="s">
        <v>1516</v>
      </c>
      <c r="B2258" s="19" t="s">
        <v>1482</v>
      </c>
      <c r="C2258" s="19" t="s">
        <v>1483</v>
      </c>
      <c r="D2258" s="19">
        <v>0</v>
      </c>
      <c r="E2258" s="19" t="s">
        <v>123</v>
      </c>
      <c r="F2258" s="19" t="s">
        <v>124</v>
      </c>
      <c r="G2258" s="19" t="s">
        <v>32</v>
      </c>
      <c r="H2258" s="19" t="s">
        <v>114</v>
      </c>
      <c r="I2258" s="19" t="s">
        <v>115</v>
      </c>
      <c r="J2258" s="19">
        <v>27</v>
      </c>
      <c r="K2258" s="19">
        <v>2.1700000000000001E-2</v>
      </c>
      <c r="L2258" s="19" t="s">
        <v>35</v>
      </c>
      <c r="M2258" s="19" t="s">
        <v>103</v>
      </c>
      <c r="N2258" s="19">
        <v>0</v>
      </c>
      <c r="O2258" s="19">
        <v>0</v>
      </c>
      <c r="P2258" s="19">
        <v>0</v>
      </c>
      <c r="Q2258" s="19">
        <v>0</v>
      </c>
      <c r="R2258" s="19" t="s">
        <v>1075</v>
      </c>
      <c r="S2258" s="19">
        <v>1</v>
      </c>
      <c r="T2258" s="19">
        <v>1</v>
      </c>
      <c r="U2258" s="19">
        <v>0</v>
      </c>
      <c r="V2258" s="19" t="s">
        <v>36</v>
      </c>
      <c r="W2258" s="19">
        <v>0</v>
      </c>
      <c r="Y2258" s="19" t="s">
        <v>103</v>
      </c>
      <c r="Z2258" s="19">
        <v>50</v>
      </c>
      <c r="AA2258" s="19">
        <v>0</v>
      </c>
    </row>
    <row r="2259" spans="1:27" x14ac:dyDescent="0.25">
      <c r="A2259" s="19" t="s">
        <v>1517</v>
      </c>
      <c r="B2259" s="19" t="s">
        <v>1482</v>
      </c>
      <c r="C2259" s="19" t="s">
        <v>1483</v>
      </c>
      <c r="D2259" s="19">
        <v>0</v>
      </c>
      <c r="E2259" s="19" t="s">
        <v>126</v>
      </c>
      <c r="F2259" s="19" t="s">
        <v>127</v>
      </c>
      <c r="G2259" s="19" t="s">
        <v>32</v>
      </c>
      <c r="H2259" s="19" t="s">
        <v>114</v>
      </c>
      <c r="I2259" s="19" t="s">
        <v>115</v>
      </c>
      <c r="J2259" s="19">
        <v>29</v>
      </c>
      <c r="K2259" s="19">
        <v>2.1700000000000001E-2</v>
      </c>
      <c r="L2259" s="19" t="s">
        <v>35</v>
      </c>
      <c r="M2259" s="19" t="s">
        <v>103</v>
      </c>
      <c r="N2259" s="19">
        <v>0</v>
      </c>
      <c r="O2259" s="19">
        <v>0</v>
      </c>
      <c r="P2259" s="19">
        <v>0</v>
      </c>
      <c r="Q2259" s="19">
        <v>0</v>
      </c>
      <c r="R2259" s="19" t="s">
        <v>1075</v>
      </c>
      <c r="S2259" s="19">
        <v>1</v>
      </c>
      <c r="T2259" s="19">
        <v>1</v>
      </c>
      <c r="U2259" s="19">
        <v>0</v>
      </c>
      <c r="V2259" s="19" t="s">
        <v>80</v>
      </c>
      <c r="W2259" s="19">
        <v>0</v>
      </c>
      <c r="Y2259" s="19" t="s">
        <v>103</v>
      </c>
      <c r="Z2259" s="19">
        <v>50</v>
      </c>
      <c r="AA2259" s="19">
        <v>0</v>
      </c>
    </row>
    <row r="2260" spans="1:27" x14ac:dyDescent="0.25">
      <c r="A2260" s="19" t="s">
        <v>1518</v>
      </c>
      <c r="B2260" s="19" t="s">
        <v>1482</v>
      </c>
      <c r="C2260" s="19" t="s">
        <v>1483</v>
      </c>
      <c r="D2260" s="19">
        <v>1.085</v>
      </c>
      <c r="E2260" s="19" t="s">
        <v>129</v>
      </c>
      <c r="F2260" s="19" t="s">
        <v>130</v>
      </c>
      <c r="G2260" s="19" t="s">
        <v>32</v>
      </c>
      <c r="H2260" s="19" t="s">
        <v>114</v>
      </c>
      <c r="I2260" s="19" t="s">
        <v>115</v>
      </c>
      <c r="J2260" s="19">
        <v>32</v>
      </c>
      <c r="K2260" s="19">
        <v>2.1700000000000001E-2</v>
      </c>
      <c r="L2260" s="19" t="s">
        <v>35</v>
      </c>
      <c r="M2260" s="19" t="s">
        <v>103</v>
      </c>
      <c r="N2260" s="19">
        <v>50</v>
      </c>
      <c r="O2260" s="19">
        <v>50</v>
      </c>
      <c r="P2260" s="19">
        <v>0</v>
      </c>
      <c r="Q2260" s="19">
        <v>0</v>
      </c>
      <c r="R2260" s="19" t="s">
        <v>1075</v>
      </c>
      <c r="S2260" s="19">
        <v>1</v>
      </c>
      <c r="T2260" s="19">
        <v>1</v>
      </c>
      <c r="U2260" s="19">
        <v>0</v>
      </c>
      <c r="V2260" s="19" t="s">
        <v>41</v>
      </c>
      <c r="W2260" s="19">
        <v>1</v>
      </c>
      <c r="Y2260" s="19" t="s">
        <v>103</v>
      </c>
      <c r="Z2260" s="19">
        <v>50</v>
      </c>
      <c r="AA2260" s="19">
        <v>50</v>
      </c>
    </row>
    <row r="2261" spans="1:27" x14ac:dyDescent="0.25">
      <c r="A2261" s="19" t="s">
        <v>1519</v>
      </c>
      <c r="B2261" s="19" t="s">
        <v>1482</v>
      </c>
      <c r="C2261" s="19" t="s">
        <v>1483</v>
      </c>
      <c r="D2261" s="19">
        <v>3.33</v>
      </c>
      <c r="E2261" s="19" t="s">
        <v>161</v>
      </c>
      <c r="F2261" s="19" t="s">
        <v>162</v>
      </c>
      <c r="G2261" s="19" t="s">
        <v>163</v>
      </c>
      <c r="I2261" s="19" t="s">
        <v>164</v>
      </c>
      <c r="J2261" s="19">
        <v>1</v>
      </c>
      <c r="K2261" s="19">
        <v>3.3300000000000003E-2</v>
      </c>
      <c r="L2261" s="19" t="s">
        <v>35</v>
      </c>
      <c r="M2261" s="19" t="s">
        <v>165</v>
      </c>
      <c r="N2261" s="19">
        <v>100</v>
      </c>
      <c r="O2261" s="19">
        <v>100</v>
      </c>
      <c r="P2261" s="19">
        <v>0</v>
      </c>
      <c r="Q2261" s="19">
        <v>0</v>
      </c>
      <c r="R2261" s="19" t="s">
        <v>1075</v>
      </c>
      <c r="S2261" s="19">
        <v>1</v>
      </c>
      <c r="T2261" s="19">
        <v>1</v>
      </c>
      <c r="U2261" s="19">
        <v>0</v>
      </c>
      <c r="W2261" s="19">
        <v>0</v>
      </c>
      <c r="X2261" s="19">
        <v>100</v>
      </c>
      <c r="Z2261" s="19">
        <v>0</v>
      </c>
      <c r="AA2261" s="19">
        <v>100</v>
      </c>
    </row>
    <row r="2262" spans="1:27" x14ac:dyDescent="0.25">
      <c r="A2262" s="19" t="s">
        <v>1520</v>
      </c>
      <c r="B2262" s="19" t="s">
        <v>1482</v>
      </c>
      <c r="C2262" s="19" t="s">
        <v>1483</v>
      </c>
      <c r="D2262" s="19">
        <v>3.33</v>
      </c>
      <c r="E2262" s="19" t="s">
        <v>167</v>
      </c>
      <c r="F2262" s="19" t="s">
        <v>168</v>
      </c>
      <c r="G2262" s="19" t="s">
        <v>163</v>
      </c>
      <c r="I2262" s="19" t="s">
        <v>164</v>
      </c>
      <c r="J2262" s="19">
        <v>3</v>
      </c>
      <c r="K2262" s="19">
        <v>3.3300000000000003E-2</v>
      </c>
      <c r="L2262" s="19" t="s">
        <v>35</v>
      </c>
      <c r="M2262" s="19" t="s">
        <v>165</v>
      </c>
      <c r="N2262" s="19">
        <v>100</v>
      </c>
      <c r="O2262" s="19">
        <v>100</v>
      </c>
      <c r="P2262" s="19">
        <v>0</v>
      </c>
      <c r="Q2262" s="19">
        <v>0</v>
      </c>
      <c r="R2262" s="19" t="s">
        <v>1075</v>
      </c>
      <c r="S2262" s="19">
        <v>1</v>
      </c>
      <c r="T2262" s="19">
        <v>1</v>
      </c>
      <c r="U2262" s="19">
        <v>0</v>
      </c>
      <c r="W2262" s="19">
        <v>0</v>
      </c>
      <c r="X2262" s="19">
        <v>100</v>
      </c>
      <c r="Z2262" s="19">
        <v>0</v>
      </c>
      <c r="AA2262" s="19">
        <v>100</v>
      </c>
    </row>
    <row r="2263" spans="1:27" x14ac:dyDescent="0.25">
      <c r="A2263" s="19" t="s">
        <v>1521</v>
      </c>
      <c r="B2263" s="19" t="s">
        <v>1482</v>
      </c>
      <c r="C2263" s="19" t="s">
        <v>1483</v>
      </c>
      <c r="D2263" s="19">
        <v>2.5640999999999998</v>
      </c>
      <c r="E2263" s="19" t="s">
        <v>170</v>
      </c>
      <c r="F2263" s="19" t="s">
        <v>171</v>
      </c>
      <c r="G2263" s="19" t="s">
        <v>163</v>
      </c>
      <c r="I2263" s="19" t="s">
        <v>164</v>
      </c>
      <c r="J2263" s="19">
        <v>2</v>
      </c>
      <c r="K2263" s="19">
        <v>3.3300000000000003E-2</v>
      </c>
      <c r="L2263" s="19" t="s">
        <v>35</v>
      </c>
      <c r="M2263" s="19" t="s">
        <v>165</v>
      </c>
      <c r="N2263" s="19">
        <v>77</v>
      </c>
      <c r="O2263" s="19">
        <v>77</v>
      </c>
      <c r="P2263" s="19">
        <v>0</v>
      </c>
      <c r="Q2263" s="19">
        <v>0</v>
      </c>
      <c r="R2263" s="19" t="s">
        <v>1075</v>
      </c>
      <c r="S2263" s="19">
        <v>1</v>
      </c>
      <c r="T2263" s="19">
        <v>1</v>
      </c>
      <c r="U2263" s="19">
        <v>0</v>
      </c>
      <c r="W2263" s="19">
        <v>0</v>
      </c>
      <c r="X2263" s="19">
        <v>77</v>
      </c>
      <c r="Z2263" s="19">
        <v>0</v>
      </c>
      <c r="AA2263" s="19">
        <v>77</v>
      </c>
    </row>
    <row r="2264" spans="1:27" x14ac:dyDescent="0.25">
      <c r="A2264" s="19" t="s">
        <v>1072</v>
      </c>
      <c r="B2264" s="19" t="s">
        <v>1073</v>
      </c>
      <c r="C2264" s="19" t="s">
        <v>1074</v>
      </c>
      <c r="D2264" s="19">
        <v>1.2224999999999999</v>
      </c>
      <c r="E2264" s="19" t="s">
        <v>38</v>
      </c>
      <c r="F2264" s="19" t="s">
        <v>39</v>
      </c>
      <c r="G2264" s="19" t="s">
        <v>32</v>
      </c>
      <c r="H2264" s="19" t="s">
        <v>33</v>
      </c>
      <c r="I2264" s="19" t="s">
        <v>34</v>
      </c>
      <c r="J2264" s="19">
        <v>19</v>
      </c>
      <c r="K2264" s="19">
        <v>1.6299999999999999E-2</v>
      </c>
      <c r="L2264" s="19" t="s">
        <v>541</v>
      </c>
      <c r="M2264" s="19" t="s">
        <v>541</v>
      </c>
      <c r="N2264" s="19">
        <v>50</v>
      </c>
      <c r="O2264" s="19">
        <v>75</v>
      </c>
      <c r="P2264" s="19">
        <v>100</v>
      </c>
      <c r="Q2264" s="19">
        <v>50</v>
      </c>
      <c r="R2264" s="19" t="s">
        <v>1033</v>
      </c>
      <c r="S2264" s="19">
        <v>0.5</v>
      </c>
      <c r="T2264" s="19">
        <v>0.5</v>
      </c>
      <c r="U2264" s="19">
        <v>25</v>
      </c>
      <c r="AA2264" s="19">
        <v>0</v>
      </c>
    </row>
    <row r="2265" spans="1:27" x14ac:dyDescent="0.25">
      <c r="A2265" s="19" t="s">
        <v>1076</v>
      </c>
      <c r="B2265" s="19" t="s">
        <v>1073</v>
      </c>
      <c r="C2265" s="19" t="s">
        <v>1074</v>
      </c>
      <c r="D2265" s="19">
        <v>1.2224999999999999</v>
      </c>
      <c r="E2265" s="19" t="s">
        <v>43</v>
      </c>
      <c r="F2265" s="19" t="s">
        <v>44</v>
      </c>
      <c r="G2265" s="19" t="s">
        <v>32</v>
      </c>
      <c r="H2265" s="19" t="s">
        <v>33</v>
      </c>
      <c r="I2265" s="19" t="s">
        <v>34</v>
      </c>
      <c r="J2265" s="19">
        <v>18</v>
      </c>
      <c r="K2265" s="19">
        <v>1.6299999999999999E-2</v>
      </c>
      <c r="L2265" s="19" t="s">
        <v>541</v>
      </c>
      <c r="M2265" s="19" t="s">
        <v>541</v>
      </c>
      <c r="N2265" s="19">
        <v>50</v>
      </c>
      <c r="O2265" s="19">
        <v>75</v>
      </c>
      <c r="P2265" s="19">
        <v>100</v>
      </c>
      <c r="Q2265" s="19">
        <v>50</v>
      </c>
      <c r="R2265" s="19" t="s">
        <v>1033</v>
      </c>
      <c r="S2265" s="19">
        <v>0.5</v>
      </c>
      <c r="T2265" s="19">
        <v>0.5</v>
      </c>
      <c r="U2265" s="19">
        <v>25</v>
      </c>
      <c r="AA2265" s="19">
        <v>0</v>
      </c>
    </row>
    <row r="2266" spans="1:27" x14ac:dyDescent="0.25">
      <c r="A2266" s="19" t="s">
        <v>1077</v>
      </c>
      <c r="B2266" s="19" t="s">
        <v>1073</v>
      </c>
      <c r="C2266" s="19" t="s">
        <v>1074</v>
      </c>
      <c r="D2266" s="19">
        <v>1.2110478164173</v>
      </c>
      <c r="E2266" s="19" t="s">
        <v>46</v>
      </c>
      <c r="F2266" s="19" t="s">
        <v>47</v>
      </c>
      <c r="G2266" s="19" t="s">
        <v>32</v>
      </c>
      <c r="H2266" s="19" t="s">
        <v>33</v>
      </c>
      <c r="I2266" s="19" t="s">
        <v>34</v>
      </c>
      <c r="J2266" s="19">
        <v>15</v>
      </c>
      <c r="K2266" s="19">
        <v>1.6299999999999999E-2</v>
      </c>
      <c r="L2266" s="19" t="s">
        <v>541</v>
      </c>
      <c r="M2266" s="19" t="s">
        <v>541</v>
      </c>
      <c r="N2266" s="19">
        <v>50</v>
      </c>
      <c r="O2266" s="19">
        <v>74.297412050099993</v>
      </c>
      <c r="P2266" s="19">
        <v>97.189648200600004</v>
      </c>
      <c r="Q2266" s="19">
        <v>48.594824100300002</v>
      </c>
      <c r="R2266" s="19" t="s">
        <v>1033</v>
      </c>
      <c r="S2266" s="19">
        <v>0.5</v>
      </c>
      <c r="T2266" s="19">
        <v>0.5</v>
      </c>
      <c r="U2266" s="19">
        <v>24.2974120501</v>
      </c>
      <c r="AA2266" s="19">
        <v>0</v>
      </c>
    </row>
    <row r="2267" spans="1:27" x14ac:dyDescent="0.25">
      <c r="A2267" s="19" t="s">
        <v>1078</v>
      </c>
      <c r="B2267" s="19" t="s">
        <v>1073</v>
      </c>
      <c r="C2267" s="19" t="s">
        <v>1074</v>
      </c>
      <c r="D2267" s="19">
        <v>1.2224999999999999</v>
      </c>
      <c r="E2267" s="19" t="s">
        <v>49</v>
      </c>
      <c r="F2267" s="19" t="s">
        <v>50</v>
      </c>
      <c r="G2267" s="19" t="s">
        <v>32</v>
      </c>
      <c r="H2267" s="19" t="s">
        <v>33</v>
      </c>
      <c r="I2267" s="19" t="s">
        <v>34</v>
      </c>
      <c r="J2267" s="19">
        <v>12</v>
      </c>
      <c r="K2267" s="19">
        <v>1.6299999999999999E-2</v>
      </c>
      <c r="L2267" s="19" t="s">
        <v>541</v>
      </c>
      <c r="M2267" s="19" t="s">
        <v>541</v>
      </c>
      <c r="N2267" s="19">
        <v>50</v>
      </c>
      <c r="O2267" s="19">
        <v>75</v>
      </c>
      <c r="P2267" s="19">
        <v>100</v>
      </c>
      <c r="Q2267" s="19">
        <v>50</v>
      </c>
      <c r="R2267" s="19" t="s">
        <v>1033</v>
      </c>
      <c r="S2267" s="19">
        <v>0.5</v>
      </c>
      <c r="T2267" s="19">
        <v>0.5</v>
      </c>
      <c r="U2267" s="19">
        <v>25</v>
      </c>
      <c r="AA2267" s="19">
        <v>0</v>
      </c>
    </row>
    <row r="2268" spans="1:27" x14ac:dyDescent="0.25">
      <c r="A2268" s="19" t="s">
        <v>1079</v>
      </c>
      <c r="B2268" s="19" t="s">
        <v>1073</v>
      </c>
      <c r="C2268" s="19" t="s">
        <v>1074</v>
      </c>
      <c r="D2268" s="19">
        <v>1.2224999999999999</v>
      </c>
      <c r="E2268" s="19" t="s">
        <v>52</v>
      </c>
      <c r="F2268" s="19" t="s">
        <v>53</v>
      </c>
      <c r="G2268" s="19" t="s">
        <v>32</v>
      </c>
      <c r="H2268" s="19" t="s">
        <v>33</v>
      </c>
      <c r="I2268" s="19" t="s">
        <v>34</v>
      </c>
      <c r="J2268" s="19">
        <v>16</v>
      </c>
      <c r="K2268" s="19">
        <v>1.6299999999999999E-2</v>
      </c>
      <c r="L2268" s="19" t="s">
        <v>541</v>
      </c>
      <c r="M2268" s="19" t="s">
        <v>541</v>
      </c>
      <c r="N2268" s="19">
        <v>50</v>
      </c>
      <c r="O2268" s="19">
        <v>75</v>
      </c>
      <c r="P2268" s="19">
        <v>100</v>
      </c>
      <c r="Q2268" s="19">
        <v>50</v>
      </c>
      <c r="R2268" s="19" t="s">
        <v>1033</v>
      </c>
      <c r="S2268" s="19">
        <v>0.5</v>
      </c>
      <c r="T2268" s="19">
        <v>0.5</v>
      </c>
      <c r="U2268" s="19">
        <v>25</v>
      </c>
      <c r="AA2268" s="19">
        <v>0</v>
      </c>
    </row>
    <row r="2269" spans="1:27" x14ac:dyDescent="0.25">
      <c r="A2269" s="19" t="s">
        <v>1080</v>
      </c>
      <c r="B2269" s="19" t="s">
        <v>1073</v>
      </c>
      <c r="C2269" s="19" t="s">
        <v>1074</v>
      </c>
      <c r="D2269" s="19">
        <v>1.21005913869793</v>
      </c>
      <c r="E2269" s="19" t="s">
        <v>55</v>
      </c>
      <c r="F2269" s="19" t="s">
        <v>56</v>
      </c>
      <c r="G2269" s="19" t="s">
        <v>32</v>
      </c>
      <c r="H2269" s="19" t="s">
        <v>33</v>
      </c>
      <c r="I2269" s="19" t="s">
        <v>34</v>
      </c>
      <c r="J2269" s="19">
        <v>14</v>
      </c>
      <c r="K2269" s="19">
        <v>1.6299999999999999E-2</v>
      </c>
      <c r="L2269" s="19" t="s">
        <v>541</v>
      </c>
      <c r="M2269" s="19" t="s">
        <v>541</v>
      </c>
      <c r="N2269" s="19">
        <v>50</v>
      </c>
      <c r="O2269" s="19">
        <v>74.236756975299997</v>
      </c>
      <c r="P2269" s="19">
        <v>96.947027901300004</v>
      </c>
      <c r="Q2269" s="19">
        <v>48.473513950700003</v>
      </c>
      <c r="R2269" s="19" t="s">
        <v>1033</v>
      </c>
      <c r="S2269" s="19">
        <v>0.5</v>
      </c>
      <c r="T2269" s="19">
        <v>0.5</v>
      </c>
      <c r="U2269" s="19">
        <v>24.236756975300001</v>
      </c>
      <c r="AA2269" s="19">
        <v>0</v>
      </c>
    </row>
    <row r="2270" spans="1:27" x14ac:dyDescent="0.25">
      <c r="A2270" s="19" t="s">
        <v>1081</v>
      </c>
      <c r="B2270" s="19" t="s">
        <v>1073</v>
      </c>
      <c r="C2270" s="19" t="s">
        <v>1074</v>
      </c>
      <c r="D2270" s="19">
        <v>1.2224999999999999</v>
      </c>
      <c r="E2270" s="19" t="s">
        <v>58</v>
      </c>
      <c r="F2270" s="19" t="s">
        <v>59</v>
      </c>
      <c r="G2270" s="19" t="s">
        <v>32</v>
      </c>
      <c r="H2270" s="19" t="s">
        <v>33</v>
      </c>
      <c r="I2270" s="19" t="s">
        <v>34</v>
      </c>
      <c r="J2270" s="19">
        <v>13</v>
      </c>
      <c r="K2270" s="19">
        <v>1.6299999999999999E-2</v>
      </c>
      <c r="L2270" s="19" t="s">
        <v>541</v>
      </c>
      <c r="M2270" s="19" t="s">
        <v>541</v>
      </c>
      <c r="N2270" s="19">
        <v>50</v>
      </c>
      <c r="O2270" s="19">
        <v>75</v>
      </c>
      <c r="P2270" s="19">
        <v>100</v>
      </c>
      <c r="Q2270" s="19">
        <v>50</v>
      </c>
      <c r="R2270" s="19" t="s">
        <v>1033</v>
      </c>
      <c r="S2270" s="19">
        <v>0.5</v>
      </c>
      <c r="T2270" s="19">
        <v>0.5</v>
      </c>
      <c r="U2270" s="19">
        <v>25</v>
      </c>
      <c r="AA2270" s="19">
        <v>0</v>
      </c>
    </row>
    <row r="2271" spans="1:27" x14ac:dyDescent="0.25">
      <c r="A2271" s="19" t="s">
        <v>1082</v>
      </c>
      <c r="B2271" s="19" t="s">
        <v>1073</v>
      </c>
      <c r="C2271" s="19" t="s">
        <v>1074</v>
      </c>
      <c r="D2271" s="19">
        <v>1.39499999999999</v>
      </c>
      <c r="E2271" s="19" t="s">
        <v>61</v>
      </c>
      <c r="F2271" s="19" t="s">
        <v>62</v>
      </c>
      <c r="G2271" s="19" t="s">
        <v>32</v>
      </c>
      <c r="H2271" s="19" t="s">
        <v>63</v>
      </c>
      <c r="I2271" s="19" t="s">
        <v>64</v>
      </c>
      <c r="J2271" s="19">
        <v>22</v>
      </c>
      <c r="K2271" s="19">
        <v>1.8599999999999998E-2</v>
      </c>
      <c r="L2271" s="19" t="s">
        <v>541</v>
      </c>
      <c r="M2271" s="19" t="s">
        <v>541</v>
      </c>
      <c r="N2271" s="19">
        <v>50</v>
      </c>
      <c r="O2271" s="19">
        <v>75</v>
      </c>
      <c r="P2271" s="19">
        <v>100</v>
      </c>
      <c r="Q2271" s="19">
        <v>50</v>
      </c>
      <c r="R2271" s="19" t="s">
        <v>1033</v>
      </c>
      <c r="S2271" s="19">
        <v>0.5</v>
      </c>
      <c r="T2271" s="19">
        <v>0.5</v>
      </c>
      <c r="U2271" s="19">
        <v>25</v>
      </c>
      <c r="AA2271" s="19">
        <v>0</v>
      </c>
    </row>
    <row r="2272" spans="1:27" x14ac:dyDescent="0.25">
      <c r="A2272" s="19" t="s">
        <v>1083</v>
      </c>
      <c r="B2272" s="19" t="s">
        <v>1073</v>
      </c>
      <c r="C2272" s="19" t="s">
        <v>1074</v>
      </c>
      <c r="D2272" s="19">
        <v>1.39499999999999</v>
      </c>
      <c r="E2272" s="19" t="s">
        <v>66</v>
      </c>
      <c r="F2272" s="19" t="s">
        <v>67</v>
      </c>
      <c r="G2272" s="19" t="s">
        <v>32</v>
      </c>
      <c r="H2272" s="19" t="s">
        <v>63</v>
      </c>
      <c r="I2272" s="19" t="s">
        <v>64</v>
      </c>
      <c r="J2272" s="19">
        <v>20</v>
      </c>
      <c r="K2272" s="19">
        <v>1.8599999999999998E-2</v>
      </c>
      <c r="L2272" s="19" t="s">
        <v>541</v>
      </c>
      <c r="M2272" s="19" t="s">
        <v>541</v>
      </c>
      <c r="N2272" s="19">
        <v>50</v>
      </c>
      <c r="O2272" s="19">
        <v>75</v>
      </c>
      <c r="P2272" s="19">
        <v>100</v>
      </c>
      <c r="Q2272" s="19">
        <v>50</v>
      </c>
      <c r="R2272" s="19" t="s">
        <v>1033</v>
      </c>
      <c r="S2272" s="19">
        <v>0.5</v>
      </c>
      <c r="T2272" s="19">
        <v>0.5</v>
      </c>
      <c r="U2272" s="19">
        <v>25</v>
      </c>
      <c r="AA2272" s="19">
        <v>0</v>
      </c>
    </row>
    <row r="2273" spans="1:27" x14ac:dyDescent="0.25">
      <c r="A2273" s="19" t="s">
        <v>1084</v>
      </c>
      <c r="B2273" s="19" t="s">
        <v>1073</v>
      </c>
      <c r="C2273" s="19" t="s">
        <v>1074</v>
      </c>
      <c r="D2273" s="19">
        <v>1.39499999999999</v>
      </c>
      <c r="E2273" s="19" t="s">
        <v>69</v>
      </c>
      <c r="F2273" s="19" t="s">
        <v>70</v>
      </c>
      <c r="G2273" s="19" t="s">
        <v>32</v>
      </c>
      <c r="H2273" s="19" t="s">
        <v>63</v>
      </c>
      <c r="I2273" s="19" t="s">
        <v>64</v>
      </c>
      <c r="J2273" s="19">
        <v>23</v>
      </c>
      <c r="K2273" s="19">
        <v>1.8599999999999998E-2</v>
      </c>
      <c r="L2273" s="19" t="s">
        <v>541</v>
      </c>
      <c r="M2273" s="19" t="s">
        <v>541</v>
      </c>
      <c r="N2273" s="19">
        <v>50</v>
      </c>
      <c r="O2273" s="19">
        <v>75</v>
      </c>
      <c r="P2273" s="19">
        <v>100</v>
      </c>
      <c r="Q2273" s="19">
        <v>50</v>
      </c>
      <c r="R2273" s="19" t="s">
        <v>1033</v>
      </c>
      <c r="S2273" s="19">
        <v>0.5</v>
      </c>
      <c r="T2273" s="19">
        <v>0.5</v>
      </c>
      <c r="U2273" s="19">
        <v>25</v>
      </c>
      <c r="AA2273" s="19">
        <v>0</v>
      </c>
    </row>
    <row r="2274" spans="1:27" x14ac:dyDescent="0.25">
      <c r="A2274" s="19" t="s">
        <v>1085</v>
      </c>
      <c r="B2274" s="19" t="s">
        <v>1073</v>
      </c>
      <c r="C2274" s="19" t="s">
        <v>1074</v>
      </c>
      <c r="D2274" s="19">
        <v>1.39499999999999</v>
      </c>
      <c r="E2274" s="19" t="s">
        <v>72</v>
      </c>
      <c r="F2274" s="19" t="s">
        <v>73</v>
      </c>
      <c r="G2274" s="19" t="s">
        <v>32</v>
      </c>
      <c r="H2274" s="19" t="s">
        <v>63</v>
      </c>
      <c r="I2274" s="19" t="s">
        <v>64</v>
      </c>
      <c r="J2274" s="19">
        <v>21</v>
      </c>
      <c r="K2274" s="19">
        <v>1.8599999999999998E-2</v>
      </c>
      <c r="L2274" s="19" t="s">
        <v>541</v>
      </c>
      <c r="M2274" s="19" t="s">
        <v>541</v>
      </c>
      <c r="N2274" s="19">
        <v>50</v>
      </c>
      <c r="O2274" s="19">
        <v>75</v>
      </c>
      <c r="P2274" s="19">
        <v>100</v>
      </c>
      <c r="Q2274" s="19">
        <v>50</v>
      </c>
      <c r="R2274" s="19" t="s">
        <v>1033</v>
      </c>
      <c r="S2274" s="19">
        <v>0.5</v>
      </c>
      <c r="T2274" s="19">
        <v>0.5</v>
      </c>
      <c r="U2274" s="19">
        <v>25</v>
      </c>
      <c r="AA2274" s="19">
        <v>0</v>
      </c>
    </row>
    <row r="2275" spans="1:27" x14ac:dyDescent="0.25">
      <c r="A2275" s="19" t="s">
        <v>1086</v>
      </c>
      <c r="B2275" s="19" t="s">
        <v>1073</v>
      </c>
      <c r="C2275" s="19" t="s">
        <v>1074</v>
      </c>
      <c r="D2275" s="19">
        <v>1.39499999999999</v>
      </c>
      <c r="E2275" s="19" t="s">
        <v>75</v>
      </c>
      <c r="F2275" s="19" t="s">
        <v>76</v>
      </c>
      <c r="G2275" s="19" t="s">
        <v>32</v>
      </c>
      <c r="H2275" s="19" t="s">
        <v>63</v>
      </c>
      <c r="I2275" s="19" t="s">
        <v>64</v>
      </c>
      <c r="J2275" s="19">
        <v>24</v>
      </c>
      <c r="K2275" s="19">
        <v>1.8599999999999998E-2</v>
      </c>
      <c r="L2275" s="19" t="s">
        <v>541</v>
      </c>
      <c r="M2275" s="19" t="s">
        <v>541</v>
      </c>
      <c r="N2275" s="19">
        <v>50</v>
      </c>
      <c r="O2275" s="19">
        <v>75</v>
      </c>
      <c r="P2275" s="19">
        <v>100</v>
      </c>
      <c r="Q2275" s="19">
        <v>50</v>
      </c>
      <c r="R2275" s="19" t="s">
        <v>1033</v>
      </c>
      <c r="S2275" s="19">
        <v>0.5</v>
      </c>
      <c r="T2275" s="19">
        <v>0.5</v>
      </c>
      <c r="U2275" s="19">
        <v>25</v>
      </c>
      <c r="AA2275" s="19">
        <v>0</v>
      </c>
    </row>
    <row r="2276" spans="1:27" x14ac:dyDescent="0.25">
      <c r="A2276" s="19" t="s">
        <v>1087</v>
      </c>
      <c r="B2276" s="19" t="s">
        <v>1073</v>
      </c>
      <c r="C2276" s="19" t="s">
        <v>1074</v>
      </c>
      <c r="D2276" s="19">
        <v>1.39499999999999</v>
      </c>
      <c r="E2276" s="19" t="s">
        <v>82</v>
      </c>
      <c r="F2276" s="19" t="s">
        <v>83</v>
      </c>
      <c r="G2276" s="19" t="s">
        <v>32</v>
      </c>
      <c r="H2276" s="19" t="s">
        <v>63</v>
      </c>
      <c r="I2276" s="19" t="s">
        <v>64</v>
      </c>
      <c r="J2276" s="19">
        <v>26</v>
      </c>
      <c r="K2276" s="19">
        <v>1.8599999999999998E-2</v>
      </c>
      <c r="L2276" s="19" t="s">
        <v>541</v>
      </c>
      <c r="M2276" s="19" t="s">
        <v>541</v>
      </c>
      <c r="N2276" s="19">
        <v>50</v>
      </c>
      <c r="O2276" s="19">
        <v>75</v>
      </c>
      <c r="P2276" s="19">
        <v>100</v>
      </c>
      <c r="Q2276" s="19">
        <v>50</v>
      </c>
      <c r="R2276" s="19" t="s">
        <v>1033</v>
      </c>
      <c r="S2276" s="19">
        <v>0.5</v>
      </c>
      <c r="T2276" s="19">
        <v>0.5</v>
      </c>
      <c r="U2276" s="19">
        <v>25</v>
      </c>
      <c r="AA2276" s="19">
        <v>0</v>
      </c>
    </row>
    <row r="2277" spans="1:27" x14ac:dyDescent="0.25">
      <c r="A2277" s="19" t="s">
        <v>1088</v>
      </c>
      <c r="B2277" s="19" t="s">
        <v>1073</v>
      </c>
      <c r="C2277" s="19" t="s">
        <v>1074</v>
      </c>
      <c r="D2277" s="19">
        <v>2.4260008087343299</v>
      </c>
      <c r="E2277" s="19" t="s">
        <v>85</v>
      </c>
      <c r="F2277" s="19" t="s">
        <v>86</v>
      </c>
      <c r="G2277" s="19" t="s">
        <v>32</v>
      </c>
      <c r="H2277" s="19" t="s">
        <v>87</v>
      </c>
      <c r="I2277" s="19" t="s">
        <v>88</v>
      </c>
      <c r="J2277" s="19">
        <v>35</v>
      </c>
      <c r="K2277" s="19">
        <v>3.2500000000000001E-2</v>
      </c>
      <c r="L2277" s="19" t="s">
        <v>541</v>
      </c>
      <c r="M2277" s="19" t="s">
        <v>541</v>
      </c>
      <c r="N2277" s="19">
        <v>50</v>
      </c>
      <c r="O2277" s="19">
        <v>74.646178730299994</v>
      </c>
      <c r="P2277" s="19">
        <v>98.584714921100002</v>
      </c>
      <c r="Q2277" s="19">
        <v>49.292357460600002</v>
      </c>
      <c r="R2277" s="19" t="s">
        <v>1033</v>
      </c>
      <c r="S2277" s="19">
        <v>0.5</v>
      </c>
      <c r="T2277" s="19">
        <v>0.5</v>
      </c>
      <c r="U2277" s="19">
        <v>24.646178730300001</v>
      </c>
      <c r="AA2277" s="19">
        <v>0</v>
      </c>
    </row>
    <row r="2278" spans="1:27" x14ac:dyDescent="0.25">
      <c r="A2278" s="19" t="s">
        <v>1089</v>
      </c>
      <c r="B2278" s="19" t="s">
        <v>1073</v>
      </c>
      <c r="C2278" s="19" t="s">
        <v>1074</v>
      </c>
      <c r="D2278" s="19">
        <v>1.9635956175298801</v>
      </c>
      <c r="E2278" s="19" t="s">
        <v>90</v>
      </c>
      <c r="F2278" s="19" t="s">
        <v>91</v>
      </c>
      <c r="G2278" s="19" t="s">
        <v>32</v>
      </c>
      <c r="H2278" s="19" t="s">
        <v>87</v>
      </c>
      <c r="I2278" s="19" t="s">
        <v>88</v>
      </c>
      <c r="J2278" s="19">
        <v>33</v>
      </c>
      <c r="K2278" s="19">
        <v>3.2500000000000001E-2</v>
      </c>
      <c r="L2278" s="19" t="s">
        <v>541</v>
      </c>
      <c r="M2278" s="19" t="s">
        <v>541</v>
      </c>
      <c r="N2278" s="19">
        <v>50</v>
      </c>
      <c r="O2278" s="19">
        <v>60.418326693200001</v>
      </c>
      <c r="P2278" s="19">
        <v>41.673306772899998</v>
      </c>
      <c r="Q2278" s="19">
        <v>20.8366533865</v>
      </c>
      <c r="R2278" s="19" t="s">
        <v>1033</v>
      </c>
      <c r="S2278" s="19">
        <v>0.5</v>
      </c>
      <c r="T2278" s="19">
        <v>0.5</v>
      </c>
      <c r="U2278" s="19">
        <v>10.418326693199999</v>
      </c>
      <c r="AA2278" s="19">
        <v>0</v>
      </c>
    </row>
    <row r="2279" spans="1:27" x14ac:dyDescent="0.25">
      <c r="A2279" s="19" t="s">
        <v>1090</v>
      </c>
      <c r="B2279" s="19" t="s">
        <v>1073</v>
      </c>
      <c r="C2279" s="19" t="s">
        <v>1074</v>
      </c>
      <c r="D2279" s="19">
        <v>2.40135968459361</v>
      </c>
      <c r="E2279" s="19" t="s">
        <v>93</v>
      </c>
      <c r="F2279" s="19" t="s">
        <v>94</v>
      </c>
      <c r="G2279" s="19" t="s">
        <v>32</v>
      </c>
      <c r="H2279" s="19" t="s">
        <v>87</v>
      </c>
      <c r="I2279" s="19" t="s">
        <v>88</v>
      </c>
      <c r="J2279" s="19">
        <v>34</v>
      </c>
      <c r="K2279" s="19">
        <v>3.2500000000000001E-2</v>
      </c>
      <c r="L2279" s="19" t="s">
        <v>541</v>
      </c>
      <c r="M2279" s="19" t="s">
        <v>541</v>
      </c>
      <c r="N2279" s="19">
        <v>50</v>
      </c>
      <c r="O2279" s="19">
        <v>73.887990295199998</v>
      </c>
      <c r="P2279" s="19">
        <v>95.551961180800006</v>
      </c>
      <c r="Q2279" s="19">
        <v>47.775980590400003</v>
      </c>
      <c r="R2279" s="19" t="s">
        <v>1033</v>
      </c>
      <c r="S2279" s="19">
        <v>0.5</v>
      </c>
      <c r="T2279" s="19">
        <v>0.5</v>
      </c>
      <c r="U2279" s="19">
        <v>23.887990295200002</v>
      </c>
      <c r="AA2279" s="19">
        <v>0</v>
      </c>
    </row>
    <row r="2280" spans="1:27" x14ac:dyDescent="0.25">
      <c r="A2280" s="19" t="s">
        <v>1091</v>
      </c>
      <c r="B2280" s="19" t="s">
        <v>1073</v>
      </c>
      <c r="C2280" s="19" t="s">
        <v>1074</v>
      </c>
      <c r="D2280" s="19">
        <v>1.9868959765467</v>
      </c>
      <c r="E2280" s="19" t="s">
        <v>96</v>
      </c>
      <c r="F2280" s="19" t="s">
        <v>97</v>
      </c>
      <c r="G2280" s="19" t="s">
        <v>32</v>
      </c>
      <c r="H2280" s="19" t="s">
        <v>87</v>
      </c>
      <c r="I2280" s="19" t="s">
        <v>88</v>
      </c>
      <c r="J2280" s="19">
        <v>36</v>
      </c>
      <c r="K2280" s="19">
        <v>3.2500000000000001E-2</v>
      </c>
      <c r="L2280" s="19" t="s">
        <v>541</v>
      </c>
      <c r="M2280" s="19" t="s">
        <v>541</v>
      </c>
      <c r="N2280" s="19">
        <v>50</v>
      </c>
      <c r="O2280" s="19">
        <v>61.135260816799999</v>
      </c>
      <c r="P2280" s="19">
        <v>44.541043267299997</v>
      </c>
      <c r="Q2280" s="19">
        <v>22.270521633600001</v>
      </c>
      <c r="R2280" s="19" t="s">
        <v>1033</v>
      </c>
      <c r="S2280" s="19">
        <v>0.5</v>
      </c>
      <c r="T2280" s="19">
        <v>0.5</v>
      </c>
      <c r="U2280" s="19">
        <v>11.135260816800001</v>
      </c>
      <c r="AA2280" s="19">
        <v>0</v>
      </c>
    </row>
    <row r="2281" spans="1:27" x14ac:dyDescent="0.25">
      <c r="A2281" s="19" t="s">
        <v>1092</v>
      </c>
      <c r="B2281" s="19" t="s">
        <v>1073</v>
      </c>
      <c r="C2281" s="19" t="s">
        <v>1074</v>
      </c>
      <c r="D2281" s="19">
        <v>4.17</v>
      </c>
      <c r="E2281" s="19" t="s">
        <v>132</v>
      </c>
      <c r="F2281" s="19" t="s">
        <v>133</v>
      </c>
      <c r="G2281" s="19" t="s">
        <v>134</v>
      </c>
      <c r="H2281" s="19" t="s">
        <v>87</v>
      </c>
      <c r="I2281" s="19" t="s">
        <v>135</v>
      </c>
      <c r="J2281" s="19">
        <v>11</v>
      </c>
      <c r="K2281" s="19">
        <v>4.1700000000000001E-2</v>
      </c>
      <c r="L2281" s="19" t="s">
        <v>541</v>
      </c>
      <c r="M2281" s="19" t="s">
        <v>541</v>
      </c>
      <c r="N2281" s="19">
        <v>50</v>
      </c>
      <c r="O2281" s="19">
        <v>100</v>
      </c>
      <c r="P2281" s="19">
        <v>100</v>
      </c>
      <c r="Q2281" s="19">
        <v>50</v>
      </c>
      <c r="R2281" s="19" t="s">
        <v>1033</v>
      </c>
      <c r="S2281" s="19">
        <v>0.5</v>
      </c>
      <c r="T2281" s="19">
        <v>1</v>
      </c>
      <c r="U2281" s="19">
        <v>50</v>
      </c>
      <c r="AA2281" s="19">
        <v>0</v>
      </c>
    </row>
    <row r="2282" spans="1:27" x14ac:dyDescent="0.25">
      <c r="A2282" s="19" t="s">
        <v>1093</v>
      </c>
      <c r="B2282" s="19" t="s">
        <v>1073</v>
      </c>
      <c r="C2282" s="19" t="s">
        <v>1074</v>
      </c>
      <c r="D2282" s="19">
        <v>2.5</v>
      </c>
      <c r="E2282" s="19" t="s">
        <v>144</v>
      </c>
      <c r="F2282" s="19" t="s">
        <v>145</v>
      </c>
      <c r="G2282" s="19" t="s">
        <v>134</v>
      </c>
      <c r="H2282" s="19" t="s">
        <v>146</v>
      </c>
      <c r="I2282" s="19" t="s">
        <v>147</v>
      </c>
      <c r="J2282" s="19">
        <v>4</v>
      </c>
      <c r="K2282" s="19">
        <v>2.5000000000000001E-2</v>
      </c>
      <c r="L2282" s="19" t="s">
        <v>541</v>
      </c>
      <c r="M2282" s="19" t="s">
        <v>541</v>
      </c>
      <c r="N2282" s="19">
        <v>50</v>
      </c>
      <c r="O2282" s="19">
        <v>100</v>
      </c>
      <c r="P2282" s="19">
        <v>100</v>
      </c>
      <c r="Q2282" s="19">
        <v>50</v>
      </c>
      <c r="R2282" s="19" t="s">
        <v>1033</v>
      </c>
      <c r="S2282" s="19">
        <v>0.5</v>
      </c>
      <c r="T2282" s="19">
        <v>1</v>
      </c>
      <c r="U2282" s="19">
        <v>50</v>
      </c>
      <c r="AA2282" s="19">
        <v>0</v>
      </c>
    </row>
    <row r="2283" spans="1:27" x14ac:dyDescent="0.25">
      <c r="A2283" s="19" t="s">
        <v>1094</v>
      </c>
      <c r="B2283" s="19" t="s">
        <v>1073</v>
      </c>
      <c r="C2283" s="19" t="s">
        <v>1074</v>
      </c>
      <c r="D2283" s="19">
        <v>2.5</v>
      </c>
      <c r="E2283" s="19" t="s">
        <v>149</v>
      </c>
      <c r="F2283" s="19" t="s">
        <v>150</v>
      </c>
      <c r="G2283" s="19" t="s">
        <v>134</v>
      </c>
      <c r="H2283" s="19" t="s">
        <v>146</v>
      </c>
      <c r="I2283" s="19" t="s">
        <v>147</v>
      </c>
      <c r="J2283" s="19">
        <v>5</v>
      </c>
      <c r="K2283" s="19">
        <v>2.5000000000000001E-2</v>
      </c>
      <c r="L2283" s="19" t="s">
        <v>541</v>
      </c>
      <c r="M2283" s="19" t="s">
        <v>541</v>
      </c>
      <c r="N2283" s="19">
        <v>50</v>
      </c>
      <c r="O2283" s="19">
        <v>100</v>
      </c>
      <c r="P2283" s="19">
        <v>100</v>
      </c>
      <c r="Q2283" s="19">
        <v>50</v>
      </c>
      <c r="R2283" s="19" t="s">
        <v>1033</v>
      </c>
      <c r="S2283" s="19">
        <v>0.5</v>
      </c>
      <c r="T2283" s="19">
        <v>1</v>
      </c>
      <c r="U2283" s="19">
        <v>50</v>
      </c>
      <c r="AA2283" s="19">
        <v>0</v>
      </c>
    </row>
    <row r="2284" spans="1:27" x14ac:dyDescent="0.25">
      <c r="A2284" s="19" t="s">
        <v>1095</v>
      </c>
      <c r="B2284" s="19" t="s">
        <v>1073</v>
      </c>
      <c r="C2284" s="19" t="s">
        <v>1074</v>
      </c>
      <c r="D2284" s="19">
        <v>2.5</v>
      </c>
      <c r="E2284" s="19" t="s">
        <v>152</v>
      </c>
      <c r="F2284" s="19" t="s">
        <v>153</v>
      </c>
      <c r="G2284" s="19" t="s">
        <v>134</v>
      </c>
      <c r="H2284" s="19" t="s">
        <v>146</v>
      </c>
      <c r="I2284" s="19" t="s">
        <v>147</v>
      </c>
      <c r="J2284" s="19">
        <v>6</v>
      </c>
      <c r="K2284" s="19">
        <v>2.5000000000000001E-2</v>
      </c>
      <c r="L2284" s="19" t="s">
        <v>541</v>
      </c>
      <c r="M2284" s="19" t="s">
        <v>541</v>
      </c>
      <c r="N2284" s="19">
        <v>50</v>
      </c>
      <c r="O2284" s="19">
        <v>100</v>
      </c>
      <c r="P2284" s="19">
        <v>100</v>
      </c>
      <c r="Q2284" s="19">
        <v>50</v>
      </c>
      <c r="R2284" s="19" t="s">
        <v>1033</v>
      </c>
      <c r="S2284" s="19">
        <v>0.5</v>
      </c>
      <c r="T2284" s="19">
        <v>1</v>
      </c>
      <c r="U2284" s="19">
        <v>50</v>
      </c>
      <c r="AA2284" s="19">
        <v>0</v>
      </c>
    </row>
    <row r="2285" spans="1:27" x14ac:dyDescent="0.25">
      <c r="A2285" s="19" t="s">
        <v>1096</v>
      </c>
      <c r="B2285" s="19" t="s">
        <v>1073</v>
      </c>
      <c r="C2285" s="19" t="s">
        <v>1074</v>
      </c>
      <c r="D2285" s="19">
        <v>2.5</v>
      </c>
      <c r="E2285" s="19" t="s">
        <v>155</v>
      </c>
      <c r="F2285" s="19" t="s">
        <v>156</v>
      </c>
      <c r="G2285" s="19" t="s">
        <v>134</v>
      </c>
      <c r="H2285" s="19" t="s">
        <v>146</v>
      </c>
      <c r="I2285" s="19" t="s">
        <v>147</v>
      </c>
      <c r="J2285" s="19">
        <v>7</v>
      </c>
      <c r="K2285" s="19">
        <v>2.5000000000000001E-2</v>
      </c>
      <c r="L2285" s="19" t="s">
        <v>541</v>
      </c>
      <c r="M2285" s="19" t="s">
        <v>541</v>
      </c>
      <c r="N2285" s="19">
        <v>50</v>
      </c>
      <c r="O2285" s="19">
        <v>100</v>
      </c>
      <c r="P2285" s="19">
        <v>100</v>
      </c>
      <c r="Q2285" s="19">
        <v>50</v>
      </c>
      <c r="R2285" s="19" t="s">
        <v>1033</v>
      </c>
      <c r="S2285" s="19">
        <v>0.5</v>
      </c>
      <c r="T2285" s="19">
        <v>1</v>
      </c>
      <c r="U2285" s="19">
        <v>50</v>
      </c>
      <c r="AA2285" s="19">
        <v>0</v>
      </c>
    </row>
    <row r="2286" spans="1:27" x14ac:dyDescent="0.25">
      <c r="A2286" s="19" t="s">
        <v>1097</v>
      </c>
      <c r="B2286" s="19" t="s">
        <v>1073</v>
      </c>
      <c r="C2286" s="19" t="s">
        <v>1074</v>
      </c>
      <c r="D2286" s="19">
        <v>0</v>
      </c>
      <c r="E2286" s="19" t="s">
        <v>137</v>
      </c>
      <c r="F2286" s="19" t="s">
        <v>138</v>
      </c>
      <c r="G2286" s="19" t="s">
        <v>134</v>
      </c>
      <c r="H2286" s="19" t="s">
        <v>87</v>
      </c>
      <c r="I2286" s="19" t="s">
        <v>135</v>
      </c>
      <c r="J2286" s="19">
        <v>9</v>
      </c>
      <c r="K2286" s="19">
        <v>4.1700000000000001E-2</v>
      </c>
      <c r="L2286" s="19" t="s">
        <v>35</v>
      </c>
      <c r="N2286" s="19">
        <v>0</v>
      </c>
      <c r="O2286" s="19">
        <v>0</v>
      </c>
      <c r="P2286" s="19">
        <v>0</v>
      </c>
      <c r="Q2286" s="19">
        <v>0</v>
      </c>
      <c r="R2286" s="19" t="s">
        <v>1033</v>
      </c>
      <c r="S2286" s="19">
        <v>0.5</v>
      </c>
      <c r="T2286" s="19">
        <v>1</v>
      </c>
      <c r="U2286" s="19">
        <v>0</v>
      </c>
      <c r="W2286" s="19">
        <v>0</v>
      </c>
      <c r="X2286" s="19">
        <v>0</v>
      </c>
      <c r="Z2286" s="19">
        <v>0</v>
      </c>
      <c r="AA2286" s="19">
        <v>0</v>
      </c>
    </row>
    <row r="2287" spans="1:27" x14ac:dyDescent="0.25">
      <c r="A2287" s="19" t="s">
        <v>1098</v>
      </c>
      <c r="B2287" s="19" t="s">
        <v>1073</v>
      </c>
      <c r="C2287" s="19" t="s">
        <v>1074</v>
      </c>
      <c r="D2287" s="19">
        <v>0</v>
      </c>
      <c r="E2287" s="19" t="s">
        <v>140</v>
      </c>
      <c r="F2287" s="19" t="s">
        <v>141</v>
      </c>
      <c r="G2287" s="19" t="s">
        <v>134</v>
      </c>
      <c r="H2287" s="19" t="s">
        <v>87</v>
      </c>
      <c r="I2287" s="19" t="s">
        <v>135</v>
      </c>
      <c r="J2287" s="19">
        <v>10</v>
      </c>
      <c r="K2287" s="19">
        <v>4.1700000000000001E-2</v>
      </c>
      <c r="L2287" s="19" t="s">
        <v>35</v>
      </c>
      <c r="N2287" s="19">
        <v>0</v>
      </c>
      <c r="O2287" s="19">
        <v>0</v>
      </c>
      <c r="P2287" s="19">
        <v>0</v>
      </c>
      <c r="Q2287" s="19">
        <v>0</v>
      </c>
      <c r="R2287" s="19" t="s">
        <v>1033</v>
      </c>
      <c r="S2287" s="19">
        <v>0.5</v>
      </c>
      <c r="T2287" s="19">
        <v>1</v>
      </c>
      <c r="U2287" s="19">
        <v>0</v>
      </c>
      <c r="W2287" s="19">
        <v>0</v>
      </c>
      <c r="X2287" s="19">
        <v>0</v>
      </c>
      <c r="Z2287" s="19">
        <v>0</v>
      </c>
      <c r="AA2287" s="19">
        <v>0</v>
      </c>
    </row>
    <row r="2288" spans="1:27" x14ac:dyDescent="0.25">
      <c r="A2288" s="19" t="s">
        <v>1099</v>
      </c>
      <c r="B2288" s="19" t="s">
        <v>1073</v>
      </c>
      <c r="C2288" s="19" t="s">
        <v>1074</v>
      </c>
      <c r="D2288" s="19">
        <v>0</v>
      </c>
      <c r="E2288" s="19" t="s">
        <v>30</v>
      </c>
      <c r="F2288" s="19" t="s">
        <v>31</v>
      </c>
      <c r="G2288" s="19" t="s">
        <v>32</v>
      </c>
      <c r="H2288" s="19" t="s">
        <v>33</v>
      </c>
      <c r="I2288" s="19" t="s">
        <v>34</v>
      </c>
      <c r="J2288" s="19">
        <v>17</v>
      </c>
      <c r="K2288" s="19">
        <v>1.6299999999999999E-2</v>
      </c>
      <c r="L2288" s="19" t="s">
        <v>35</v>
      </c>
      <c r="N2288" s="19">
        <v>0</v>
      </c>
      <c r="O2288" s="19">
        <v>0</v>
      </c>
      <c r="P2288" s="19">
        <v>0</v>
      </c>
      <c r="Q2288" s="19">
        <v>0</v>
      </c>
      <c r="R2288" s="19" t="s">
        <v>1033</v>
      </c>
      <c r="S2288" s="19">
        <v>0.5</v>
      </c>
      <c r="T2288" s="19">
        <v>1</v>
      </c>
      <c r="U2288" s="19">
        <v>0</v>
      </c>
      <c r="V2288" s="19" t="s">
        <v>36</v>
      </c>
      <c r="W2288" s="19">
        <v>0</v>
      </c>
      <c r="Z2288" s="19">
        <v>0</v>
      </c>
      <c r="AA2288" s="19">
        <v>0</v>
      </c>
    </row>
    <row r="2289" spans="1:27" x14ac:dyDescent="0.25">
      <c r="A2289" s="19" t="s">
        <v>1100</v>
      </c>
      <c r="B2289" s="19" t="s">
        <v>1073</v>
      </c>
      <c r="C2289" s="19" t="s">
        <v>1074</v>
      </c>
      <c r="D2289" s="19">
        <v>1.25</v>
      </c>
      <c r="E2289" s="19" t="s">
        <v>158</v>
      </c>
      <c r="F2289" s="19" t="s">
        <v>159</v>
      </c>
      <c r="G2289" s="19" t="s">
        <v>134</v>
      </c>
      <c r="H2289" s="19" t="s">
        <v>146</v>
      </c>
      <c r="I2289" s="19" t="s">
        <v>147</v>
      </c>
      <c r="J2289" s="19">
        <v>8</v>
      </c>
      <c r="K2289" s="19">
        <v>2.5000000000000001E-2</v>
      </c>
      <c r="L2289" s="19" t="s">
        <v>35</v>
      </c>
      <c r="M2289" s="19" t="s">
        <v>103</v>
      </c>
      <c r="N2289" s="19">
        <v>50</v>
      </c>
      <c r="O2289" s="19">
        <v>50</v>
      </c>
      <c r="P2289" s="19">
        <v>0</v>
      </c>
      <c r="Q2289" s="19">
        <v>0</v>
      </c>
      <c r="R2289" s="19" t="s">
        <v>1033</v>
      </c>
      <c r="S2289" s="19">
        <v>0.5</v>
      </c>
      <c r="T2289" s="19">
        <v>1</v>
      </c>
      <c r="U2289" s="19">
        <v>0</v>
      </c>
      <c r="V2289" s="19" t="s">
        <v>41</v>
      </c>
      <c r="W2289" s="19">
        <v>1</v>
      </c>
      <c r="Y2289" s="19" t="s">
        <v>103</v>
      </c>
      <c r="Z2289" s="19">
        <v>50</v>
      </c>
      <c r="AA2289" s="19">
        <v>50</v>
      </c>
    </row>
    <row r="2290" spans="1:27" x14ac:dyDescent="0.25">
      <c r="A2290" s="19" t="s">
        <v>1101</v>
      </c>
      <c r="B2290" s="19" t="s">
        <v>1073</v>
      </c>
      <c r="C2290" s="19" t="s">
        <v>1074</v>
      </c>
      <c r="D2290" s="19">
        <v>0.92999999999999905</v>
      </c>
      <c r="E2290" s="19" t="s">
        <v>78</v>
      </c>
      <c r="F2290" s="19" t="s">
        <v>79</v>
      </c>
      <c r="G2290" s="19" t="s">
        <v>32</v>
      </c>
      <c r="H2290" s="19" t="s">
        <v>63</v>
      </c>
      <c r="I2290" s="19" t="s">
        <v>64</v>
      </c>
      <c r="J2290" s="19">
        <v>25</v>
      </c>
      <c r="K2290" s="19">
        <v>1.8599999999999998E-2</v>
      </c>
      <c r="L2290" s="19" t="s">
        <v>35</v>
      </c>
      <c r="M2290" s="19" t="s">
        <v>142</v>
      </c>
      <c r="N2290" s="19">
        <v>50</v>
      </c>
      <c r="O2290" s="19">
        <v>50</v>
      </c>
      <c r="P2290" s="19">
        <v>0</v>
      </c>
      <c r="Q2290" s="19">
        <v>0</v>
      </c>
      <c r="R2290" s="19" t="s">
        <v>1033</v>
      </c>
      <c r="S2290" s="19">
        <v>0.5</v>
      </c>
      <c r="T2290" s="19">
        <v>1</v>
      </c>
      <c r="U2290" s="19">
        <v>0</v>
      </c>
      <c r="V2290" s="19" t="s">
        <v>41</v>
      </c>
      <c r="W2290" s="19">
        <v>1</v>
      </c>
      <c r="Y2290" s="19" t="s">
        <v>142</v>
      </c>
      <c r="Z2290" s="19">
        <v>50</v>
      </c>
      <c r="AA2290" s="19">
        <v>50</v>
      </c>
    </row>
    <row r="2291" spans="1:27" x14ac:dyDescent="0.25">
      <c r="A2291" s="19" t="s">
        <v>1102</v>
      </c>
      <c r="B2291" s="19" t="s">
        <v>1073</v>
      </c>
      <c r="C2291" s="19" t="s">
        <v>1074</v>
      </c>
      <c r="D2291" s="19">
        <v>0</v>
      </c>
      <c r="E2291" s="19" t="s">
        <v>99</v>
      </c>
      <c r="F2291" s="19" t="s">
        <v>100</v>
      </c>
      <c r="G2291" s="19" t="s">
        <v>32</v>
      </c>
      <c r="H2291" s="19" t="s">
        <v>101</v>
      </c>
      <c r="I2291" s="19" t="s">
        <v>102</v>
      </c>
      <c r="J2291" s="19">
        <v>39</v>
      </c>
      <c r="K2291" s="19">
        <v>4.3299999999999998E-2</v>
      </c>
      <c r="L2291" s="19" t="s">
        <v>35</v>
      </c>
      <c r="M2291" s="19" t="s">
        <v>103</v>
      </c>
      <c r="N2291" s="19">
        <v>0</v>
      </c>
      <c r="O2291" s="19">
        <v>0</v>
      </c>
      <c r="P2291" s="19">
        <v>0</v>
      </c>
      <c r="Q2291" s="19">
        <v>0</v>
      </c>
      <c r="R2291" s="19" t="s">
        <v>1033</v>
      </c>
      <c r="S2291" s="19">
        <v>0.5</v>
      </c>
      <c r="T2291" s="19">
        <v>1</v>
      </c>
      <c r="U2291" s="19">
        <v>0</v>
      </c>
      <c r="V2291" s="19" t="s">
        <v>36</v>
      </c>
      <c r="W2291" s="19">
        <v>0</v>
      </c>
      <c r="Y2291" s="19" t="s">
        <v>103</v>
      </c>
      <c r="Z2291" s="19">
        <v>50</v>
      </c>
      <c r="AA2291" s="19">
        <v>0</v>
      </c>
    </row>
    <row r="2292" spans="1:27" x14ac:dyDescent="0.25">
      <c r="A2292" s="19" t="s">
        <v>1103</v>
      </c>
      <c r="B2292" s="19" t="s">
        <v>1073</v>
      </c>
      <c r="C2292" s="19" t="s">
        <v>1074</v>
      </c>
      <c r="D2292" s="19">
        <v>0</v>
      </c>
      <c r="E2292" s="19" t="s">
        <v>105</v>
      </c>
      <c r="F2292" s="19" t="s">
        <v>106</v>
      </c>
      <c r="G2292" s="19" t="s">
        <v>32</v>
      </c>
      <c r="H2292" s="19" t="s">
        <v>101</v>
      </c>
      <c r="I2292" s="19" t="s">
        <v>102</v>
      </c>
      <c r="J2292" s="19">
        <v>38</v>
      </c>
      <c r="K2292" s="19">
        <v>4.3299999999999998E-2</v>
      </c>
      <c r="L2292" s="19" t="s">
        <v>35</v>
      </c>
      <c r="M2292" s="19" t="s">
        <v>103</v>
      </c>
      <c r="N2292" s="19">
        <v>0</v>
      </c>
      <c r="O2292" s="19">
        <v>0</v>
      </c>
      <c r="P2292" s="19">
        <v>0</v>
      </c>
      <c r="Q2292" s="19">
        <v>0</v>
      </c>
      <c r="R2292" s="19" t="s">
        <v>1033</v>
      </c>
      <c r="S2292" s="19">
        <v>0.5</v>
      </c>
      <c r="T2292" s="19">
        <v>1</v>
      </c>
      <c r="U2292" s="19">
        <v>0</v>
      </c>
      <c r="V2292" s="19" t="s">
        <v>36</v>
      </c>
      <c r="W2292" s="19">
        <v>0</v>
      </c>
      <c r="Y2292" s="19" t="s">
        <v>103</v>
      </c>
      <c r="Z2292" s="19">
        <v>50</v>
      </c>
      <c r="AA2292" s="19">
        <v>0</v>
      </c>
    </row>
    <row r="2293" spans="1:27" x14ac:dyDescent="0.25">
      <c r="A2293" s="19" t="s">
        <v>1104</v>
      </c>
      <c r="B2293" s="19" t="s">
        <v>1073</v>
      </c>
      <c r="C2293" s="19" t="s">
        <v>1074</v>
      </c>
      <c r="D2293" s="19">
        <v>0</v>
      </c>
      <c r="E2293" s="19" t="s">
        <v>108</v>
      </c>
      <c r="F2293" s="19" t="s">
        <v>109</v>
      </c>
      <c r="G2293" s="19" t="s">
        <v>32</v>
      </c>
      <c r="H2293" s="19" t="s">
        <v>101</v>
      </c>
      <c r="I2293" s="19" t="s">
        <v>102</v>
      </c>
      <c r="J2293" s="19">
        <v>37</v>
      </c>
      <c r="K2293" s="19">
        <v>4.3299999999999998E-2</v>
      </c>
      <c r="L2293" s="19" t="s">
        <v>35</v>
      </c>
      <c r="N2293" s="19">
        <v>0</v>
      </c>
      <c r="O2293" s="19">
        <v>0</v>
      </c>
      <c r="P2293" s="19">
        <v>0</v>
      </c>
      <c r="Q2293" s="19">
        <v>0</v>
      </c>
      <c r="R2293" s="19" t="s">
        <v>1033</v>
      </c>
      <c r="S2293" s="19">
        <v>0.5</v>
      </c>
      <c r="T2293" s="19">
        <v>1</v>
      </c>
      <c r="U2293" s="19">
        <v>0</v>
      </c>
      <c r="V2293" s="19" t="s">
        <v>36</v>
      </c>
      <c r="W2293" s="19">
        <v>0</v>
      </c>
      <c r="Z2293" s="19">
        <v>0</v>
      </c>
      <c r="AA2293" s="19">
        <v>0</v>
      </c>
    </row>
    <row r="2294" spans="1:27" x14ac:dyDescent="0.25">
      <c r="A2294" s="19" t="s">
        <v>1105</v>
      </c>
      <c r="B2294" s="19" t="s">
        <v>1073</v>
      </c>
      <c r="C2294" s="19" t="s">
        <v>1074</v>
      </c>
      <c r="D2294" s="19">
        <v>0</v>
      </c>
      <c r="E2294" s="19" t="s">
        <v>112</v>
      </c>
      <c r="F2294" s="19" t="s">
        <v>113</v>
      </c>
      <c r="G2294" s="19" t="s">
        <v>32</v>
      </c>
      <c r="H2294" s="19" t="s">
        <v>114</v>
      </c>
      <c r="I2294" s="19" t="s">
        <v>115</v>
      </c>
      <c r="J2294" s="19">
        <v>30</v>
      </c>
      <c r="K2294" s="19">
        <v>2.1700000000000001E-2</v>
      </c>
      <c r="L2294" s="19" t="s">
        <v>35</v>
      </c>
      <c r="M2294" s="19" t="s">
        <v>103</v>
      </c>
      <c r="N2294" s="19">
        <v>0</v>
      </c>
      <c r="O2294" s="19">
        <v>0</v>
      </c>
      <c r="P2294" s="19">
        <v>0</v>
      </c>
      <c r="Q2294" s="19">
        <v>0</v>
      </c>
      <c r="R2294" s="19" t="s">
        <v>1033</v>
      </c>
      <c r="S2294" s="19">
        <v>0.5</v>
      </c>
      <c r="T2294" s="19">
        <v>1</v>
      </c>
      <c r="U2294" s="19">
        <v>0</v>
      </c>
      <c r="V2294" s="19" t="s">
        <v>36</v>
      </c>
      <c r="W2294" s="19">
        <v>0</v>
      </c>
      <c r="Y2294" s="19" t="s">
        <v>103</v>
      </c>
      <c r="Z2294" s="19">
        <v>50</v>
      </c>
      <c r="AA2294" s="19">
        <v>0</v>
      </c>
    </row>
    <row r="2295" spans="1:27" x14ac:dyDescent="0.25">
      <c r="A2295" s="19" t="s">
        <v>1106</v>
      </c>
      <c r="B2295" s="19" t="s">
        <v>1073</v>
      </c>
      <c r="C2295" s="19" t="s">
        <v>1074</v>
      </c>
      <c r="D2295" s="19">
        <v>0</v>
      </c>
      <c r="E2295" s="19" t="s">
        <v>117</v>
      </c>
      <c r="F2295" s="19" t="s">
        <v>118</v>
      </c>
      <c r="G2295" s="19" t="s">
        <v>32</v>
      </c>
      <c r="H2295" s="19" t="s">
        <v>114</v>
      </c>
      <c r="I2295" s="19" t="s">
        <v>115</v>
      </c>
      <c r="J2295" s="19">
        <v>31</v>
      </c>
      <c r="K2295" s="19">
        <v>2.1700000000000001E-2</v>
      </c>
      <c r="L2295" s="19" t="s">
        <v>35</v>
      </c>
      <c r="M2295" s="19" t="s">
        <v>103</v>
      </c>
      <c r="N2295" s="19">
        <v>0</v>
      </c>
      <c r="O2295" s="19">
        <v>0</v>
      </c>
      <c r="P2295" s="19">
        <v>0</v>
      </c>
      <c r="Q2295" s="19">
        <v>0</v>
      </c>
      <c r="R2295" s="19" t="s">
        <v>1033</v>
      </c>
      <c r="S2295" s="19">
        <v>0.5</v>
      </c>
      <c r="T2295" s="19">
        <v>1</v>
      </c>
      <c r="U2295" s="19">
        <v>0</v>
      </c>
      <c r="V2295" s="19" t="s">
        <v>36</v>
      </c>
      <c r="W2295" s="19">
        <v>0</v>
      </c>
      <c r="Y2295" s="19" t="s">
        <v>103</v>
      </c>
      <c r="Z2295" s="19">
        <v>50</v>
      </c>
      <c r="AA2295" s="19">
        <v>0</v>
      </c>
    </row>
    <row r="2296" spans="1:27" x14ac:dyDescent="0.25">
      <c r="A2296" s="19" t="s">
        <v>1107</v>
      </c>
      <c r="B2296" s="19" t="s">
        <v>1073</v>
      </c>
      <c r="C2296" s="19" t="s">
        <v>1074</v>
      </c>
      <c r="D2296" s="19">
        <v>0</v>
      </c>
      <c r="E2296" s="19" t="s">
        <v>120</v>
      </c>
      <c r="F2296" s="19" t="s">
        <v>121</v>
      </c>
      <c r="G2296" s="19" t="s">
        <v>32</v>
      </c>
      <c r="H2296" s="19" t="s">
        <v>114</v>
      </c>
      <c r="I2296" s="19" t="s">
        <v>115</v>
      </c>
      <c r="J2296" s="19">
        <v>28</v>
      </c>
      <c r="K2296" s="19">
        <v>2.1700000000000001E-2</v>
      </c>
      <c r="L2296" s="19" t="s">
        <v>35</v>
      </c>
      <c r="M2296" s="19" t="s">
        <v>103</v>
      </c>
      <c r="N2296" s="19">
        <v>0</v>
      </c>
      <c r="O2296" s="19">
        <v>0</v>
      </c>
      <c r="P2296" s="19">
        <v>0</v>
      </c>
      <c r="Q2296" s="19">
        <v>0</v>
      </c>
      <c r="R2296" s="19" t="s">
        <v>1033</v>
      </c>
      <c r="S2296" s="19">
        <v>0.5</v>
      </c>
      <c r="T2296" s="19">
        <v>1</v>
      </c>
      <c r="U2296" s="19">
        <v>0</v>
      </c>
      <c r="V2296" s="19" t="s">
        <v>36</v>
      </c>
      <c r="W2296" s="19">
        <v>0</v>
      </c>
      <c r="Y2296" s="19" t="s">
        <v>103</v>
      </c>
      <c r="Z2296" s="19">
        <v>50</v>
      </c>
      <c r="AA2296" s="19">
        <v>0</v>
      </c>
    </row>
    <row r="2297" spans="1:27" x14ac:dyDescent="0.25">
      <c r="A2297" s="19" t="s">
        <v>1108</v>
      </c>
      <c r="B2297" s="19" t="s">
        <v>1073</v>
      </c>
      <c r="C2297" s="19" t="s">
        <v>1074</v>
      </c>
      <c r="D2297" s="19">
        <v>0</v>
      </c>
      <c r="E2297" s="19" t="s">
        <v>123</v>
      </c>
      <c r="F2297" s="19" t="s">
        <v>124</v>
      </c>
      <c r="G2297" s="19" t="s">
        <v>32</v>
      </c>
      <c r="H2297" s="19" t="s">
        <v>114</v>
      </c>
      <c r="I2297" s="19" t="s">
        <v>115</v>
      </c>
      <c r="J2297" s="19">
        <v>27</v>
      </c>
      <c r="K2297" s="19">
        <v>2.1700000000000001E-2</v>
      </c>
      <c r="L2297" s="19" t="s">
        <v>35</v>
      </c>
      <c r="M2297" s="19" t="s">
        <v>103</v>
      </c>
      <c r="N2297" s="19">
        <v>0</v>
      </c>
      <c r="O2297" s="19">
        <v>0</v>
      </c>
      <c r="P2297" s="19">
        <v>0</v>
      </c>
      <c r="Q2297" s="19">
        <v>0</v>
      </c>
      <c r="R2297" s="19" t="s">
        <v>1033</v>
      </c>
      <c r="S2297" s="19">
        <v>0.5</v>
      </c>
      <c r="T2297" s="19">
        <v>1</v>
      </c>
      <c r="U2297" s="19">
        <v>0</v>
      </c>
      <c r="V2297" s="19" t="s">
        <v>36</v>
      </c>
      <c r="W2297" s="19">
        <v>0</v>
      </c>
      <c r="Y2297" s="19" t="s">
        <v>103</v>
      </c>
      <c r="Z2297" s="19">
        <v>50</v>
      </c>
      <c r="AA2297" s="19">
        <v>0</v>
      </c>
    </row>
    <row r="2298" spans="1:27" x14ac:dyDescent="0.25">
      <c r="A2298" s="19" t="s">
        <v>1109</v>
      </c>
      <c r="B2298" s="19" t="s">
        <v>1073</v>
      </c>
      <c r="C2298" s="19" t="s">
        <v>1074</v>
      </c>
      <c r="D2298" s="19">
        <v>0</v>
      </c>
      <c r="E2298" s="19" t="s">
        <v>126</v>
      </c>
      <c r="F2298" s="19" t="s">
        <v>127</v>
      </c>
      <c r="G2298" s="19" t="s">
        <v>32</v>
      </c>
      <c r="H2298" s="19" t="s">
        <v>114</v>
      </c>
      <c r="I2298" s="19" t="s">
        <v>115</v>
      </c>
      <c r="J2298" s="19">
        <v>29</v>
      </c>
      <c r="K2298" s="19">
        <v>2.1700000000000001E-2</v>
      </c>
      <c r="L2298" s="19" t="s">
        <v>35</v>
      </c>
      <c r="M2298" s="19" t="s">
        <v>103</v>
      </c>
      <c r="N2298" s="19">
        <v>0</v>
      </c>
      <c r="O2298" s="19">
        <v>0</v>
      </c>
      <c r="P2298" s="19">
        <v>0</v>
      </c>
      <c r="Q2298" s="19">
        <v>0</v>
      </c>
      <c r="R2298" s="19" t="s">
        <v>1033</v>
      </c>
      <c r="S2298" s="19">
        <v>0.5</v>
      </c>
      <c r="T2298" s="19">
        <v>1</v>
      </c>
      <c r="U2298" s="19">
        <v>0</v>
      </c>
      <c r="V2298" s="19" t="s">
        <v>36</v>
      </c>
      <c r="W2298" s="19">
        <v>0</v>
      </c>
      <c r="Y2298" s="19" t="s">
        <v>103</v>
      </c>
      <c r="Z2298" s="19">
        <v>50</v>
      </c>
      <c r="AA2298" s="19">
        <v>0</v>
      </c>
    </row>
    <row r="2299" spans="1:27" x14ac:dyDescent="0.25">
      <c r="A2299" s="19" t="s">
        <v>1110</v>
      </c>
      <c r="B2299" s="19" t="s">
        <v>1073</v>
      </c>
      <c r="C2299" s="19" t="s">
        <v>1074</v>
      </c>
      <c r="D2299" s="19">
        <v>1.085</v>
      </c>
      <c r="E2299" s="19" t="s">
        <v>129</v>
      </c>
      <c r="F2299" s="19" t="s">
        <v>130</v>
      </c>
      <c r="G2299" s="19" t="s">
        <v>32</v>
      </c>
      <c r="H2299" s="19" t="s">
        <v>114</v>
      </c>
      <c r="I2299" s="19" t="s">
        <v>115</v>
      </c>
      <c r="J2299" s="19">
        <v>32</v>
      </c>
      <c r="K2299" s="19">
        <v>2.1700000000000001E-2</v>
      </c>
      <c r="L2299" s="19" t="s">
        <v>35</v>
      </c>
      <c r="M2299" s="19" t="s">
        <v>103</v>
      </c>
      <c r="N2299" s="19">
        <v>50</v>
      </c>
      <c r="O2299" s="19">
        <v>50</v>
      </c>
      <c r="P2299" s="19">
        <v>0</v>
      </c>
      <c r="Q2299" s="19">
        <v>0</v>
      </c>
      <c r="R2299" s="19" t="s">
        <v>1033</v>
      </c>
      <c r="S2299" s="19">
        <v>0.5</v>
      </c>
      <c r="T2299" s="19">
        <v>1</v>
      </c>
      <c r="U2299" s="19">
        <v>0</v>
      </c>
      <c r="V2299" s="19" t="s">
        <v>41</v>
      </c>
      <c r="W2299" s="19">
        <v>1</v>
      </c>
      <c r="Y2299" s="19" t="s">
        <v>103</v>
      </c>
      <c r="Z2299" s="19">
        <v>50</v>
      </c>
      <c r="AA2299" s="19">
        <v>50</v>
      </c>
    </row>
    <row r="2300" spans="1:27" x14ac:dyDescent="0.25">
      <c r="A2300" s="19" t="s">
        <v>1111</v>
      </c>
      <c r="B2300" s="19" t="s">
        <v>1073</v>
      </c>
      <c r="C2300" s="19" t="s">
        <v>1074</v>
      </c>
      <c r="D2300" s="19">
        <v>1.1098889999999999</v>
      </c>
      <c r="E2300" s="19" t="s">
        <v>161</v>
      </c>
      <c r="F2300" s="19" t="s">
        <v>162</v>
      </c>
      <c r="G2300" s="19" t="s">
        <v>163</v>
      </c>
      <c r="I2300" s="19" t="s">
        <v>164</v>
      </c>
      <c r="J2300" s="19">
        <v>1</v>
      </c>
      <c r="K2300" s="19">
        <v>3.3300000000000003E-2</v>
      </c>
      <c r="L2300" s="19" t="s">
        <v>35</v>
      </c>
      <c r="M2300" s="19" t="s">
        <v>165</v>
      </c>
      <c r="N2300" s="19">
        <v>33.33</v>
      </c>
      <c r="O2300" s="19">
        <v>33.33</v>
      </c>
      <c r="P2300" s="19">
        <v>0</v>
      </c>
      <c r="Q2300" s="19">
        <v>0</v>
      </c>
      <c r="R2300" s="19" t="s">
        <v>1033</v>
      </c>
      <c r="S2300" s="19">
        <v>0.5</v>
      </c>
      <c r="T2300" s="19">
        <v>1</v>
      </c>
      <c r="U2300" s="19">
        <v>0</v>
      </c>
      <c r="W2300" s="19">
        <v>0</v>
      </c>
      <c r="X2300" s="19">
        <v>33.33</v>
      </c>
      <c r="Z2300" s="19">
        <v>0</v>
      </c>
      <c r="AA2300" s="19">
        <v>33.33</v>
      </c>
    </row>
    <row r="2301" spans="1:27" x14ac:dyDescent="0.25">
      <c r="A2301" s="19" t="s">
        <v>1112</v>
      </c>
      <c r="B2301" s="19" t="s">
        <v>1073</v>
      </c>
      <c r="C2301" s="19" t="s">
        <v>1074</v>
      </c>
      <c r="D2301" s="19">
        <v>1.1098889999999999</v>
      </c>
      <c r="E2301" s="19" t="s">
        <v>167</v>
      </c>
      <c r="F2301" s="19" t="s">
        <v>168</v>
      </c>
      <c r="G2301" s="19" t="s">
        <v>163</v>
      </c>
      <c r="I2301" s="19" t="s">
        <v>164</v>
      </c>
      <c r="J2301" s="19">
        <v>3</v>
      </c>
      <c r="K2301" s="19">
        <v>3.3300000000000003E-2</v>
      </c>
      <c r="L2301" s="19" t="s">
        <v>35</v>
      </c>
      <c r="M2301" s="19" t="s">
        <v>165</v>
      </c>
      <c r="N2301" s="19">
        <v>33.33</v>
      </c>
      <c r="O2301" s="19">
        <v>33.33</v>
      </c>
      <c r="P2301" s="19">
        <v>0</v>
      </c>
      <c r="Q2301" s="19">
        <v>0</v>
      </c>
      <c r="R2301" s="19" t="s">
        <v>1033</v>
      </c>
      <c r="S2301" s="19">
        <v>0.5</v>
      </c>
      <c r="T2301" s="19">
        <v>1</v>
      </c>
      <c r="U2301" s="19">
        <v>0</v>
      </c>
      <c r="W2301" s="19">
        <v>0</v>
      </c>
      <c r="X2301" s="19">
        <v>33.33</v>
      </c>
      <c r="Z2301" s="19">
        <v>0</v>
      </c>
      <c r="AA2301" s="19">
        <v>33.33</v>
      </c>
    </row>
    <row r="2302" spans="1:27" x14ac:dyDescent="0.25">
      <c r="A2302" s="19" t="s">
        <v>1113</v>
      </c>
      <c r="B2302" s="19" t="s">
        <v>1073</v>
      </c>
      <c r="C2302" s="19" t="s">
        <v>1074</v>
      </c>
      <c r="D2302" s="19">
        <v>1.2154499999999999</v>
      </c>
      <c r="E2302" s="19" t="s">
        <v>170</v>
      </c>
      <c r="F2302" s="19" t="s">
        <v>171</v>
      </c>
      <c r="G2302" s="19" t="s">
        <v>163</v>
      </c>
      <c r="I2302" s="19" t="s">
        <v>164</v>
      </c>
      <c r="J2302" s="19">
        <v>2</v>
      </c>
      <c r="K2302" s="19">
        <v>3.3300000000000003E-2</v>
      </c>
      <c r="L2302" s="19" t="s">
        <v>35</v>
      </c>
      <c r="M2302" s="19" t="s">
        <v>165</v>
      </c>
      <c r="N2302" s="19">
        <v>36.5</v>
      </c>
      <c r="O2302" s="19">
        <v>36.5</v>
      </c>
      <c r="P2302" s="19">
        <v>0</v>
      </c>
      <c r="Q2302" s="19">
        <v>0</v>
      </c>
      <c r="R2302" s="19" t="s">
        <v>1033</v>
      </c>
      <c r="S2302" s="19">
        <v>0.5</v>
      </c>
      <c r="T2302" s="19">
        <v>1</v>
      </c>
      <c r="U2302" s="19">
        <v>0</v>
      </c>
      <c r="W2302" s="19">
        <v>0</v>
      </c>
      <c r="X2302" s="19">
        <v>36.5</v>
      </c>
      <c r="Z2302" s="19">
        <v>0</v>
      </c>
      <c r="AA2302" s="19">
        <v>36.5</v>
      </c>
    </row>
    <row r="2303" spans="1:27" x14ac:dyDescent="0.25">
      <c r="A2303" s="19" t="s">
        <v>2053</v>
      </c>
      <c r="B2303" s="19" t="s">
        <v>2054</v>
      </c>
      <c r="C2303" s="19" t="s">
        <v>2055</v>
      </c>
      <c r="D2303" s="19">
        <v>1.63</v>
      </c>
      <c r="E2303" s="19" t="s">
        <v>38</v>
      </c>
      <c r="F2303" s="19" t="s">
        <v>39</v>
      </c>
      <c r="G2303" s="19" t="s">
        <v>32</v>
      </c>
      <c r="H2303" s="19" t="s">
        <v>33</v>
      </c>
      <c r="I2303" s="19" t="s">
        <v>34</v>
      </c>
      <c r="J2303" s="19">
        <v>19</v>
      </c>
      <c r="K2303" s="19">
        <v>1.6299999999999999E-2</v>
      </c>
      <c r="L2303" s="19" t="s">
        <v>541</v>
      </c>
      <c r="M2303" s="19" t="s">
        <v>541</v>
      </c>
      <c r="N2303" s="19">
        <v>50</v>
      </c>
      <c r="O2303" s="19">
        <v>100</v>
      </c>
      <c r="P2303" s="19">
        <v>100</v>
      </c>
      <c r="Q2303" s="19">
        <v>50</v>
      </c>
      <c r="R2303" s="19" t="s">
        <v>1075</v>
      </c>
      <c r="S2303" s="19">
        <v>1</v>
      </c>
      <c r="T2303" s="19">
        <v>1</v>
      </c>
      <c r="U2303" s="19">
        <v>50</v>
      </c>
      <c r="AA2303" s="19">
        <v>0</v>
      </c>
    </row>
    <row r="2304" spans="1:27" x14ac:dyDescent="0.25">
      <c r="A2304" s="19" t="s">
        <v>2056</v>
      </c>
      <c r="B2304" s="19" t="s">
        <v>2054</v>
      </c>
      <c r="C2304" s="19" t="s">
        <v>2055</v>
      </c>
      <c r="D2304" s="19">
        <v>1.63</v>
      </c>
      <c r="E2304" s="19" t="s">
        <v>43</v>
      </c>
      <c r="F2304" s="19" t="s">
        <v>44</v>
      </c>
      <c r="G2304" s="19" t="s">
        <v>32</v>
      </c>
      <c r="H2304" s="19" t="s">
        <v>33</v>
      </c>
      <c r="I2304" s="19" t="s">
        <v>34</v>
      </c>
      <c r="J2304" s="19">
        <v>18</v>
      </c>
      <c r="K2304" s="19">
        <v>1.6299999999999999E-2</v>
      </c>
      <c r="L2304" s="19" t="s">
        <v>541</v>
      </c>
      <c r="M2304" s="19" t="s">
        <v>541</v>
      </c>
      <c r="N2304" s="19">
        <v>50</v>
      </c>
      <c r="O2304" s="19">
        <v>100</v>
      </c>
      <c r="P2304" s="19">
        <v>100</v>
      </c>
      <c r="Q2304" s="19">
        <v>50</v>
      </c>
      <c r="R2304" s="19" t="s">
        <v>1075</v>
      </c>
      <c r="S2304" s="19">
        <v>1</v>
      </c>
      <c r="T2304" s="19">
        <v>1</v>
      </c>
      <c r="U2304" s="19">
        <v>50</v>
      </c>
      <c r="AA2304" s="19">
        <v>0</v>
      </c>
    </row>
    <row r="2305" spans="1:27" x14ac:dyDescent="0.25">
      <c r="A2305" s="19" t="s">
        <v>2057</v>
      </c>
      <c r="B2305" s="19" t="s">
        <v>2054</v>
      </c>
      <c r="C2305" s="19" t="s">
        <v>2055</v>
      </c>
      <c r="D2305" s="19">
        <v>1.5603707697411999</v>
      </c>
      <c r="E2305" s="19" t="s">
        <v>46</v>
      </c>
      <c r="F2305" s="19" t="s">
        <v>47</v>
      </c>
      <c r="G2305" s="19" t="s">
        <v>32</v>
      </c>
      <c r="H2305" s="19" t="s">
        <v>33</v>
      </c>
      <c r="I2305" s="19" t="s">
        <v>34</v>
      </c>
      <c r="J2305" s="19">
        <v>15</v>
      </c>
      <c r="K2305" s="19">
        <v>1.6299999999999999E-2</v>
      </c>
      <c r="L2305" s="19" t="s">
        <v>541</v>
      </c>
      <c r="M2305" s="19" t="s">
        <v>541</v>
      </c>
      <c r="N2305" s="19">
        <v>50</v>
      </c>
      <c r="O2305" s="19">
        <v>95.728268082300005</v>
      </c>
      <c r="P2305" s="19">
        <v>91.456536164599996</v>
      </c>
      <c r="Q2305" s="19">
        <v>45.728268082299998</v>
      </c>
      <c r="R2305" s="19" t="s">
        <v>1075</v>
      </c>
      <c r="S2305" s="19">
        <v>1</v>
      </c>
      <c r="T2305" s="19">
        <v>1</v>
      </c>
      <c r="U2305" s="19">
        <v>45.728268082299998</v>
      </c>
      <c r="AA2305" s="19">
        <v>0</v>
      </c>
    </row>
    <row r="2306" spans="1:27" x14ac:dyDescent="0.25">
      <c r="A2306" s="19" t="s">
        <v>2058</v>
      </c>
      <c r="B2306" s="19" t="s">
        <v>2054</v>
      </c>
      <c r="C2306" s="19" t="s">
        <v>2055</v>
      </c>
      <c r="D2306" s="19">
        <v>1.63</v>
      </c>
      <c r="E2306" s="19" t="s">
        <v>49</v>
      </c>
      <c r="F2306" s="19" t="s">
        <v>50</v>
      </c>
      <c r="G2306" s="19" t="s">
        <v>32</v>
      </c>
      <c r="H2306" s="19" t="s">
        <v>33</v>
      </c>
      <c r="I2306" s="19" t="s">
        <v>34</v>
      </c>
      <c r="J2306" s="19">
        <v>12</v>
      </c>
      <c r="K2306" s="19">
        <v>1.6299999999999999E-2</v>
      </c>
      <c r="L2306" s="19" t="s">
        <v>541</v>
      </c>
      <c r="M2306" s="19" t="s">
        <v>541</v>
      </c>
      <c r="N2306" s="19">
        <v>50</v>
      </c>
      <c r="O2306" s="19">
        <v>100</v>
      </c>
      <c r="P2306" s="19">
        <v>100</v>
      </c>
      <c r="Q2306" s="19">
        <v>50</v>
      </c>
      <c r="R2306" s="19" t="s">
        <v>1075</v>
      </c>
      <c r="S2306" s="19">
        <v>1</v>
      </c>
      <c r="T2306" s="19">
        <v>1</v>
      </c>
      <c r="U2306" s="19">
        <v>50</v>
      </c>
      <c r="AA2306" s="19">
        <v>0</v>
      </c>
    </row>
    <row r="2307" spans="1:27" x14ac:dyDescent="0.25">
      <c r="A2307" s="19" t="s">
        <v>2059</v>
      </c>
      <c r="B2307" s="19" t="s">
        <v>2054</v>
      </c>
      <c r="C2307" s="19" t="s">
        <v>2055</v>
      </c>
      <c r="D2307" s="19">
        <v>1.63</v>
      </c>
      <c r="E2307" s="19" t="s">
        <v>52</v>
      </c>
      <c r="F2307" s="19" t="s">
        <v>53</v>
      </c>
      <c r="G2307" s="19" t="s">
        <v>32</v>
      </c>
      <c r="H2307" s="19" t="s">
        <v>33</v>
      </c>
      <c r="I2307" s="19" t="s">
        <v>34</v>
      </c>
      <c r="J2307" s="19">
        <v>16</v>
      </c>
      <c r="K2307" s="19">
        <v>1.6299999999999999E-2</v>
      </c>
      <c r="L2307" s="19" t="s">
        <v>541</v>
      </c>
      <c r="M2307" s="19" t="s">
        <v>541</v>
      </c>
      <c r="N2307" s="19">
        <v>50</v>
      </c>
      <c r="O2307" s="19">
        <v>100</v>
      </c>
      <c r="P2307" s="19">
        <v>100</v>
      </c>
      <c r="Q2307" s="19">
        <v>50</v>
      </c>
      <c r="R2307" s="19" t="s">
        <v>1075</v>
      </c>
      <c r="S2307" s="19">
        <v>1</v>
      </c>
      <c r="T2307" s="19">
        <v>1</v>
      </c>
      <c r="U2307" s="19">
        <v>50</v>
      </c>
      <c r="AA2307" s="19">
        <v>0</v>
      </c>
    </row>
    <row r="2308" spans="1:27" x14ac:dyDescent="0.25">
      <c r="A2308" s="19" t="s">
        <v>2060</v>
      </c>
      <c r="B2308" s="19" t="s">
        <v>2054</v>
      </c>
      <c r="C2308" s="19" t="s">
        <v>2055</v>
      </c>
      <c r="D2308" s="19">
        <v>1.48749668214996</v>
      </c>
      <c r="E2308" s="19" t="s">
        <v>55</v>
      </c>
      <c r="F2308" s="19" t="s">
        <v>56</v>
      </c>
      <c r="G2308" s="19" t="s">
        <v>32</v>
      </c>
      <c r="H2308" s="19" t="s">
        <v>33</v>
      </c>
      <c r="I2308" s="19" t="s">
        <v>34</v>
      </c>
      <c r="J2308" s="19">
        <v>14</v>
      </c>
      <c r="K2308" s="19">
        <v>1.6299999999999999E-2</v>
      </c>
      <c r="L2308" s="19" t="s">
        <v>541</v>
      </c>
      <c r="M2308" s="19" t="s">
        <v>541</v>
      </c>
      <c r="N2308" s="19">
        <v>50</v>
      </c>
      <c r="O2308" s="19">
        <v>91.257465162599999</v>
      </c>
      <c r="P2308" s="19">
        <v>82.514930325099996</v>
      </c>
      <c r="Q2308" s="19">
        <v>41.257465162599999</v>
      </c>
      <c r="R2308" s="19" t="s">
        <v>1075</v>
      </c>
      <c r="S2308" s="19">
        <v>1</v>
      </c>
      <c r="T2308" s="19">
        <v>1</v>
      </c>
      <c r="U2308" s="19">
        <v>41.257465162599999</v>
      </c>
      <c r="AA2308" s="19">
        <v>0</v>
      </c>
    </row>
    <row r="2309" spans="1:27" x14ac:dyDescent="0.25">
      <c r="A2309" s="19" t="s">
        <v>2061</v>
      </c>
      <c r="B2309" s="19" t="s">
        <v>2054</v>
      </c>
      <c r="C2309" s="19" t="s">
        <v>2055</v>
      </c>
      <c r="D2309" s="19">
        <v>1.63</v>
      </c>
      <c r="E2309" s="19" t="s">
        <v>58</v>
      </c>
      <c r="F2309" s="19" t="s">
        <v>59</v>
      </c>
      <c r="G2309" s="19" t="s">
        <v>32</v>
      </c>
      <c r="H2309" s="19" t="s">
        <v>33</v>
      </c>
      <c r="I2309" s="19" t="s">
        <v>34</v>
      </c>
      <c r="J2309" s="19">
        <v>13</v>
      </c>
      <c r="K2309" s="19">
        <v>1.6299999999999999E-2</v>
      </c>
      <c r="L2309" s="19" t="s">
        <v>541</v>
      </c>
      <c r="M2309" s="19" t="s">
        <v>541</v>
      </c>
      <c r="N2309" s="19">
        <v>50</v>
      </c>
      <c r="O2309" s="19">
        <v>100</v>
      </c>
      <c r="P2309" s="19">
        <v>100</v>
      </c>
      <c r="Q2309" s="19">
        <v>50</v>
      </c>
      <c r="R2309" s="19" t="s">
        <v>1075</v>
      </c>
      <c r="S2309" s="19">
        <v>1</v>
      </c>
      <c r="T2309" s="19">
        <v>1</v>
      </c>
      <c r="U2309" s="19">
        <v>50</v>
      </c>
      <c r="AA2309" s="19">
        <v>0</v>
      </c>
    </row>
    <row r="2310" spans="1:27" x14ac:dyDescent="0.25">
      <c r="A2310" s="19" t="s">
        <v>2062</v>
      </c>
      <c r="B2310" s="19" t="s">
        <v>2054</v>
      </c>
      <c r="C2310" s="19" t="s">
        <v>2055</v>
      </c>
      <c r="D2310" s="19">
        <v>1.8599999999999901</v>
      </c>
      <c r="E2310" s="19" t="s">
        <v>61</v>
      </c>
      <c r="F2310" s="19" t="s">
        <v>62</v>
      </c>
      <c r="G2310" s="19" t="s">
        <v>32</v>
      </c>
      <c r="H2310" s="19" t="s">
        <v>63</v>
      </c>
      <c r="I2310" s="19" t="s">
        <v>64</v>
      </c>
      <c r="J2310" s="19">
        <v>22</v>
      </c>
      <c r="K2310" s="19">
        <v>1.8599999999999998E-2</v>
      </c>
      <c r="L2310" s="19" t="s">
        <v>541</v>
      </c>
      <c r="M2310" s="19" t="s">
        <v>541</v>
      </c>
      <c r="N2310" s="19">
        <v>50</v>
      </c>
      <c r="O2310" s="19">
        <v>100</v>
      </c>
      <c r="P2310" s="19">
        <v>100</v>
      </c>
      <c r="Q2310" s="19">
        <v>50</v>
      </c>
      <c r="R2310" s="19" t="s">
        <v>1075</v>
      </c>
      <c r="S2310" s="19">
        <v>1</v>
      </c>
      <c r="T2310" s="19">
        <v>1</v>
      </c>
      <c r="U2310" s="19">
        <v>50</v>
      </c>
      <c r="AA2310" s="19">
        <v>0</v>
      </c>
    </row>
    <row r="2311" spans="1:27" x14ac:dyDescent="0.25">
      <c r="A2311" s="19" t="s">
        <v>2063</v>
      </c>
      <c r="B2311" s="19" t="s">
        <v>2054</v>
      </c>
      <c r="C2311" s="19" t="s">
        <v>2055</v>
      </c>
      <c r="D2311" s="19">
        <v>1.8599999999999901</v>
      </c>
      <c r="E2311" s="19" t="s">
        <v>66</v>
      </c>
      <c r="F2311" s="19" t="s">
        <v>67</v>
      </c>
      <c r="G2311" s="19" t="s">
        <v>32</v>
      </c>
      <c r="H2311" s="19" t="s">
        <v>63</v>
      </c>
      <c r="I2311" s="19" t="s">
        <v>64</v>
      </c>
      <c r="J2311" s="19">
        <v>20</v>
      </c>
      <c r="K2311" s="19">
        <v>1.8599999999999998E-2</v>
      </c>
      <c r="L2311" s="19" t="s">
        <v>541</v>
      </c>
      <c r="M2311" s="19" t="s">
        <v>541</v>
      </c>
      <c r="N2311" s="19">
        <v>50</v>
      </c>
      <c r="O2311" s="19">
        <v>100</v>
      </c>
      <c r="P2311" s="19">
        <v>100</v>
      </c>
      <c r="Q2311" s="19">
        <v>50</v>
      </c>
      <c r="R2311" s="19" t="s">
        <v>1075</v>
      </c>
      <c r="S2311" s="19">
        <v>1</v>
      </c>
      <c r="T2311" s="19">
        <v>1</v>
      </c>
      <c r="U2311" s="19">
        <v>50</v>
      </c>
      <c r="AA2311" s="19">
        <v>0</v>
      </c>
    </row>
    <row r="2312" spans="1:27" x14ac:dyDescent="0.25">
      <c r="A2312" s="19" t="s">
        <v>2064</v>
      </c>
      <c r="B2312" s="19" t="s">
        <v>2054</v>
      </c>
      <c r="C2312" s="19" t="s">
        <v>2055</v>
      </c>
      <c r="D2312" s="19">
        <v>1.8599999999999901</v>
      </c>
      <c r="E2312" s="19" t="s">
        <v>69</v>
      </c>
      <c r="F2312" s="19" t="s">
        <v>70</v>
      </c>
      <c r="G2312" s="19" t="s">
        <v>32</v>
      </c>
      <c r="H2312" s="19" t="s">
        <v>63</v>
      </c>
      <c r="I2312" s="19" t="s">
        <v>64</v>
      </c>
      <c r="J2312" s="19">
        <v>23</v>
      </c>
      <c r="K2312" s="19">
        <v>1.8599999999999998E-2</v>
      </c>
      <c r="L2312" s="19" t="s">
        <v>541</v>
      </c>
      <c r="M2312" s="19" t="s">
        <v>541</v>
      </c>
      <c r="N2312" s="19">
        <v>50</v>
      </c>
      <c r="O2312" s="19">
        <v>100</v>
      </c>
      <c r="P2312" s="19">
        <v>100</v>
      </c>
      <c r="Q2312" s="19">
        <v>50</v>
      </c>
      <c r="R2312" s="19" t="s">
        <v>1075</v>
      </c>
      <c r="S2312" s="19">
        <v>1</v>
      </c>
      <c r="T2312" s="19">
        <v>1</v>
      </c>
      <c r="U2312" s="19">
        <v>50</v>
      </c>
      <c r="AA2312" s="19">
        <v>0</v>
      </c>
    </row>
    <row r="2313" spans="1:27" x14ac:dyDescent="0.25">
      <c r="A2313" s="19" t="s">
        <v>2065</v>
      </c>
      <c r="B2313" s="19" t="s">
        <v>2054</v>
      </c>
      <c r="C2313" s="19" t="s">
        <v>2055</v>
      </c>
      <c r="D2313" s="19">
        <v>1.8599999999999901</v>
      </c>
      <c r="E2313" s="19" t="s">
        <v>72</v>
      </c>
      <c r="F2313" s="19" t="s">
        <v>73</v>
      </c>
      <c r="G2313" s="19" t="s">
        <v>32</v>
      </c>
      <c r="H2313" s="19" t="s">
        <v>63</v>
      </c>
      <c r="I2313" s="19" t="s">
        <v>64</v>
      </c>
      <c r="J2313" s="19">
        <v>21</v>
      </c>
      <c r="K2313" s="19">
        <v>1.8599999999999998E-2</v>
      </c>
      <c r="L2313" s="19" t="s">
        <v>541</v>
      </c>
      <c r="M2313" s="19" t="s">
        <v>541</v>
      </c>
      <c r="N2313" s="19">
        <v>50</v>
      </c>
      <c r="O2313" s="19">
        <v>100</v>
      </c>
      <c r="P2313" s="19">
        <v>100</v>
      </c>
      <c r="Q2313" s="19">
        <v>50</v>
      </c>
      <c r="R2313" s="19" t="s">
        <v>1075</v>
      </c>
      <c r="S2313" s="19">
        <v>1</v>
      </c>
      <c r="T2313" s="19">
        <v>1</v>
      </c>
      <c r="U2313" s="19">
        <v>50</v>
      </c>
      <c r="AA2313" s="19">
        <v>0</v>
      </c>
    </row>
    <row r="2314" spans="1:27" x14ac:dyDescent="0.25">
      <c r="A2314" s="19" t="s">
        <v>2066</v>
      </c>
      <c r="B2314" s="19" t="s">
        <v>2054</v>
      </c>
      <c r="C2314" s="19" t="s">
        <v>2055</v>
      </c>
      <c r="D2314" s="19">
        <v>1.8599999999999901</v>
      </c>
      <c r="E2314" s="19" t="s">
        <v>75</v>
      </c>
      <c r="F2314" s="19" t="s">
        <v>76</v>
      </c>
      <c r="G2314" s="19" t="s">
        <v>32</v>
      </c>
      <c r="H2314" s="19" t="s">
        <v>63</v>
      </c>
      <c r="I2314" s="19" t="s">
        <v>64</v>
      </c>
      <c r="J2314" s="19">
        <v>24</v>
      </c>
      <c r="K2314" s="19">
        <v>1.8599999999999998E-2</v>
      </c>
      <c r="L2314" s="19" t="s">
        <v>541</v>
      </c>
      <c r="M2314" s="19" t="s">
        <v>541</v>
      </c>
      <c r="N2314" s="19">
        <v>50</v>
      </c>
      <c r="O2314" s="19">
        <v>100</v>
      </c>
      <c r="P2314" s="19">
        <v>100</v>
      </c>
      <c r="Q2314" s="19">
        <v>50</v>
      </c>
      <c r="R2314" s="19" t="s">
        <v>1075</v>
      </c>
      <c r="S2314" s="19">
        <v>1</v>
      </c>
      <c r="T2314" s="19">
        <v>1</v>
      </c>
      <c r="U2314" s="19">
        <v>50</v>
      </c>
      <c r="AA2314" s="19">
        <v>0</v>
      </c>
    </row>
    <row r="2315" spans="1:27" x14ac:dyDescent="0.25">
      <c r="A2315" s="19" t="s">
        <v>2068</v>
      </c>
      <c r="B2315" s="19" t="s">
        <v>2054</v>
      </c>
      <c r="C2315" s="19" t="s">
        <v>2055</v>
      </c>
      <c r="D2315" s="19">
        <v>1.8599999999999901</v>
      </c>
      <c r="E2315" s="19" t="s">
        <v>82</v>
      </c>
      <c r="F2315" s="19" t="s">
        <v>83</v>
      </c>
      <c r="G2315" s="19" t="s">
        <v>32</v>
      </c>
      <c r="H2315" s="19" t="s">
        <v>63</v>
      </c>
      <c r="I2315" s="19" t="s">
        <v>64</v>
      </c>
      <c r="J2315" s="19">
        <v>26</v>
      </c>
      <c r="K2315" s="19">
        <v>1.8599999999999998E-2</v>
      </c>
      <c r="L2315" s="19" t="s">
        <v>541</v>
      </c>
      <c r="M2315" s="19" t="s">
        <v>541</v>
      </c>
      <c r="N2315" s="19">
        <v>50</v>
      </c>
      <c r="O2315" s="19">
        <v>100</v>
      </c>
      <c r="P2315" s="19">
        <v>100</v>
      </c>
      <c r="Q2315" s="19">
        <v>50</v>
      </c>
      <c r="R2315" s="19" t="s">
        <v>1075</v>
      </c>
      <c r="S2315" s="19">
        <v>1</v>
      </c>
      <c r="T2315" s="19">
        <v>1</v>
      </c>
      <c r="U2315" s="19">
        <v>50</v>
      </c>
      <c r="AA2315" s="19">
        <v>0</v>
      </c>
    </row>
    <row r="2316" spans="1:27" x14ac:dyDescent="0.25">
      <c r="A2316" s="19" t="s">
        <v>2069</v>
      </c>
      <c r="B2316" s="19" t="s">
        <v>2054</v>
      </c>
      <c r="C2316" s="19" t="s">
        <v>2055</v>
      </c>
      <c r="D2316" s="19">
        <v>2.4375</v>
      </c>
      <c r="E2316" s="19" t="s">
        <v>90</v>
      </c>
      <c r="F2316" s="19" t="s">
        <v>91</v>
      </c>
      <c r="G2316" s="19" t="s">
        <v>32</v>
      </c>
      <c r="H2316" s="19" t="s">
        <v>87</v>
      </c>
      <c r="I2316" s="19" t="s">
        <v>88</v>
      </c>
      <c r="J2316" s="19">
        <v>33</v>
      </c>
      <c r="K2316" s="19">
        <v>3.2500000000000001E-2</v>
      </c>
      <c r="L2316" s="19" t="s">
        <v>541</v>
      </c>
      <c r="M2316" s="19" t="s">
        <v>541</v>
      </c>
      <c r="N2316" s="19">
        <v>50</v>
      </c>
      <c r="O2316" s="19">
        <v>75</v>
      </c>
      <c r="P2316" s="19">
        <v>50</v>
      </c>
      <c r="Q2316" s="19">
        <v>25</v>
      </c>
      <c r="R2316" s="19" t="s">
        <v>1075</v>
      </c>
      <c r="S2316" s="19">
        <v>1</v>
      </c>
      <c r="T2316" s="19">
        <v>1</v>
      </c>
      <c r="U2316" s="19">
        <v>25</v>
      </c>
      <c r="AA2316" s="19">
        <v>0</v>
      </c>
    </row>
    <row r="2317" spans="1:27" x14ac:dyDescent="0.25">
      <c r="A2317" s="19" t="s">
        <v>2070</v>
      </c>
      <c r="B2317" s="19" t="s">
        <v>2054</v>
      </c>
      <c r="C2317" s="19" t="s">
        <v>2055</v>
      </c>
      <c r="D2317" s="19">
        <v>2.4375</v>
      </c>
      <c r="E2317" s="19" t="s">
        <v>96</v>
      </c>
      <c r="F2317" s="19" t="s">
        <v>97</v>
      </c>
      <c r="G2317" s="19" t="s">
        <v>32</v>
      </c>
      <c r="H2317" s="19" t="s">
        <v>87</v>
      </c>
      <c r="I2317" s="19" t="s">
        <v>88</v>
      </c>
      <c r="J2317" s="19">
        <v>36</v>
      </c>
      <c r="K2317" s="19">
        <v>3.2500000000000001E-2</v>
      </c>
      <c r="L2317" s="19" t="s">
        <v>541</v>
      </c>
      <c r="M2317" s="19" t="s">
        <v>541</v>
      </c>
      <c r="N2317" s="19">
        <v>50</v>
      </c>
      <c r="O2317" s="19">
        <v>75</v>
      </c>
      <c r="P2317" s="19">
        <v>50</v>
      </c>
      <c r="Q2317" s="19">
        <v>25</v>
      </c>
      <c r="R2317" s="19" t="s">
        <v>1075</v>
      </c>
      <c r="S2317" s="19">
        <v>1</v>
      </c>
      <c r="T2317" s="19">
        <v>1</v>
      </c>
      <c r="U2317" s="19">
        <v>25</v>
      </c>
      <c r="AA2317" s="19">
        <v>0</v>
      </c>
    </row>
    <row r="2318" spans="1:27" x14ac:dyDescent="0.25">
      <c r="A2318" s="19" t="s">
        <v>2071</v>
      </c>
      <c r="B2318" s="19" t="s">
        <v>2054</v>
      </c>
      <c r="C2318" s="19" t="s">
        <v>2055</v>
      </c>
      <c r="D2318" s="19">
        <v>2.085</v>
      </c>
      <c r="E2318" s="19" t="s">
        <v>132</v>
      </c>
      <c r="F2318" s="19" t="s">
        <v>133</v>
      </c>
      <c r="G2318" s="19" t="s">
        <v>134</v>
      </c>
      <c r="H2318" s="19" t="s">
        <v>87</v>
      </c>
      <c r="I2318" s="19" t="s">
        <v>135</v>
      </c>
      <c r="J2318" s="19">
        <v>11</v>
      </c>
      <c r="K2318" s="19">
        <v>4.1700000000000001E-2</v>
      </c>
      <c r="L2318" s="19" t="s">
        <v>35</v>
      </c>
      <c r="M2318" s="19" t="s">
        <v>103</v>
      </c>
      <c r="N2318" s="19">
        <v>50</v>
      </c>
      <c r="O2318" s="19">
        <v>50</v>
      </c>
      <c r="P2318" s="19">
        <v>0</v>
      </c>
      <c r="Q2318" s="19">
        <v>0</v>
      </c>
      <c r="R2318" s="19" t="s">
        <v>1075</v>
      </c>
      <c r="S2318" s="19">
        <v>1</v>
      </c>
      <c r="T2318" s="19">
        <v>1</v>
      </c>
      <c r="U2318" s="19">
        <v>0</v>
      </c>
      <c r="V2318" s="19" t="s">
        <v>41</v>
      </c>
      <c r="W2318" s="19">
        <v>1</v>
      </c>
      <c r="Y2318" s="19" t="s">
        <v>103</v>
      </c>
      <c r="Z2318" s="19">
        <v>50</v>
      </c>
      <c r="AA2318" s="19">
        <v>50</v>
      </c>
    </row>
    <row r="2319" spans="1:27" x14ac:dyDescent="0.25">
      <c r="A2319" s="19" t="s">
        <v>2072</v>
      </c>
      <c r="B2319" s="19" t="s">
        <v>2054</v>
      </c>
      <c r="C2319" s="19" t="s">
        <v>2055</v>
      </c>
      <c r="D2319" s="19">
        <v>0.2316435</v>
      </c>
      <c r="E2319" s="19" t="s">
        <v>137</v>
      </c>
      <c r="F2319" s="19" t="s">
        <v>138</v>
      </c>
      <c r="G2319" s="19" t="s">
        <v>134</v>
      </c>
      <c r="H2319" s="19" t="s">
        <v>87</v>
      </c>
      <c r="I2319" s="19" t="s">
        <v>135</v>
      </c>
      <c r="J2319" s="19">
        <v>9</v>
      </c>
      <c r="K2319" s="19">
        <v>4.1700000000000001E-2</v>
      </c>
      <c r="L2319" s="19" t="s">
        <v>35</v>
      </c>
      <c r="M2319" s="19" t="s">
        <v>110</v>
      </c>
      <c r="N2319" s="19">
        <v>5.5549999999999997</v>
      </c>
      <c r="O2319" s="19">
        <v>5.5549999999999997</v>
      </c>
      <c r="P2319" s="19">
        <v>0</v>
      </c>
      <c r="Q2319" s="19">
        <v>0</v>
      </c>
      <c r="R2319" s="19" t="s">
        <v>1075</v>
      </c>
      <c r="S2319" s="19">
        <v>1</v>
      </c>
      <c r="T2319" s="19">
        <v>1</v>
      </c>
      <c r="U2319" s="19">
        <v>0</v>
      </c>
      <c r="W2319" s="19">
        <v>0</v>
      </c>
      <c r="X2319" s="19">
        <v>1</v>
      </c>
      <c r="Y2319" s="19" t="s">
        <v>110</v>
      </c>
      <c r="Z2319" s="19">
        <v>16.664999999999999</v>
      </c>
      <c r="AA2319" s="19">
        <v>5.5549999999999997</v>
      </c>
    </row>
    <row r="2320" spans="1:27" x14ac:dyDescent="0.25">
      <c r="A2320" s="19" t="s">
        <v>2073</v>
      </c>
      <c r="B2320" s="19" t="s">
        <v>2054</v>
      </c>
      <c r="C2320" s="19" t="s">
        <v>2055</v>
      </c>
      <c r="D2320" s="19">
        <v>0.69493050000000001</v>
      </c>
      <c r="E2320" s="19" t="s">
        <v>140</v>
      </c>
      <c r="F2320" s="19" t="s">
        <v>141</v>
      </c>
      <c r="G2320" s="19" t="s">
        <v>134</v>
      </c>
      <c r="H2320" s="19" t="s">
        <v>87</v>
      </c>
      <c r="I2320" s="19" t="s">
        <v>135</v>
      </c>
      <c r="J2320" s="19">
        <v>10</v>
      </c>
      <c r="K2320" s="19">
        <v>4.1700000000000001E-2</v>
      </c>
      <c r="L2320" s="19" t="s">
        <v>35</v>
      </c>
      <c r="M2320" s="19" t="s">
        <v>110</v>
      </c>
      <c r="N2320" s="19">
        <v>16.664999999999999</v>
      </c>
      <c r="O2320" s="19">
        <v>16.664999999999999</v>
      </c>
      <c r="P2320" s="19">
        <v>0</v>
      </c>
      <c r="Q2320" s="19">
        <v>0</v>
      </c>
      <c r="R2320" s="19" t="s">
        <v>1075</v>
      </c>
      <c r="S2320" s="19">
        <v>1</v>
      </c>
      <c r="T2320" s="19">
        <v>1</v>
      </c>
      <c r="U2320" s="19">
        <v>0</v>
      </c>
      <c r="W2320" s="19">
        <v>0</v>
      </c>
      <c r="X2320" s="19">
        <v>3</v>
      </c>
      <c r="Y2320" s="19" t="s">
        <v>110</v>
      </c>
      <c r="Z2320" s="19">
        <v>16.664999999999999</v>
      </c>
      <c r="AA2320" s="19">
        <v>16.664999999999999</v>
      </c>
    </row>
    <row r="2321" spans="1:27" x14ac:dyDescent="0.25">
      <c r="A2321" s="19" t="s">
        <v>2074</v>
      </c>
      <c r="B2321" s="19" t="s">
        <v>2054</v>
      </c>
      <c r="C2321" s="19" t="s">
        <v>2055</v>
      </c>
      <c r="D2321" s="19">
        <v>1.25</v>
      </c>
      <c r="E2321" s="19" t="s">
        <v>144</v>
      </c>
      <c r="F2321" s="19" t="s">
        <v>145</v>
      </c>
      <c r="G2321" s="19" t="s">
        <v>134</v>
      </c>
      <c r="H2321" s="19" t="s">
        <v>146</v>
      </c>
      <c r="I2321" s="19" t="s">
        <v>147</v>
      </c>
      <c r="J2321" s="19">
        <v>4</v>
      </c>
      <c r="K2321" s="19">
        <v>2.5000000000000001E-2</v>
      </c>
      <c r="L2321" s="19" t="s">
        <v>35</v>
      </c>
      <c r="M2321" s="19" t="s">
        <v>103</v>
      </c>
      <c r="N2321" s="19">
        <v>50</v>
      </c>
      <c r="O2321" s="19">
        <v>50</v>
      </c>
      <c r="P2321" s="19">
        <v>0</v>
      </c>
      <c r="Q2321" s="19">
        <v>0</v>
      </c>
      <c r="R2321" s="19" t="s">
        <v>1075</v>
      </c>
      <c r="S2321" s="19">
        <v>1</v>
      </c>
      <c r="T2321" s="19">
        <v>1</v>
      </c>
      <c r="U2321" s="19">
        <v>0</v>
      </c>
      <c r="V2321" s="19" t="s">
        <v>41</v>
      </c>
      <c r="W2321" s="19">
        <v>1</v>
      </c>
      <c r="Y2321" s="19" t="s">
        <v>103</v>
      </c>
      <c r="Z2321" s="19">
        <v>50</v>
      </c>
      <c r="AA2321" s="19">
        <v>50</v>
      </c>
    </row>
    <row r="2322" spans="1:27" x14ac:dyDescent="0.25">
      <c r="A2322" s="19" t="s">
        <v>2075</v>
      </c>
      <c r="B2322" s="19" t="s">
        <v>2054</v>
      </c>
      <c r="C2322" s="19" t="s">
        <v>2055</v>
      </c>
      <c r="D2322" s="19">
        <v>0</v>
      </c>
      <c r="E2322" s="19" t="s">
        <v>30</v>
      </c>
      <c r="F2322" s="19" t="s">
        <v>31</v>
      </c>
      <c r="G2322" s="19" t="s">
        <v>32</v>
      </c>
      <c r="H2322" s="19" t="s">
        <v>33</v>
      </c>
      <c r="I2322" s="19" t="s">
        <v>34</v>
      </c>
      <c r="J2322" s="19">
        <v>17</v>
      </c>
      <c r="K2322" s="19">
        <v>1.6299999999999999E-2</v>
      </c>
      <c r="L2322" s="19" t="s">
        <v>35</v>
      </c>
      <c r="M2322" s="19" t="s">
        <v>110</v>
      </c>
      <c r="N2322" s="19">
        <v>0</v>
      </c>
      <c r="O2322" s="19">
        <v>0</v>
      </c>
      <c r="P2322" s="19">
        <v>0</v>
      </c>
      <c r="Q2322" s="19">
        <v>0</v>
      </c>
      <c r="R2322" s="19" t="s">
        <v>1075</v>
      </c>
      <c r="S2322" s="19">
        <v>1</v>
      </c>
      <c r="T2322" s="19">
        <v>1</v>
      </c>
      <c r="U2322" s="19">
        <v>0</v>
      </c>
      <c r="V2322" s="19" t="s">
        <v>36</v>
      </c>
      <c r="W2322" s="19">
        <v>0</v>
      </c>
      <c r="Y2322" s="19" t="s">
        <v>110</v>
      </c>
      <c r="Z2322" s="19">
        <v>16.664999999999999</v>
      </c>
      <c r="AA2322" s="19">
        <v>0</v>
      </c>
    </row>
    <row r="2323" spans="1:27" x14ac:dyDescent="0.25">
      <c r="A2323" s="19" t="s">
        <v>2076</v>
      </c>
      <c r="B2323" s="19" t="s">
        <v>2054</v>
      </c>
      <c r="C2323" s="19" t="s">
        <v>2055</v>
      </c>
      <c r="D2323" s="19">
        <v>1.25</v>
      </c>
      <c r="E2323" s="19" t="s">
        <v>152</v>
      </c>
      <c r="F2323" s="19" t="s">
        <v>153</v>
      </c>
      <c r="G2323" s="19" t="s">
        <v>134</v>
      </c>
      <c r="H2323" s="19" t="s">
        <v>146</v>
      </c>
      <c r="I2323" s="19" t="s">
        <v>147</v>
      </c>
      <c r="J2323" s="19">
        <v>6</v>
      </c>
      <c r="K2323" s="19">
        <v>2.5000000000000001E-2</v>
      </c>
      <c r="L2323" s="19" t="s">
        <v>35</v>
      </c>
      <c r="M2323" s="19" t="s">
        <v>103</v>
      </c>
      <c r="N2323" s="19">
        <v>50</v>
      </c>
      <c r="O2323" s="19">
        <v>50</v>
      </c>
      <c r="P2323" s="19">
        <v>0</v>
      </c>
      <c r="Q2323" s="19">
        <v>0</v>
      </c>
      <c r="R2323" s="19" t="s">
        <v>1075</v>
      </c>
      <c r="S2323" s="19">
        <v>1</v>
      </c>
      <c r="T2323" s="19">
        <v>1</v>
      </c>
      <c r="U2323" s="19">
        <v>0</v>
      </c>
      <c r="V2323" s="19" t="s">
        <v>41</v>
      </c>
      <c r="W2323" s="19">
        <v>1</v>
      </c>
      <c r="Y2323" s="19" t="s">
        <v>103</v>
      </c>
      <c r="Z2323" s="19">
        <v>50</v>
      </c>
      <c r="AA2323" s="19">
        <v>50</v>
      </c>
    </row>
    <row r="2324" spans="1:27" x14ac:dyDescent="0.25">
      <c r="A2324" s="19" t="s">
        <v>2077</v>
      </c>
      <c r="B2324" s="19" t="s">
        <v>2054</v>
      </c>
      <c r="C2324" s="19" t="s">
        <v>2055</v>
      </c>
      <c r="D2324" s="19">
        <v>1.25</v>
      </c>
      <c r="E2324" s="19" t="s">
        <v>155</v>
      </c>
      <c r="F2324" s="19" t="s">
        <v>156</v>
      </c>
      <c r="G2324" s="19" t="s">
        <v>134</v>
      </c>
      <c r="H2324" s="19" t="s">
        <v>146</v>
      </c>
      <c r="I2324" s="19" t="s">
        <v>147</v>
      </c>
      <c r="J2324" s="19">
        <v>7</v>
      </c>
      <c r="K2324" s="19">
        <v>2.5000000000000001E-2</v>
      </c>
      <c r="L2324" s="19" t="s">
        <v>35</v>
      </c>
      <c r="M2324" s="19" t="s">
        <v>103</v>
      </c>
      <c r="N2324" s="19">
        <v>50</v>
      </c>
      <c r="O2324" s="19">
        <v>50</v>
      </c>
      <c r="P2324" s="19">
        <v>0</v>
      </c>
      <c r="Q2324" s="19">
        <v>0</v>
      </c>
      <c r="R2324" s="19" t="s">
        <v>1075</v>
      </c>
      <c r="S2324" s="19">
        <v>1</v>
      </c>
      <c r="T2324" s="19">
        <v>1</v>
      </c>
      <c r="U2324" s="19">
        <v>0</v>
      </c>
      <c r="V2324" s="19" t="s">
        <v>41</v>
      </c>
      <c r="W2324" s="19">
        <v>1</v>
      </c>
      <c r="Y2324" s="19" t="s">
        <v>103</v>
      </c>
      <c r="Z2324" s="19">
        <v>50</v>
      </c>
      <c r="AA2324" s="19">
        <v>50</v>
      </c>
    </row>
    <row r="2325" spans="1:27" x14ac:dyDescent="0.25">
      <c r="A2325" s="19" t="s">
        <v>2078</v>
      </c>
      <c r="B2325" s="19" t="s">
        <v>2054</v>
      </c>
      <c r="C2325" s="19" t="s">
        <v>2055</v>
      </c>
      <c r="D2325" s="19">
        <v>0</v>
      </c>
      <c r="E2325" s="19" t="s">
        <v>158</v>
      </c>
      <c r="F2325" s="19" t="s">
        <v>159</v>
      </c>
      <c r="G2325" s="19" t="s">
        <v>134</v>
      </c>
      <c r="H2325" s="19" t="s">
        <v>146</v>
      </c>
      <c r="I2325" s="19" t="s">
        <v>147</v>
      </c>
      <c r="J2325" s="19">
        <v>8</v>
      </c>
      <c r="K2325" s="19">
        <v>2.5000000000000001E-2</v>
      </c>
      <c r="L2325" s="19" t="s">
        <v>35</v>
      </c>
      <c r="M2325" s="19" t="s">
        <v>103</v>
      </c>
      <c r="N2325" s="19">
        <v>0</v>
      </c>
      <c r="O2325" s="19">
        <v>0</v>
      </c>
      <c r="P2325" s="19">
        <v>0</v>
      </c>
      <c r="Q2325" s="19">
        <v>0</v>
      </c>
      <c r="R2325" s="19" t="s">
        <v>1075</v>
      </c>
      <c r="S2325" s="19">
        <v>1</v>
      </c>
      <c r="T2325" s="19">
        <v>1</v>
      </c>
      <c r="U2325" s="19">
        <v>0</v>
      </c>
      <c r="V2325" s="19" t="s">
        <v>80</v>
      </c>
      <c r="W2325" s="19">
        <v>0</v>
      </c>
      <c r="Y2325" s="19" t="s">
        <v>103</v>
      </c>
      <c r="Z2325" s="19">
        <v>50</v>
      </c>
      <c r="AA2325" s="19">
        <v>0</v>
      </c>
    </row>
    <row r="2326" spans="1:27" x14ac:dyDescent="0.25">
      <c r="A2326" s="19" t="s">
        <v>2079</v>
      </c>
      <c r="B2326" s="19" t="s">
        <v>2054</v>
      </c>
      <c r="C2326" s="19" t="s">
        <v>2055</v>
      </c>
      <c r="D2326" s="19">
        <v>1.25</v>
      </c>
      <c r="E2326" s="19" t="s">
        <v>149</v>
      </c>
      <c r="F2326" s="19" t="s">
        <v>150</v>
      </c>
      <c r="G2326" s="19" t="s">
        <v>134</v>
      </c>
      <c r="H2326" s="19" t="s">
        <v>146</v>
      </c>
      <c r="I2326" s="19" t="s">
        <v>147</v>
      </c>
      <c r="J2326" s="19">
        <v>5</v>
      </c>
      <c r="K2326" s="19">
        <v>2.5000000000000001E-2</v>
      </c>
      <c r="L2326" s="19" t="s">
        <v>35</v>
      </c>
      <c r="M2326" s="19" t="s">
        <v>103</v>
      </c>
      <c r="N2326" s="19">
        <v>50</v>
      </c>
      <c r="O2326" s="19">
        <v>50</v>
      </c>
      <c r="P2326" s="19">
        <v>0</v>
      </c>
      <c r="Q2326" s="19">
        <v>0</v>
      </c>
      <c r="R2326" s="19" t="s">
        <v>1075</v>
      </c>
      <c r="S2326" s="19">
        <v>1</v>
      </c>
      <c r="T2326" s="19">
        <v>1</v>
      </c>
      <c r="U2326" s="19">
        <v>0</v>
      </c>
      <c r="V2326" s="19" t="s">
        <v>41</v>
      </c>
      <c r="W2326" s="19">
        <v>1</v>
      </c>
      <c r="Y2326" s="19" t="s">
        <v>103</v>
      </c>
      <c r="Z2326" s="19">
        <v>50</v>
      </c>
      <c r="AA2326" s="19">
        <v>50</v>
      </c>
    </row>
    <row r="2327" spans="1:27" x14ac:dyDescent="0.25">
      <c r="A2327" s="19" t="s">
        <v>2067</v>
      </c>
      <c r="B2327" s="19" t="s">
        <v>2054</v>
      </c>
      <c r="C2327" s="19" t="s">
        <v>2055</v>
      </c>
      <c r="D2327" s="19">
        <v>0</v>
      </c>
      <c r="E2327" s="19" t="s">
        <v>78</v>
      </c>
      <c r="F2327" s="19" t="s">
        <v>79</v>
      </c>
      <c r="G2327" s="19" t="s">
        <v>32</v>
      </c>
      <c r="H2327" s="19" t="s">
        <v>63</v>
      </c>
      <c r="I2327" s="19" t="s">
        <v>64</v>
      </c>
      <c r="J2327" s="19">
        <v>25</v>
      </c>
      <c r="K2327" s="19">
        <v>1.8599999999999998E-2</v>
      </c>
      <c r="L2327" s="19" t="s">
        <v>35</v>
      </c>
      <c r="M2327" s="19" t="s">
        <v>110</v>
      </c>
      <c r="N2327" s="19">
        <v>0</v>
      </c>
      <c r="O2327" s="19">
        <v>0</v>
      </c>
      <c r="P2327" s="19">
        <v>0</v>
      </c>
      <c r="Q2327" s="19">
        <v>0</v>
      </c>
      <c r="R2327" s="19" t="s">
        <v>1075</v>
      </c>
      <c r="S2327" s="19">
        <v>1</v>
      </c>
      <c r="T2327" s="19">
        <v>1</v>
      </c>
      <c r="U2327" s="19">
        <v>0</v>
      </c>
      <c r="V2327" s="19" t="s">
        <v>80</v>
      </c>
      <c r="W2327" s="19">
        <v>0</v>
      </c>
      <c r="Y2327" s="19" t="s">
        <v>110</v>
      </c>
      <c r="Z2327" s="19">
        <v>16.664999999999999</v>
      </c>
      <c r="AA2327" s="19">
        <v>0</v>
      </c>
    </row>
    <row r="2328" spans="1:27" x14ac:dyDescent="0.25">
      <c r="A2328" s="19" t="s">
        <v>2080</v>
      </c>
      <c r="B2328" s="19" t="s">
        <v>2054</v>
      </c>
      <c r="C2328" s="19" t="s">
        <v>2055</v>
      </c>
      <c r="D2328" s="19">
        <v>0</v>
      </c>
      <c r="E2328" s="19" t="s">
        <v>85</v>
      </c>
      <c r="F2328" s="19" t="s">
        <v>86</v>
      </c>
      <c r="G2328" s="19" t="s">
        <v>32</v>
      </c>
      <c r="H2328" s="19" t="s">
        <v>87</v>
      </c>
      <c r="I2328" s="19" t="s">
        <v>88</v>
      </c>
      <c r="J2328" s="19">
        <v>35</v>
      </c>
      <c r="K2328" s="19">
        <v>3.2500000000000001E-2</v>
      </c>
      <c r="L2328" s="19" t="s">
        <v>35</v>
      </c>
      <c r="N2328" s="19">
        <v>0</v>
      </c>
      <c r="O2328" s="19">
        <v>0</v>
      </c>
      <c r="P2328" s="19">
        <v>0</v>
      </c>
      <c r="Q2328" s="19">
        <v>0</v>
      </c>
      <c r="R2328" s="19" t="s">
        <v>1075</v>
      </c>
      <c r="S2328" s="19">
        <v>1</v>
      </c>
      <c r="T2328" s="19">
        <v>1</v>
      </c>
      <c r="U2328" s="19">
        <v>0</v>
      </c>
      <c r="V2328" s="19" t="s">
        <v>36</v>
      </c>
      <c r="W2328" s="19">
        <v>0</v>
      </c>
      <c r="Z2328" s="19">
        <v>0</v>
      </c>
      <c r="AA2328" s="19">
        <v>0</v>
      </c>
    </row>
    <row r="2329" spans="1:27" x14ac:dyDescent="0.25">
      <c r="A2329" s="19" t="s">
        <v>2081</v>
      </c>
      <c r="B2329" s="19" t="s">
        <v>2054</v>
      </c>
      <c r="C2329" s="19" t="s">
        <v>2055</v>
      </c>
      <c r="D2329" s="19">
        <v>0</v>
      </c>
      <c r="E2329" s="19" t="s">
        <v>93</v>
      </c>
      <c r="F2329" s="19" t="s">
        <v>94</v>
      </c>
      <c r="G2329" s="19" t="s">
        <v>32</v>
      </c>
      <c r="H2329" s="19" t="s">
        <v>87</v>
      </c>
      <c r="I2329" s="19" t="s">
        <v>88</v>
      </c>
      <c r="J2329" s="19">
        <v>34</v>
      </c>
      <c r="K2329" s="19">
        <v>3.2500000000000001E-2</v>
      </c>
      <c r="L2329" s="19" t="s">
        <v>35</v>
      </c>
      <c r="M2329" s="19" t="s">
        <v>110</v>
      </c>
      <c r="N2329" s="19">
        <v>0</v>
      </c>
      <c r="O2329" s="19">
        <v>0</v>
      </c>
      <c r="P2329" s="19">
        <v>0</v>
      </c>
      <c r="Q2329" s="19">
        <v>0</v>
      </c>
      <c r="R2329" s="19" t="s">
        <v>1075</v>
      </c>
      <c r="S2329" s="19">
        <v>1</v>
      </c>
      <c r="T2329" s="19">
        <v>1</v>
      </c>
      <c r="U2329" s="19">
        <v>0</v>
      </c>
      <c r="V2329" s="19" t="s">
        <v>80</v>
      </c>
      <c r="W2329" s="19">
        <v>0</v>
      </c>
      <c r="Y2329" s="19" t="s">
        <v>110</v>
      </c>
      <c r="Z2329" s="19">
        <v>16.664999999999999</v>
      </c>
      <c r="AA2329" s="19">
        <v>0</v>
      </c>
    </row>
    <row r="2330" spans="1:27" x14ac:dyDescent="0.25">
      <c r="A2330" s="19" t="s">
        <v>2082</v>
      </c>
      <c r="B2330" s="19" t="s">
        <v>2054</v>
      </c>
      <c r="C2330" s="19" t="s">
        <v>2055</v>
      </c>
      <c r="D2330" s="19">
        <v>0</v>
      </c>
      <c r="E2330" s="19" t="s">
        <v>99</v>
      </c>
      <c r="F2330" s="19" t="s">
        <v>100</v>
      </c>
      <c r="G2330" s="19" t="s">
        <v>32</v>
      </c>
      <c r="H2330" s="19" t="s">
        <v>101</v>
      </c>
      <c r="I2330" s="19" t="s">
        <v>102</v>
      </c>
      <c r="J2330" s="19">
        <v>39</v>
      </c>
      <c r="K2330" s="19">
        <v>4.3299999999999998E-2</v>
      </c>
      <c r="L2330" s="19" t="s">
        <v>35</v>
      </c>
      <c r="M2330" s="19" t="s">
        <v>103</v>
      </c>
      <c r="N2330" s="19">
        <v>0</v>
      </c>
      <c r="O2330" s="19">
        <v>0</v>
      </c>
      <c r="P2330" s="19">
        <v>0</v>
      </c>
      <c r="Q2330" s="19">
        <v>0</v>
      </c>
      <c r="R2330" s="19" t="s">
        <v>1075</v>
      </c>
      <c r="S2330" s="19">
        <v>1</v>
      </c>
      <c r="T2330" s="19">
        <v>1</v>
      </c>
      <c r="U2330" s="19">
        <v>0</v>
      </c>
      <c r="V2330" s="19" t="s">
        <v>36</v>
      </c>
      <c r="W2330" s="19">
        <v>0</v>
      </c>
      <c r="Y2330" s="19" t="s">
        <v>103</v>
      </c>
      <c r="Z2330" s="19">
        <v>50</v>
      </c>
      <c r="AA2330" s="19">
        <v>0</v>
      </c>
    </row>
    <row r="2331" spans="1:27" x14ac:dyDescent="0.25">
      <c r="A2331" s="19" t="s">
        <v>2083</v>
      </c>
      <c r="B2331" s="19" t="s">
        <v>2054</v>
      </c>
      <c r="C2331" s="19" t="s">
        <v>2055</v>
      </c>
      <c r="D2331" s="19">
        <v>0</v>
      </c>
      <c r="E2331" s="19" t="s">
        <v>105</v>
      </c>
      <c r="F2331" s="19" t="s">
        <v>106</v>
      </c>
      <c r="G2331" s="19" t="s">
        <v>32</v>
      </c>
      <c r="H2331" s="19" t="s">
        <v>101</v>
      </c>
      <c r="I2331" s="19" t="s">
        <v>102</v>
      </c>
      <c r="J2331" s="19">
        <v>38</v>
      </c>
      <c r="K2331" s="19">
        <v>4.3299999999999998E-2</v>
      </c>
      <c r="L2331" s="19" t="s">
        <v>35</v>
      </c>
      <c r="M2331" s="19" t="s">
        <v>103</v>
      </c>
      <c r="N2331" s="19">
        <v>0</v>
      </c>
      <c r="O2331" s="19">
        <v>0</v>
      </c>
      <c r="P2331" s="19">
        <v>0</v>
      </c>
      <c r="Q2331" s="19">
        <v>0</v>
      </c>
      <c r="R2331" s="19" t="s">
        <v>1075</v>
      </c>
      <c r="S2331" s="19">
        <v>1</v>
      </c>
      <c r="T2331" s="19">
        <v>1</v>
      </c>
      <c r="U2331" s="19">
        <v>0</v>
      </c>
      <c r="V2331" s="19" t="s">
        <v>80</v>
      </c>
      <c r="W2331" s="19">
        <v>0</v>
      </c>
      <c r="Y2331" s="19" t="s">
        <v>103</v>
      </c>
      <c r="Z2331" s="19">
        <v>50</v>
      </c>
      <c r="AA2331" s="19">
        <v>0</v>
      </c>
    </row>
    <row r="2332" spans="1:27" x14ac:dyDescent="0.25">
      <c r="A2332" s="19" t="s">
        <v>2084</v>
      </c>
      <c r="B2332" s="19" t="s">
        <v>2054</v>
      </c>
      <c r="C2332" s="19" t="s">
        <v>2055</v>
      </c>
      <c r="D2332" s="19">
        <v>0</v>
      </c>
      <c r="E2332" s="19" t="s">
        <v>108</v>
      </c>
      <c r="F2332" s="19" t="s">
        <v>109</v>
      </c>
      <c r="G2332" s="19" t="s">
        <v>32</v>
      </c>
      <c r="H2332" s="19" t="s">
        <v>101</v>
      </c>
      <c r="I2332" s="19" t="s">
        <v>102</v>
      </c>
      <c r="J2332" s="19">
        <v>37</v>
      </c>
      <c r="K2332" s="19">
        <v>4.3299999999999998E-2</v>
      </c>
      <c r="L2332" s="19" t="s">
        <v>35</v>
      </c>
      <c r="M2332" s="19" t="s">
        <v>40</v>
      </c>
      <c r="N2332" s="19">
        <v>0</v>
      </c>
      <c r="O2332" s="19">
        <v>0</v>
      </c>
      <c r="P2332" s="19">
        <v>0</v>
      </c>
      <c r="Q2332" s="19">
        <v>0</v>
      </c>
      <c r="R2332" s="19" t="s">
        <v>1075</v>
      </c>
      <c r="S2332" s="19">
        <v>1</v>
      </c>
      <c r="T2332" s="19">
        <v>1</v>
      </c>
      <c r="U2332" s="19">
        <v>0</v>
      </c>
      <c r="V2332" s="19" t="s">
        <v>80</v>
      </c>
      <c r="W2332" s="19">
        <v>0</v>
      </c>
      <c r="Y2332" s="19" t="s">
        <v>40</v>
      </c>
      <c r="Z2332" s="19">
        <v>33.33</v>
      </c>
      <c r="AA2332" s="19">
        <v>0</v>
      </c>
    </row>
    <row r="2333" spans="1:27" x14ac:dyDescent="0.25">
      <c r="A2333" s="19" t="s">
        <v>2085</v>
      </c>
      <c r="B2333" s="19" t="s">
        <v>2054</v>
      </c>
      <c r="C2333" s="19" t="s">
        <v>2055</v>
      </c>
      <c r="D2333" s="19">
        <v>0</v>
      </c>
      <c r="E2333" s="19" t="s">
        <v>112</v>
      </c>
      <c r="F2333" s="19" t="s">
        <v>113</v>
      </c>
      <c r="G2333" s="19" t="s">
        <v>32</v>
      </c>
      <c r="H2333" s="19" t="s">
        <v>114</v>
      </c>
      <c r="I2333" s="19" t="s">
        <v>115</v>
      </c>
      <c r="J2333" s="19">
        <v>30</v>
      </c>
      <c r="K2333" s="19">
        <v>2.1700000000000001E-2</v>
      </c>
      <c r="L2333" s="19" t="s">
        <v>35</v>
      </c>
      <c r="M2333" s="19" t="s">
        <v>103</v>
      </c>
      <c r="N2333" s="19">
        <v>0</v>
      </c>
      <c r="O2333" s="19">
        <v>0</v>
      </c>
      <c r="P2333" s="19">
        <v>0</v>
      </c>
      <c r="Q2333" s="19">
        <v>0</v>
      </c>
      <c r="R2333" s="19" t="s">
        <v>1075</v>
      </c>
      <c r="S2333" s="19">
        <v>1</v>
      </c>
      <c r="T2333" s="19">
        <v>1</v>
      </c>
      <c r="U2333" s="19">
        <v>0</v>
      </c>
      <c r="V2333" s="19" t="s">
        <v>36</v>
      </c>
      <c r="W2333" s="19">
        <v>0</v>
      </c>
      <c r="Y2333" s="19" t="s">
        <v>103</v>
      </c>
      <c r="Z2333" s="19">
        <v>50</v>
      </c>
      <c r="AA2333" s="19">
        <v>0</v>
      </c>
    </row>
    <row r="2334" spans="1:27" x14ac:dyDescent="0.25">
      <c r="A2334" s="19" t="s">
        <v>2086</v>
      </c>
      <c r="B2334" s="19" t="s">
        <v>2054</v>
      </c>
      <c r="C2334" s="19" t="s">
        <v>2055</v>
      </c>
      <c r="D2334" s="19">
        <v>0</v>
      </c>
      <c r="E2334" s="19" t="s">
        <v>117</v>
      </c>
      <c r="F2334" s="19" t="s">
        <v>118</v>
      </c>
      <c r="G2334" s="19" t="s">
        <v>32</v>
      </c>
      <c r="H2334" s="19" t="s">
        <v>114</v>
      </c>
      <c r="I2334" s="19" t="s">
        <v>115</v>
      </c>
      <c r="J2334" s="19">
        <v>31</v>
      </c>
      <c r="K2334" s="19">
        <v>2.1700000000000001E-2</v>
      </c>
      <c r="L2334" s="19" t="s">
        <v>35</v>
      </c>
      <c r="M2334" s="19" t="s">
        <v>103</v>
      </c>
      <c r="N2334" s="19">
        <v>0</v>
      </c>
      <c r="O2334" s="19">
        <v>0</v>
      </c>
      <c r="P2334" s="19">
        <v>0</v>
      </c>
      <c r="Q2334" s="19">
        <v>0</v>
      </c>
      <c r="R2334" s="19" t="s">
        <v>1075</v>
      </c>
      <c r="S2334" s="19">
        <v>1</v>
      </c>
      <c r="T2334" s="19">
        <v>1</v>
      </c>
      <c r="U2334" s="19">
        <v>0</v>
      </c>
      <c r="V2334" s="19" t="s">
        <v>36</v>
      </c>
      <c r="W2334" s="19">
        <v>0</v>
      </c>
      <c r="Y2334" s="19" t="s">
        <v>103</v>
      </c>
      <c r="Z2334" s="19">
        <v>50</v>
      </c>
      <c r="AA2334" s="19">
        <v>0</v>
      </c>
    </row>
    <row r="2335" spans="1:27" x14ac:dyDescent="0.25">
      <c r="A2335" s="19" t="s">
        <v>2087</v>
      </c>
      <c r="B2335" s="19" t="s">
        <v>2054</v>
      </c>
      <c r="C2335" s="19" t="s">
        <v>2055</v>
      </c>
      <c r="D2335" s="19">
        <v>0</v>
      </c>
      <c r="E2335" s="19" t="s">
        <v>120</v>
      </c>
      <c r="F2335" s="19" t="s">
        <v>121</v>
      </c>
      <c r="G2335" s="19" t="s">
        <v>32</v>
      </c>
      <c r="H2335" s="19" t="s">
        <v>114</v>
      </c>
      <c r="I2335" s="19" t="s">
        <v>115</v>
      </c>
      <c r="J2335" s="19">
        <v>28</v>
      </c>
      <c r="K2335" s="19">
        <v>2.1700000000000001E-2</v>
      </c>
      <c r="L2335" s="19" t="s">
        <v>35</v>
      </c>
      <c r="M2335" s="19" t="s">
        <v>103</v>
      </c>
      <c r="N2335" s="19">
        <v>0</v>
      </c>
      <c r="O2335" s="19">
        <v>0</v>
      </c>
      <c r="P2335" s="19">
        <v>0</v>
      </c>
      <c r="Q2335" s="19">
        <v>0</v>
      </c>
      <c r="R2335" s="19" t="s">
        <v>1075</v>
      </c>
      <c r="S2335" s="19">
        <v>1</v>
      </c>
      <c r="T2335" s="19">
        <v>1</v>
      </c>
      <c r="U2335" s="19">
        <v>0</v>
      </c>
      <c r="V2335" s="19" t="s">
        <v>36</v>
      </c>
      <c r="W2335" s="19">
        <v>0</v>
      </c>
      <c r="Y2335" s="19" t="s">
        <v>103</v>
      </c>
      <c r="Z2335" s="19">
        <v>50</v>
      </c>
      <c r="AA2335" s="19">
        <v>0</v>
      </c>
    </row>
    <row r="2336" spans="1:27" x14ac:dyDescent="0.25">
      <c r="A2336" s="19" t="s">
        <v>2088</v>
      </c>
      <c r="B2336" s="19" t="s">
        <v>2054</v>
      </c>
      <c r="C2336" s="19" t="s">
        <v>2055</v>
      </c>
      <c r="D2336" s="19">
        <v>1.085</v>
      </c>
      <c r="E2336" s="19" t="s">
        <v>123</v>
      </c>
      <c r="F2336" s="19" t="s">
        <v>124</v>
      </c>
      <c r="G2336" s="19" t="s">
        <v>32</v>
      </c>
      <c r="H2336" s="19" t="s">
        <v>114</v>
      </c>
      <c r="I2336" s="19" t="s">
        <v>115</v>
      </c>
      <c r="J2336" s="19">
        <v>27</v>
      </c>
      <c r="K2336" s="19">
        <v>2.1700000000000001E-2</v>
      </c>
      <c r="L2336" s="19" t="s">
        <v>35</v>
      </c>
      <c r="M2336" s="19" t="s">
        <v>103</v>
      </c>
      <c r="N2336" s="19">
        <v>50</v>
      </c>
      <c r="O2336" s="19">
        <v>50</v>
      </c>
      <c r="P2336" s="19">
        <v>0</v>
      </c>
      <c r="Q2336" s="19">
        <v>0</v>
      </c>
      <c r="R2336" s="19" t="s">
        <v>1075</v>
      </c>
      <c r="S2336" s="19">
        <v>1</v>
      </c>
      <c r="T2336" s="19">
        <v>1</v>
      </c>
      <c r="U2336" s="19">
        <v>0</v>
      </c>
      <c r="V2336" s="19" t="s">
        <v>41</v>
      </c>
      <c r="W2336" s="19">
        <v>1</v>
      </c>
      <c r="Y2336" s="19" t="s">
        <v>103</v>
      </c>
      <c r="Z2336" s="19">
        <v>50</v>
      </c>
      <c r="AA2336" s="19">
        <v>50</v>
      </c>
    </row>
    <row r="2337" spans="1:27" x14ac:dyDescent="0.25">
      <c r="A2337" s="19" t="s">
        <v>2089</v>
      </c>
      <c r="B2337" s="19" t="s">
        <v>2054</v>
      </c>
      <c r="C2337" s="19" t="s">
        <v>2055</v>
      </c>
      <c r="D2337" s="19">
        <v>0</v>
      </c>
      <c r="E2337" s="19" t="s">
        <v>126</v>
      </c>
      <c r="F2337" s="19" t="s">
        <v>127</v>
      </c>
      <c r="G2337" s="19" t="s">
        <v>32</v>
      </c>
      <c r="H2337" s="19" t="s">
        <v>114</v>
      </c>
      <c r="I2337" s="19" t="s">
        <v>115</v>
      </c>
      <c r="J2337" s="19">
        <v>29</v>
      </c>
      <c r="K2337" s="19">
        <v>2.1700000000000001E-2</v>
      </c>
      <c r="L2337" s="19" t="s">
        <v>35</v>
      </c>
      <c r="M2337" s="19" t="s">
        <v>103</v>
      </c>
      <c r="N2337" s="19">
        <v>0</v>
      </c>
      <c r="O2337" s="19">
        <v>0</v>
      </c>
      <c r="P2337" s="19">
        <v>0</v>
      </c>
      <c r="Q2337" s="19">
        <v>0</v>
      </c>
      <c r="R2337" s="19" t="s">
        <v>1075</v>
      </c>
      <c r="S2337" s="19">
        <v>1</v>
      </c>
      <c r="T2337" s="19">
        <v>1</v>
      </c>
      <c r="U2337" s="19">
        <v>0</v>
      </c>
      <c r="V2337" s="19" t="s">
        <v>80</v>
      </c>
      <c r="W2337" s="19">
        <v>0</v>
      </c>
      <c r="Y2337" s="19" t="s">
        <v>103</v>
      </c>
      <c r="Z2337" s="19">
        <v>50</v>
      </c>
      <c r="AA2337" s="19">
        <v>0</v>
      </c>
    </row>
    <row r="2338" spans="1:27" x14ac:dyDescent="0.25">
      <c r="A2338" s="19" t="s">
        <v>2090</v>
      </c>
      <c r="B2338" s="19" t="s">
        <v>2054</v>
      </c>
      <c r="C2338" s="19" t="s">
        <v>2055</v>
      </c>
      <c r="D2338" s="19">
        <v>1.085</v>
      </c>
      <c r="E2338" s="19" t="s">
        <v>129</v>
      </c>
      <c r="F2338" s="19" t="s">
        <v>130</v>
      </c>
      <c r="G2338" s="19" t="s">
        <v>32</v>
      </c>
      <c r="H2338" s="19" t="s">
        <v>114</v>
      </c>
      <c r="I2338" s="19" t="s">
        <v>115</v>
      </c>
      <c r="J2338" s="19">
        <v>32</v>
      </c>
      <c r="K2338" s="19">
        <v>2.1700000000000001E-2</v>
      </c>
      <c r="L2338" s="19" t="s">
        <v>35</v>
      </c>
      <c r="M2338" s="19" t="s">
        <v>103</v>
      </c>
      <c r="N2338" s="19">
        <v>50</v>
      </c>
      <c r="O2338" s="19">
        <v>50</v>
      </c>
      <c r="P2338" s="19">
        <v>0</v>
      </c>
      <c r="Q2338" s="19">
        <v>0</v>
      </c>
      <c r="R2338" s="19" t="s">
        <v>1075</v>
      </c>
      <c r="S2338" s="19">
        <v>1</v>
      </c>
      <c r="T2338" s="19">
        <v>1</v>
      </c>
      <c r="U2338" s="19">
        <v>0</v>
      </c>
      <c r="V2338" s="19" t="s">
        <v>41</v>
      </c>
      <c r="W2338" s="19">
        <v>1</v>
      </c>
      <c r="Y2338" s="19" t="s">
        <v>103</v>
      </c>
      <c r="Z2338" s="19">
        <v>50</v>
      </c>
      <c r="AA2338" s="19">
        <v>50</v>
      </c>
    </row>
    <row r="2339" spans="1:27" x14ac:dyDescent="0.25">
      <c r="A2339" s="19" t="s">
        <v>2091</v>
      </c>
      <c r="B2339" s="19" t="s">
        <v>2054</v>
      </c>
      <c r="C2339" s="19" t="s">
        <v>2055</v>
      </c>
      <c r="D2339" s="19">
        <v>2.2197779999999998</v>
      </c>
      <c r="E2339" s="19" t="s">
        <v>161</v>
      </c>
      <c r="F2339" s="19" t="s">
        <v>162</v>
      </c>
      <c r="G2339" s="19" t="s">
        <v>163</v>
      </c>
      <c r="I2339" s="19" t="s">
        <v>164</v>
      </c>
      <c r="J2339" s="19">
        <v>1</v>
      </c>
      <c r="K2339" s="19">
        <v>3.3300000000000003E-2</v>
      </c>
      <c r="L2339" s="19" t="s">
        <v>35</v>
      </c>
      <c r="M2339" s="19" t="s">
        <v>165</v>
      </c>
      <c r="N2339" s="19">
        <v>66.66</v>
      </c>
      <c r="O2339" s="19">
        <v>66.66</v>
      </c>
      <c r="P2339" s="19">
        <v>0</v>
      </c>
      <c r="Q2339" s="19">
        <v>0</v>
      </c>
      <c r="R2339" s="19" t="s">
        <v>1075</v>
      </c>
      <c r="S2339" s="19">
        <v>1</v>
      </c>
      <c r="T2339" s="19">
        <v>1</v>
      </c>
      <c r="U2339" s="19">
        <v>0</v>
      </c>
      <c r="W2339" s="19">
        <v>0</v>
      </c>
      <c r="X2339" s="19">
        <v>66.66</v>
      </c>
      <c r="Z2339" s="19">
        <v>0</v>
      </c>
      <c r="AA2339" s="19">
        <v>66.66</v>
      </c>
    </row>
    <row r="2340" spans="1:27" x14ac:dyDescent="0.25">
      <c r="A2340" s="19" t="s">
        <v>2092</v>
      </c>
      <c r="B2340" s="19" t="s">
        <v>2054</v>
      </c>
      <c r="C2340" s="19" t="s">
        <v>2055</v>
      </c>
      <c r="D2340" s="19">
        <v>0</v>
      </c>
      <c r="E2340" s="19" t="s">
        <v>167</v>
      </c>
      <c r="F2340" s="19" t="s">
        <v>168</v>
      </c>
      <c r="G2340" s="19" t="s">
        <v>163</v>
      </c>
      <c r="I2340" s="19" t="s">
        <v>164</v>
      </c>
      <c r="J2340" s="19">
        <v>3</v>
      </c>
      <c r="K2340" s="19">
        <v>3.3300000000000003E-2</v>
      </c>
      <c r="L2340" s="19" t="s">
        <v>35</v>
      </c>
      <c r="M2340" s="19" t="s">
        <v>165</v>
      </c>
      <c r="N2340" s="19">
        <v>0</v>
      </c>
      <c r="O2340" s="19">
        <v>0</v>
      </c>
      <c r="P2340" s="19">
        <v>0</v>
      </c>
      <c r="Q2340" s="19">
        <v>0</v>
      </c>
      <c r="R2340" s="19" t="s">
        <v>1075</v>
      </c>
      <c r="S2340" s="19">
        <v>1</v>
      </c>
      <c r="T2340" s="19">
        <v>1</v>
      </c>
      <c r="U2340" s="19">
        <v>0</v>
      </c>
      <c r="W2340" s="19">
        <v>0</v>
      </c>
      <c r="X2340" s="19">
        <v>0</v>
      </c>
      <c r="Z2340" s="19">
        <v>0</v>
      </c>
      <c r="AA2340" s="19">
        <v>0</v>
      </c>
    </row>
    <row r="2341" spans="1:27" x14ac:dyDescent="0.25">
      <c r="A2341" s="19" t="s">
        <v>2093</v>
      </c>
      <c r="B2341" s="19" t="s">
        <v>2054</v>
      </c>
      <c r="C2341" s="19" t="s">
        <v>2055</v>
      </c>
      <c r="D2341" s="19">
        <v>1.0323</v>
      </c>
      <c r="E2341" s="19" t="s">
        <v>170</v>
      </c>
      <c r="F2341" s="19" t="s">
        <v>171</v>
      </c>
      <c r="G2341" s="19" t="s">
        <v>163</v>
      </c>
      <c r="I2341" s="19" t="s">
        <v>164</v>
      </c>
      <c r="J2341" s="19">
        <v>2</v>
      </c>
      <c r="K2341" s="19">
        <v>3.3300000000000003E-2</v>
      </c>
      <c r="L2341" s="19" t="s">
        <v>35</v>
      </c>
      <c r="M2341" s="19" t="s">
        <v>165</v>
      </c>
      <c r="N2341" s="19">
        <v>31</v>
      </c>
      <c r="O2341" s="19">
        <v>31</v>
      </c>
      <c r="P2341" s="19">
        <v>0</v>
      </c>
      <c r="Q2341" s="19">
        <v>0</v>
      </c>
      <c r="R2341" s="19" t="s">
        <v>1075</v>
      </c>
      <c r="S2341" s="19">
        <v>1</v>
      </c>
      <c r="T2341" s="19">
        <v>1</v>
      </c>
      <c r="U2341" s="19">
        <v>0</v>
      </c>
      <c r="W2341" s="19">
        <v>0</v>
      </c>
      <c r="X2341" s="19">
        <v>31</v>
      </c>
      <c r="Z2341" s="19">
        <v>0</v>
      </c>
      <c r="AA2341" s="19">
        <v>31</v>
      </c>
    </row>
    <row r="2342" spans="1:27" x14ac:dyDescent="0.25">
      <c r="A2342" s="19" t="s">
        <v>2706</v>
      </c>
      <c r="B2342" s="19" t="s">
        <v>2707</v>
      </c>
      <c r="C2342" s="19">
        <v>44002</v>
      </c>
      <c r="D2342" s="19">
        <v>1.54849999999999</v>
      </c>
      <c r="E2342" s="19" t="s">
        <v>30</v>
      </c>
      <c r="F2342" s="19" t="s">
        <v>31</v>
      </c>
      <c r="G2342" s="19" t="s">
        <v>32</v>
      </c>
      <c r="H2342" s="19" t="s">
        <v>33</v>
      </c>
      <c r="I2342" s="19" t="s">
        <v>34</v>
      </c>
      <c r="J2342" s="19">
        <v>17</v>
      </c>
      <c r="K2342" s="19">
        <v>1.6299999999999999E-2</v>
      </c>
      <c r="L2342" s="19" t="s">
        <v>541</v>
      </c>
      <c r="M2342" s="19" t="s">
        <v>541</v>
      </c>
      <c r="N2342" s="19">
        <v>50</v>
      </c>
      <c r="O2342" s="19">
        <v>95</v>
      </c>
      <c r="P2342" s="19">
        <v>100</v>
      </c>
      <c r="Q2342" s="19">
        <v>50</v>
      </c>
      <c r="R2342" s="19" t="s">
        <v>870</v>
      </c>
      <c r="S2342" s="19">
        <v>0.9</v>
      </c>
      <c r="T2342" s="19">
        <v>0.9</v>
      </c>
      <c r="U2342" s="19">
        <v>45</v>
      </c>
      <c r="AA2342" s="19">
        <v>0</v>
      </c>
    </row>
    <row r="2343" spans="1:27" x14ac:dyDescent="0.25">
      <c r="A2343" s="19" t="s">
        <v>2708</v>
      </c>
      <c r="B2343" s="19" t="s">
        <v>2707</v>
      </c>
      <c r="C2343" s="19">
        <v>44002</v>
      </c>
      <c r="D2343" s="19">
        <v>1.54849999999999</v>
      </c>
      <c r="E2343" s="19" t="s">
        <v>38</v>
      </c>
      <c r="F2343" s="19" t="s">
        <v>39</v>
      </c>
      <c r="G2343" s="19" t="s">
        <v>32</v>
      </c>
      <c r="H2343" s="19" t="s">
        <v>33</v>
      </c>
      <c r="I2343" s="19" t="s">
        <v>34</v>
      </c>
      <c r="J2343" s="19">
        <v>19</v>
      </c>
      <c r="K2343" s="19">
        <v>1.6299999999999999E-2</v>
      </c>
      <c r="L2343" s="19" t="s">
        <v>541</v>
      </c>
      <c r="M2343" s="19" t="s">
        <v>541</v>
      </c>
      <c r="N2343" s="19">
        <v>50</v>
      </c>
      <c r="O2343" s="19">
        <v>95</v>
      </c>
      <c r="P2343" s="19">
        <v>100</v>
      </c>
      <c r="Q2343" s="19">
        <v>50</v>
      </c>
      <c r="R2343" s="19" t="s">
        <v>870</v>
      </c>
      <c r="S2343" s="19">
        <v>0.9</v>
      </c>
      <c r="T2343" s="19">
        <v>0.9</v>
      </c>
      <c r="U2343" s="19">
        <v>45</v>
      </c>
      <c r="AA2343" s="19">
        <v>0</v>
      </c>
    </row>
    <row r="2344" spans="1:27" x14ac:dyDescent="0.25">
      <c r="A2344" s="19" t="s">
        <v>2709</v>
      </c>
      <c r="B2344" s="19" t="s">
        <v>2707</v>
      </c>
      <c r="C2344" s="19">
        <v>44002</v>
      </c>
      <c r="D2344" s="19">
        <v>1.54849999999999</v>
      </c>
      <c r="E2344" s="19" t="s">
        <v>43</v>
      </c>
      <c r="F2344" s="19" t="s">
        <v>44</v>
      </c>
      <c r="G2344" s="19" t="s">
        <v>32</v>
      </c>
      <c r="H2344" s="19" t="s">
        <v>33</v>
      </c>
      <c r="I2344" s="19" t="s">
        <v>34</v>
      </c>
      <c r="J2344" s="19">
        <v>18</v>
      </c>
      <c r="K2344" s="19">
        <v>1.6299999999999999E-2</v>
      </c>
      <c r="L2344" s="19" t="s">
        <v>541</v>
      </c>
      <c r="M2344" s="19" t="s">
        <v>541</v>
      </c>
      <c r="N2344" s="19">
        <v>50</v>
      </c>
      <c r="O2344" s="19">
        <v>95</v>
      </c>
      <c r="P2344" s="19">
        <v>100</v>
      </c>
      <c r="Q2344" s="19">
        <v>50</v>
      </c>
      <c r="R2344" s="19" t="s">
        <v>870</v>
      </c>
      <c r="S2344" s="19">
        <v>0.9</v>
      </c>
      <c r="T2344" s="19">
        <v>0.9</v>
      </c>
      <c r="U2344" s="19">
        <v>45</v>
      </c>
      <c r="AA2344" s="19">
        <v>0</v>
      </c>
    </row>
    <row r="2345" spans="1:27" x14ac:dyDescent="0.25">
      <c r="A2345" s="19" t="s">
        <v>2710</v>
      </c>
      <c r="B2345" s="19" t="s">
        <v>2707</v>
      </c>
      <c r="C2345" s="19">
        <v>44002</v>
      </c>
      <c r="D2345" s="19">
        <v>1.5465049864007201</v>
      </c>
      <c r="E2345" s="19" t="s">
        <v>46</v>
      </c>
      <c r="F2345" s="19" t="s">
        <v>47</v>
      </c>
      <c r="G2345" s="19" t="s">
        <v>32</v>
      </c>
      <c r="H2345" s="19" t="s">
        <v>33</v>
      </c>
      <c r="I2345" s="19" t="s">
        <v>34</v>
      </c>
      <c r="J2345" s="19">
        <v>15</v>
      </c>
      <c r="K2345" s="19">
        <v>1.6299999999999999E-2</v>
      </c>
      <c r="L2345" s="19" t="s">
        <v>541</v>
      </c>
      <c r="M2345" s="19" t="s">
        <v>541</v>
      </c>
      <c r="N2345" s="19">
        <v>50</v>
      </c>
      <c r="O2345" s="19">
        <v>94.877606527699996</v>
      </c>
      <c r="P2345" s="19">
        <v>99.728014505900006</v>
      </c>
      <c r="Q2345" s="19">
        <v>49.864007252900002</v>
      </c>
      <c r="R2345" s="19" t="s">
        <v>870</v>
      </c>
      <c r="S2345" s="19">
        <v>0.9</v>
      </c>
      <c r="T2345" s="19">
        <v>0.9</v>
      </c>
      <c r="U2345" s="19">
        <v>44.877606527700003</v>
      </c>
      <c r="AA2345" s="19">
        <v>0</v>
      </c>
    </row>
    <row r="2346" spans="1:27" x14ac:dyDescent="0.25">
      <c r="A2346" s="19" t="s">
        <v>2711</v>
      </c>
      <c r="B2346" s="19" t="s">
        <v>2707</v>
      </c>
      <c r="C2346" s="19">
        <v>44002</v>
      </c>
      <c r="D2346" s="19">
        <v>1.54849999999999</v>
      </c>
      <c r="E2346" s="19" t="s">
        <v>49</v>
      </c>
      <c r="F2346" s="19" t="s">
        <v>50</v>
      </c>
      <c r="G2346" s="19" t="s">
        <v>32</v>
      </c>
      <c r="H2346" s="19" t="s">
        <v>33</v>
      </c>
      <c r="I2346" s="19" t="s">
        <v>34</v>
      </c>
      <c r="J2346" s="19">
        <v>12</v>
      </c>
      <c r="K2346" s="19">
        <v>1.6299999999999999E-2</v>
      </c>
      <c r="L2346" s="19" t="s">
        <v>541</v>
      </c>
      <c r="M2346" s="19" t="s">
        <v>541</v>
      </c>
      <c r="N2346" s="19">
        <v>50</v>
      </c>
      <c r="O2346" s="19">
        <v>95</v>
      </c>
      <c r="P2346" s="19">
        <v>100</v>
      </c>
      <c r="Q2346" s="19">
        <v>50</v>
      </c>
      <c r="R2346" s="19" t="s">
        <v>870</v>
      </c>
      <c r="S2346" s="19">
        <v>0.9</v>
      </c>
      <c r="T2346" s="19">
        <v>0.9</v>
      </c>
      <c r="U2346" s="19">
        <v>45</v>
      </c>
      <c r="AA2346" s="19">
        <v>0</v>
      </c>
    </row>
    <row r="2347" spans="1:27" x14ac:dyDescent="0.25">
      <c r="A2347" s="19" t="s">
        <v>2712</v>
      </c>
      <c r="B2347" s="19" t="s">
        <v>2707</v>
      </c>
      <c r="C2347" s="19">
        <v>44002</v>
      </c>
      <c r="D2347" s="19">
        <v>1.54849999999999</v>
      </c>
      <c r="E2347" s="19" t="s">
        <v>52</v>
      </c>
      <c r="F2347" s="19" t="s">
        <v>53</v>
      </c>
      <c r="G2347" s="19" t="s">
        <v>32</v>
      </c>
      <c r="H2347" s="19" t="s">
        <v>33</v>
      </c>
      <c r="I2347" s="19" t="s">
        <v>34</v>
      </c>
      <c r="J2347" s="19">
        <v>16</v>
      </c>
      <c r="K2347" s="19">
        <v>1.6299999999999999E-2</v>
      </c>
      <c r="L2347" s="19" t="s">
        <v>541</v>
      </c>
      <c r="M2347" s="19" t="s">
        <v>541</v>
      </c>
      <c r="N2347" s="19">
        <v>50</v>
      </c>
      <c r="O2347" s="19">
        <v>95</v>
      </c>
      <c r="P2347" s="19">
        <v>100</v>
      </c>
      <c r="Q2347" s="19">
        <v>50</v>
      </c>
      <c r="R2347" s="19" t="s">
        <v>870</v>
      </c>
      <c r="S2347" s="19">
        <v>0.9</v>
      </c>
      <c r="T2347" s="19">
        <v>0.9</v>
      </c>
      <c r="U2347" s="19">
        <v>45</v>
      </c>
      <c r="AA2347" s="19">
        <v>0</v>
      </c>
    </row>
    <row r="2348" spans="1:27" x14ac:dyDescent="0.25">
      <c r="A2348" s="19" t="s">
        <v>2713</v>
      </c>
      <c r="B2348" s="19" t="s">
        <v>2707</v>
      </c>
      <c r="C2348" s="19">
        <v>44002</v>
      </c>
      <c r="D2348" s="19">
        <v>1.53885743427017</v>
      </c>
      <c r="E2348" s="19" t="s">
        <v>55</v>
      </c>
      <c r="F2348" s="19" t="s">
        <v>56</v>
      </c>
      <c r="G2348" s="19" t="s">
        <v>32</v>
      </c>
      <c r="H2348" s="19" t="s">
        <v>33</v>
      </c>
      <c r="I2348" s="19" t="s">
        <v>34</v>
      </c>
      <c r="J2348" s="19">
        <v>14</v>
      </c>
      <c r="K2348" s="19">
        <v>1.6299999999999999E-2</v>
      </c>
      <c r="L2348" s="19" t="s">
        <v>541</v>
      </c>
      <c r="M2348" s="19" t="s">
        <v>541</v>
      </c>
      <c r="N2348" s="19">
        <v>50</v>
      </c>
      <c r="O2348" s="19">
        <v>94.408431550299994</v>
      </c>
      <c r="P2348" s="19">
        <v>98.685403445099993</v>
      </c>
      <c r="Q2348" s="19">
        <v>49.342701722599998</v>
      </c>
      <c r="R2348" s="19" t="s">
        <v>870</v>
      </c>
      <c r="S2348" s="19">
        <v>0.9</v>
      </c>
      <c r="T2348" s="19">
        <v>0.9</v>
      </c>
      <c r="U2348" s="19">
        <v>44.408431550300001</v>
      </c>
      <c r="AA2348" s="19">
        <v>0</v>
      </c>
    </row>
    <row r="2349" spans="1:27" x14ac:dyDescent="0.25">
      <c r="A2349" s="19" t="s">
        <v>2714</v>
      </c>
      <c r="B2349" s="19" t="s">
        <v>2707</v>
      </c>
      <c r="C2349" s="19">
        <v>44002</v>
      </c>
      <c r="D2349" s="19">
        <v>1.54849999999999</v>
      </c>
      <c r="E2349" s="19" t="s">
        <v>58</v>
      </c>
      <c r="F2349" s="19" t="s">
        <v>59</v>
      </c>
      <c r="G2349" s="19" t="s">
        <v>32</v>
      </c>
      <c r="H2349" s="19" t="s">
        <v>33</v>
      </c>
      <c r="I2349" s="19" t="s">
        <v>34</v>
      </c>
      <c r="J2349" s="19">
        <v>13</v>
      </c>
      <c r="K2349" s="19">
        <v>1.6299999999999999E-2</v>
      </c>
      <c r="L2349" s="19" t="s">
        <v>541</v>
      </c>
      <c r="M2349" s="19" t="s">
        <v>541</v>
      </c>
      <c r="N2349" s="19">
        <v>50</v>
      </c>
      <c r="O2349" s="19">
        <v>95</v>
      </c>
      <c r="P2349" s="19">
        <v>100</v>
      </c>
      <c r="Q2349" s="19">
        <v>50</v>
      </c>
      <c r="R2349" s="19" t="s">
        <v>870</v>
      </c>
      <c r="S2349" s="19">
        <v>0.9</v>
      </c>
      <c r="T2349" s="19">
        <v>0.9</v>
      </c>
      <c r="U2349" s="19">
        <v>45</v>
      </c>
      <c r="AA2349" s="19">
        <v>0</v>
      </c>
    </row>
    <row r="2350" spans="1:27" x14ac:dyDescent="0.25">
      <c r="A2350" s="19" t="s">
        <v>2715</v>
      </c>
      <c r="B2350" s="19" t="s">
        <v>2707</v>
      </c>
      <c r="C2350" s="19">
        <v>44002</v>
      </c>
      <c r="D2350" s="19">
        <v>1.7669999999999999</v>
      </c>
      <c r="E2350" s="19" t="s">
        <v>61</v>
      </c>
      <c r="F2350" s="19" t="s">
        <v>62</v>
      </c>
      <c r="G2350" s="19" t="s">
        <v>32</v>
      </c>
      <c r="H2350" s="19" t="s">
        <v>63</v>
      </c>
      <c r="I2350" s="19" t="s">
        <v>64</v>
      </c>
      <c r="J2350" s="19">
        <v>22</v>
      </c>
      <c r="K2350" s="19">
        <v>1.8599999999999998E-2</v>
      </c>
      <c r="L2350" s="19" t="s">
        <v>541</v>
      </c>
      <c r="M2350" s="19" t="s">
        <v>541</v>
      </c>
      <c r="N2350" s="19">
        <v>50</v>
      </c>
      <c r="O2350" s="19">
        <v>95</v>
      </c>
      <c r="P2350" s="19">
        <v>100</v>
      </c>
      <c r="Q2350" s="19">
        <v>50</v>
      </c>
      <c r="R2350" s="19" t="s">
        <v>870</v>
      </c>
      <c r="S2350" s="19">
        <v>0.9</v>
      </c>
      <c r="T2350" s="19">
        <v>0.9</v>
      </c>
      <c r="U2350" s="19">
        <v>45</v>
      </c>
      <c r="AA2350" s="19">
        <v>0</v>
      </c>
    </row>
    <row r="2351" spans="1:27" x14ac:dyDescent="0.25">
      <c r="A2351" s="19" t="s">
        <v>2716</v>
      </c>
      <c r="B2351" s="19" t="s">
        <v>2707</v>
      </c>
      <c r="C2351" s="19">
        <v>44002</v>
      </c>
      <c r="D2351" s="19">
        <v>1.7669999999999999</v>
      </c>
      <c r="E2351" s="19" t="s">
        <v>66</v>
      </c>
      <c r="F2351" s="19" t="s">
        <v>67</v>
      </c>
      <c r="G2351" s="19" t="s">
        <v>32</v>
      </c>
      <c r="H2351" s="19" t="s">
        <v>63</v>
      </c>
      <c r="I2351" s="19" t="s">
        <v>64</v>
      </c>
      <c r="J2351" s="19">
        <v>20</v>
      </c>
      <c r="K2351" s="19">
        <v>1.8599999999999998E-2</v>
      </c>
      <c r="L2351" s="19" t="s">
        <v>541</v>
      </c>
      <c r="M2351" s="19" t="s">
        <v>541</v>
      </c>
      <c r="N2351" s="19">
        <v>50</v>
      </c>
      <c r="O2351" s="19">
        <v>95</v>
      </c>
      <c r="P2351" s="19">
        <v>100</v>
      </c>
      <c r="Q2351" s="19">
        <v>50</v>
      </c>
      <c r="R2351" s="19" t="s">
        <v>870</v>
      </c>
      <c r="S2351" s="19">
        <v>0.9</v>
      </c>
      <c r="T2351" s="19">
        <v>0.9</v>
      </c>
      <c r="U2351" s="19">
        <v>45</v>
      </c>
      <c r="AA2351" s="19">
        <v>0</v>
      </c>
    </row>
    <row r="2352" spans="1:27" x14ac:dyDescent="0.25">
      <c r="A2352" s="19" t="s">
        <v>2717</v>
      </c>
      <c r="B2352" s="19" t="s">
        <v>2707</v>
      </c>
      <c r="C2352" s="19">
        <v>44002</v>
      </c>
      <c r="D2352" s="19">
        <v>1.7669999999999999</v>
      </c>
      <c r="E2352" s="19" t="s">
        <v>69</v>
      </c>
      <c r="F2352" s="19" t="s">
        <v>70</v>
      </c>
      <c r="G2352" s="19" t="s">
        <v>32</v>
      </c>
      <c r="H2352" s="19" t="s">
        <v>63</v>
      </c>
      <c r="I2352" s="19" t="s">
        <v>64</v>
      </c>
      <c r="J2352" s="19">
        <v>23</v>
      </c>
      <c r="K2352" s="19">
        <v>1.8599999999999998E-2</v>
      </c>
      <c r="L2352" s="19" t="s">
        <v>541</v>
      </c>
      <c r="M2352" s="19" t="s">
        <v>541</v>
      </c>
      <c r="N2352" s="19">
        <v>50</v>
      </c>
      <c r="O2352" s="19">
        <v>95</v>
      </c>
      <c r="P2352" s="19">
        <v>100</v>
      </c>
      <c r="Q2352" s="19">
        <v>50</v>
      </c>
      <c r="R2352" s="19" t="s">
        <v>870</v>
      </c>
      <c r="S2352" s="19">
        <v>0.9</v>
      </c>
      <c r="T2352" s="19">
        <v>0.9</v>
      </c>
      <c r="U2352" s="19">
        <v>45</v>
      </c>
      <c r="AA2352" s="19">
        <v>0</v>
      </c>
    </row>
    <row r="2353" spans="1:27" x14ac:dyDescent="0.25">
      <c r="A2353" s="19" t="s">
        <v>2718</v>
      </c>
      <c r="B2353" s="19" t="s">
        <v>2707</v>
      </c>
      <c r="C2353" s="19">
        <v>44002</v>
      </c>
      <c r="D2353" s="19">
        <v>1.7669999999999999</v>
      </c>
      <c r="E2353" s="19" t="s">
        <v>72</v>
      </c>
      <c r="F2353" s="19" t="s">
        <v>73</v>
      </c>
      <c r="G2353" s="19" t="s">
        <v>32</v>
      </c>
      <c r="H2353" s="19" t="s">
        <v>63</v>
      </c>
      <c r="I2353" s="19" t="s">
        <v>64</v>
      </c>
      <c r="J2353" s="19">
        <v>21</v>
      </c>
      <c r="K2353" s="19">
        <v>1.8599999999999998E-2</v>
      </c>
      <c r="L2353" s="19" t="s">
        <v>541</v>
      </c>
      <c r="M2353" s="19" t="s">
        <v>541</v>
      </c>
      <c r="N2353" s="19">
        <v>50</v>
      </c>
      <c r="O2353" s="19">
        <v>95</v>
      </c>
      <c r="P2353" s="19">
        <v>100</v>
      </c>
      <c r="Q2353" s="19">
        <v>50</v>
      </c>
      <c r="R2353" s="19" t="s">
        <v>870</v>
      </c>
      <c r="S2353" s="19">
        <v>0.9</v>
      </c>
      <c r="T2353" s="19">
        <v>0.9</v>
      </c>
      <c r="U2353" s="19">
        <v>45</v>
      </c>
      <c r="AA2353" s="19">
        <v>0</v>
      </c>
    </row>
    <row r="2354" spans="1:27" x14ac:dyDescent="0.25">
      <c r="A2354" s="19" t="s">
        <v>2719</v>
      </c>
      <c r="B2354" s="19" t="s">
        <v>2707</v>
      </c>
      <c r="C2354" s="19">
        <v>44002</v>
      </c>
      <c r="D2354" s="19">
        <v>1.76662058023572</v>
      </c>
      <c r="E2354" s="19" t="s">
        <v>75</v>
      </c>
      <c r="F2354" s="19" t="s">
        <v>76</v>
      </c>
      <c r="G2354" s="19" t="s">
        <v>32</v>
      </c>
      <c r="H2354" s="19" t="s">
        <v>63</v>
      </c>
      <c r="I2354" s="19" t="s">
        <v>64</v>
      </c>
      <c r="J2354" s="19">
        <v>24</v>
      </c>
      <c r="K2354" s="19">
        <v>1.8599999999999998E-2</v>
      </c>
      <c r="L2354" s="19" t="s">
        <v>541</v>
      </c>
      <c r="M2354" s="19" t="s">
        <v>541</v>
      </c>
      <c r="N2354" s="19">
        <v>50</v>
      </c>
      <c r="O2354" s="19">
        <v>94.979601087899994</v>
      </c>
      <c r="P2354" s="19">
        <v>99.954669084299994</v>
      </c>
      <c r="Q2354" s="19">
        <v>49.977334542199998</v>
      </c>
      <c r="R2354" s="19" t="s">
        <v>870</v>
      </c>
      <c r="S2354" s="19">
        <v>0.9</v>
      </c>
      <c r="T2354" s="19">
        <v>0.9</v>
      </c>
      <c r="U2354" s="19">
        <v>44.979601087900001</v>
      </c>
      <c r="AA2354" s="19">
        <v>0</v>
      </c>
    </row>
    <row r="2355" spans="1:27" x14ac:dyDescent="0.25">
      <c r="A2355" s="19" t="s">
        <v>2720</v>
      </c>
      <c r="B2355" s="19" t="s">
        <v>2707</v>
      </c>
      <c r="C2355" s="19">
        <v>44002</v>
      </c>
      <c r="D2355" s="19">
        <v>1.5029238440616399</v>
      </c>
      <c r="E2355" s="19" t="s">
        <v>78</v>
      </c>
      <c r="F2355" s="19" t="s">
        <v>79</v>
      </c>
      <c r="G2355" s="19" t="s">
        <v>32</v>
      </c>
      <c r="H2355" s="19" t="s">
        <v>63</v>
      </c>
      <c r="I2355" s="19" t="s">
        <v>64</v>
      </c>
      <c r="J2355" s="19">
        <v>25</v>
      </c>
      <c r="K2355" s="19">
        <v>1.8599999999999998E-2</v>
      </c>
      <c r="L2355" s="19" t="s">
        <v>541</v>
      </c>
      <c r="M2355" s="19" t="s">
        <v>541</v>
      </c>
      <c r="N2355" s="19">
        <v>50</v>
      </c>
      <c r="O2355" s="19">
        <v>80.802357207599997</v>
      </c>
      <c r="P2355" s="19">
        <v>68.449682683600003</v>
      </c>
      <c r="Q2355" s="19">
        <v>34.224841341800001</v>
      </c>
      <c r="R2355" s="19" t="s">
        <v>870</v>
      </c>
      <c r="S2355" s="19">
        <v>0.9</v>
      </c>
      <c r="T2355" s="19">
        <v>0.9</v>
      </c>
      <c r="U2355" s="19">
        <v>30.8023572076</v>
      </c>
      <c r="AA2355" s="19">
        <v>0</v>
      </c>
    </row>
    <row r="2356" spans="1:27" x14ac:dyDescent="0.25">
      <c r="A2356" s="19" t="s">
        <v>2721</v>
      </c>
      <c r="B2356" s="19" t="s">
        <v>2707</v>
      </c>
      <c r="C2356" s="19">
        <v>44002</v>
      </c>
      <c r="D2356" s="19">
        <v>1.7669999999999999</v>
      </c>
      <c r="E2356" s="19" t="s">
        <v>82</v>
      </c>
      <c r="F2356" s="19" t="s">
        <v>83</v>
      </c>
      <c r="G2356" s="19" t="s">
        <v>32</v>
      </c>
      <c r="H2356" s="19" t="s">
        <v>63</v>
      </c>
      <c r="I2356" s="19" t="s">
        <v>64</v>
      </c>
      <c r="J2356" s="19">
        <v>26</v>
      </c>
      <c r="K2356" s="19">
        <v>1.8599999999999998E-2</v>
      </c>
      <c r="L2356" s="19" t="s">
        <v>541</v>
      </c>
      <c r="M2356" s="19" t="s">
        <v>541</v>
      </c>
      <c r="N2356" s="19">
        <v>50</v>
      </c>
      <c r="O2356" s="19">
        <v>95</v>
      </c>
      <c r="P2356" s="19">
        <v>100</v>
      </c>
      <c r="Q2356" s="19">
        <v>50</v>
      </c>
      <c r="R2356" s="19" t="s">
        <v>870</v>
      </c>
      <c r="S2356" s="19">
        <v>0.9</v>
      </c>
      <c r="T2356" s="19">
        <v>0.9</v>
      </c>
      <c r="U2356" s="19">
        <v>45</v>
      </c>
      <c r="AA2356" s="19">
        <v>0</v>
      </c>
    </row>
    <row r="2357" spans="1:27" x14ac:dyDescent="0.25">
      <c r="A2357" s="19" t="s">
        <v>2722</v>
      </c>
      <c r="B2357" s="19" t="s">
        <v>2707</v>
      </c>
      <c r="C2357" s="19">
        <v>44002</v>
      </c>
      <c r="D2357" s="19">
        <v>2.9244106980961</v>
      </c>
      <c r="E2357" s="19" t="s">
        <v>85</v>
      </c>
      <c r="F2357" s="19" t="s">
        <v>86</v>
      </c>
      <c r="G2357" s="19" t="s">
        <v>32</v>
      </c>
      <c r="H2357" s="19" t="s">
        <v>87</v>
      </c>
      <c r="I2357" s="19" t="s">
        <v>88</v>
      </c>
      <c r="J2357" s="19">
        <v>35</v>
      </c>
      <c r="K2357" s="19">
        <v>3.2500000000000001E-2</v>
      </c>
      <c r="L2357" s="19" t="s">
        <v>541</v>
      </c>
      <c r="M2357" s="19" t="s">
        <v>541</v>
      </c>
      <c r="N2357" s="19">
        <v>50</v>
      </c>
      <c r="O2357" s="19">
        <v>89.981867633700006</v>
      </c>
      <c r="P2357" s="19">
        <v>88.848594741599996</v>
      </c>
      <c r="Q2357" s="19">
        <v>44.424297370799998</v>
      </c>
      <c r="R2357" s="19" t="s">
        <v>870</v>
      </c>
      <c r="S2357" s="19">
        <v>0.9</v>
      </c>
      <c r="T2357" s="19">
        <v>0.9</v>
      </c>
      <c r="U2357" s="19">
        <v>39.981867633699999</v>
      </c>
      <c r="AA2357" s="19">
        <v>0</v>
      </c>
    </row>
    <row r="2358" spans="1:27" x14ac:dyDescent="0.25">
      <c r="A2358" s="19" t="s">
        <v>2723</v>
      </c>
      <c r="B2358" s="19" t="s">
        <v>2707</v>
      </c>
      <c r="C2358" s="19">
        <v>44002</v>
      </c>
      <c r="D2358" s="19">
        <v>3.0874999999999999</v>
      </c>
      <c r="E2358" s="19" t="s">
        <v>93</v>
      </c>
      <c r="F2358" s="19" t="s">
        <v>94</v>
      </c>
      <c r="G2358" s="19" t="s">
        <v>32</v>
      </c>
      <c r="H2358" s="19" t="s">
        <v>87</v>
      </c>
      <c r="I2358" s="19" t="s">
        <v>88</v>
      </c>
      <c r="J2358" s="19">
        <v>34</v>
      </c>
      <c r="K2358" s="19">
        <v>3.2500000000000001E-2</v>
      </c>
      <c r="L2358" s="19" t="s">
        <v>541</v>
      </c>
      <c r="M2358" s="19" t="s">
        <v>541</v>
      </c>
      <c r="N2358" s="19">
        <v>50</v>
      </c>
      <c r="O2358" s="19">
        <v>95</v>
      </c>
      <c r="P2358" s="19">
        <v>100</v>
      </c>
      <c r="Q2358" s="19">
        <v>50</v>
      </c>
      <c r="R2358" s="19" t="s">
        <v>870</v>
      </c>
      <c r="S2358" s="19">
        <v>0.9</v>
      </c>
      <c r="T2358" s="19">
        <v>0.9</v>
      </c>
      <c r="U2358" s="19">
        <v>45</v>
      </c>
      <c r="AA2358" s="19">
        <v>0</v>
      </c>
    </row>
    <row r="2359" spans="1:27" x14ac:dyDescent="0.25">
      <c r="A2359" s="19" t="s">
        <v>2724</v>
      </c>
      <c r="B2359" s="19" t="s">
        <v>2707</v>
      </c>
      <c r="C2359" s="19">
        <v>44002</v>
      </c>
      <c r="D2359" s="19">
        <v>2.9784943336355401</v>
      </c>
      <c r="E2359" s="19" t="s">
        <v>99</v>
      </c>
      <c r="F2359" s="19" t="s">
        <v>100</v>
      </c>
      <c r="G2359" s="19" t="s">
        <v>32</v>
      </c>
      <c r="H2359" s="19" t="s">
        <v>101</v>
      </c>
      <c r="I2359" s="19" t="s">
        <v>102</v>
      </c>
      <c r="J2359" s="19">
        <v>39</v>
      </c>
      <c r="K2359" s="19">
        <v>4.3299999999999998E-2</v>
      </c>
      <c r="L2359" s="19" t="s">
        <v>541</v>
      </c>
      <c r="M2359" s="19" t="s">
        <v>541</v>
      </c>
      <c r="N2359" s="19">
        <v>50</v>
      </c>
      <c r="O2359" s="19">
        <v>68.787398005399993</v>
      </c>
      <c r="P2359" s="19">
        <v>41.749773345400001</v>
      </c>
      <c r="Q2359" s="19">
        <v>20.874886672700001</v>
      </c>
      <c r="R2359" s="19" t="s">
        <v>870</v>
      </c>
      <c r="S2359" s="19">
        <v>0.9</v>
      </c>
      <c r="T2359" s="19">
        <v>0.9</v>
      </c>
      <c r="U2359" s="19">
        <v>18.7873980054</v>
      </c>
      <c r="AA2359" s="19">
        <v>0</v>
      </c>
    </row>
    <row r="2360" spans="1:27" x14ac:dyDescent="0.25">
      <c r="A2360" s="19" t="s">
        <v>2725</v>
      </c>
      <c r="B2360" s="19" t="s">
        <v>2707</v>
      </c>
      <c r="C2360" s="19">
        <v>44002</v>
      </c>
      <c r="D2360" s="19">
        <v>3.8202533998186698</v>
      </c>
      <c r="E2360" s="19" t="s">
        <v>105</v>
      </c>
      <c r="F2360" s="19" t="s">
        <v>106</v>
      </c>
      <c r="G2360" s="19" t="s">
        <v>32</v>
      </c>
      <c r="H2360" s="19" t="s">
        <v>101</v>
      </c>
      <c r="I2360" s="19" t="s">
        <v>102</v>
      </c>
      <c r="J2360" s="19">
        <v>38</v>
      </c>
      <c r="K2360" s="19">
        <v>4.3299999999999998E-2</v>
      </c>
      <c r="L2360" s="19" t="s">
        <v>541</v>
      </c>
      <c r="M2360" s="19" t="s">
        <v>541</v>
      </c>
      <c r="N2360" s="19">
        <v>50</v>
      </c>
      <c r="O2360" s="19">
        <v>88.227561196699995</v>
      </c>
      <c r="P2360" s="19">
        <v>84.950135992699998</v>
      </c>
      <c r="Q2360" s="19">
        <v>42.4750679964</v>
      </c>
      <c r="R2360" s="19" t="s">
        <v>870</v>
      </c>
      <c r="S2360" s="19">
        <v>0.9</v>
      </c>
      <c r="T2360" s="19">
        <v>0.9</v>
      </c>
      <c r="U2360" s="19">
        <v>38.227561196700002</v>
      </c>
      <c r="AA2360" s="19">
        <v>0</v>
      </c>
    </row>
    <row r="2361" spans="1:27" x14ac:dyDescent="0.25">
      <c r="A2361" s="19" t="s">
        <v>2726</v>
      </c>
      <c r="B2361" s="19" t="s">
        <v>2707</v>
      </c>
      <c r="C2361" s="19">
        <v>44002</v>
      </c>
      <c r="D2361" s="19">
        <v>3.0986194469628199</v>
      </c>
      <c r="E2361" s="19" t="s">
        <v>108</v>
      </c>
      <c r="F2361" s="19" t="s">
        <v>109</v>
      </c>
      <c r="G2361" s="19" t="s">
        <v>32</v>
      </c>
      <c r="H2361" s="19" t="s">
        <v>101</v>
      </c>
      <c r="I2361" s="19" t="s">
        <v>102</v>
      </c>
      <c r="J2361" s="19">
        <v>37</v>
      </c>
      <c r="K2361" s="19">
        <v>4.3299999999999998E-2</v>
      </c>
      <c r="L2361" s="19" t="s">
        <v>541</v>
      </c>
      <c r="M2361" s="19" t="s">
        <v>541</v>
      </c>
      <c r="N2361" s="19">
        <v>50</v>
      </c>
      <c r="O2361" s="19">
        <v>71.561650045299999</v>
      </c>
      <c r="P2361" s="19">
        <v>47.914777878499997</v>
      </c>
      <c r="Q2361" s="19">
        <v>23.957388939299999</v>
      </c>
      <c r="R2361" s="19" t="s">
        <v>870</v>
      </c>
      <c r="S2361" s="19">
        <v>0.9</v>
      </c>
      <c r="T2361" s="19">
        <v>0.9</v>
      </c>
      <c r="U2361" s="19">
        <v>21.561650045299999</v>
      </c>
      <c r="AA2361" s="19">
        <v>0</v>
      </c>
    </row>
    <row r="2362" spans="1:27" x14ac:dyDescent="0.25">
      <c r="A2362" s="19" t="s">
        <v>2727</v>
      </c>
      <c r="B2362" s="19" t="s">
        <v>2707</v>
      </c>
      <c r="C2362" s="19">
        <v>44002</v>
      </c>
      <c r="D2362" s="19">
        <v>2.0393671804170399</v>
      </c>
      <c r="E2362" s="19" t="s">
        <v>112</v>
      </c>
      <c r="F2362" s="19" t="s">
        <v>113</v>
      </c>
      <c r="G2362" s="19" t="s">
        <v>32</v>
      </c>
      <c r="H2362" s="19" t="s">
        <v>114</v>
      </c>
      <c r="I2362" s="19" t="s">
        <v>115</v>
      </c>
      <c r="J2362" s="19">
        <v>30</v>
      </c>
      <c r="K2362" s="19">
        <v>2.1700000000000001E-2</v>
      </c>
      <c r="L2362" s="19" t="s">
        <v>541</v>
      </c>
      <c r="M2362" s="19" t="s">
        <v>541</v>
      </c>
      <c r="N2362" s="19">
        <v>50</v>
      </c>
      <c r="O2362" s="19">
        <v>93.980054397100005</v>
      </c>
      <c r="P2362" s="19">
        <v>97.733454215799995</v>
      </c>
      <c r="Q2362" s="19">
        <v>48.866727107899997</v>
      </c>
      <c r="R2362" s="19" t="s">
        <v>870</v>
      </c>
      <c r="S2362" s="19">
        <v>0.9</v>
      </c>
      <c r="T2362" s="19">
        <v>0.9</v>
      </c>
      <c r="U2362" s="19">
        <v>43.980054397099998</v>
      </c>
      <c r="AA2362" s="19">
        <v>0</v>
      </c>
    </row>
    <row r="2363" spans="1:27" x14ac:dyDescent="0.25">
      <c r="A2363" s="19" t="s">
        <v>2728</v>
      </c>
      <c r="B2363" s="19" t="s">
        <v>2707</v>
      </c>
      <c r="C2363" s="19">
        <v>44002</v>
      </c>
      <c r="D2363" s="19">
        <v>2.0615000000000001</v>
      </c>
      <c r="E2363" s="19" t="s">
        <v>117</v>
      </c>
      <c r="F2363" s="19" t="s">
        <v>118</v>
      </c>
      <c r="G2363" s="19" t="s">
        <v>32</v>
      </c>
      <c r="H2363" s="19" t="s">
        <v>114</v>
      </c>
      <c r="I2363" s="19" t="s">
        <v>115</v>
      </c>
      <c r="J2363" s="19">
        <v>31</v>
      </c>
      <c r="K2363" s="19">
        <v>2.1700000000000001E-2</v>
      </c>
      <c r="L2363" s="19" t="s">
        <v>541</v>
      </c>
      <c r="M2363" s="19" t="s">
        <v>541</v>
      </c>
      <c r="N2363" s="19">
        <v>50</v>
      </c>
      <c r="O2363" s="19">
        <v>95</v>
      </c>
      <c r="P2363" s="19">
        <v>100</v>
      </c>
      <c r="Q2363" s="19">
        <v>50</v>
      </c>
      <c r="R2363" s="19" t="s">
        <v>870</v>
      </c>
      <c r="S2363" s="19">
        <v>0.9</v>
      </c>
      <c r="T2363" s="19">
        <v>0.9</v>
      </c>
      <c r="U2363" s="19">
        <v>45</v>
      </c>
      <c r="AA2363" s="19">
        <v>0</v>
      </c>
    </row>
    <row r="2364" spans="1:27" x14ac:dyDescent="0.25">
      <c r="A2364" s="19" t="s">
        <v>2729</v>
      </c>
      <c r="B2364" s="19" t="s">
        <v>2707</v>
      </c>
      <c r="C2364" s="19">
        <v>44002</v>
      </c>
      <c r="D2364" s="19">
        <v>2.0299999999999998</v>
      </c>
      <c r="E2364" s="19" t="s">
        <v>120</v>
      </c>
      <c r="F2364" s="19" t="s">
        <v>121</v>
      </c>
      <c r="G2364" s="19" t="s">
        <v>32</v>
      </c>
      <c r="H2364" s="19" t="s">
        <v>114</v>
      </c>
      <c r="I2364" s="19" t="s">
        <v>115</v>
      </c>
      <c r="J2364" s="19">
        <v>28</v>
      </c>
      <c r="K2364" s="19">
        <v>2.1700000000000001E-2</v>
      </c>
      <c r="L2364" s="19" t="s">
        <v>541</v>
      </c>
      <c r="M2364" s="19" t="s">
        <v>541</v>
      </c>
      <c r="N2364" s="19">
        <v>50</v>
      </c>
      <c r="O2364" s="19">
        <v>93.548387096799999</v>
      </c>
      <c r="P2364" s="19">
        <v>96.774193548400007</v>
      </c>
      <c r="Q2364" s="19">
        <v>48.387096774200003</v>
      </c>
      <c r="R2364" s="19" t="s">
        <v>870</v>
      </c>
      <c r="S2364" s="19">
        <v>0.9</v>
      </c>
      <c r="T2364" s="19">
        <v>0.9</v>
      </c>
      <c r="U2364" s="19">
        <v>43.548387096799999</v>
      </c>
      <c r="AA2364" s="19">
        <v>0</v>
      </c>
    </row>
    <row r="2365" spans="1:27" x14ac:dyDescent="0.25">
      <c r="A2365" s="19" t="s">
        <v>2730</v>
      </c>
      <c r="B2365" s="19" t="s">
        <v>2707</v>
      </c>
      <c r="C2365" s="19">
        <v>44002</v>
      </c>
      <c r="D2365" s="19">
        <v>1.90037307343608</v>
      </c>
      <c r="E2365" s="19" t="s">
        <v>123</v>
      </c>
      <c r="F2365" s="19" t="s">
        <v>124</v>
      </c>
      <c r="G2365" s="19" t="s">
        <v>32</v>
      </c>
      <c r="H2365" s="19" t="s">
        <v>114</v>
      </c>
      <c r="I2365" s="19" t="s">
        <v>115</v>
      </c>
      <c r="J2365" s="19">
        <v>27</v>
      </c>
      <c r="K2365" s="19">
        <v>2.1700000000000001E-2</v>
      </c>
      <c r="L2365" s="19" t="s">
        <v>541</v>
      </c>
      <c r="M2365" s="19" t="s">
        <v>541</v>
      </c>
      <c r="N2365" s="19">
        <v>50</v>
      </c>
      <c r="O2365" s="19">
        <v>87.574796010900002</v>
      </c>
      <c r="P2365" s="19">
        <v>83.499546690800003</v>
      </c>
      <c r="Q2365" s="19">
        <v>41.749773345400001</v>
      </c>
      <c r="R2365" s="19" t="s">
        <v>870</v>
      </c>
      <c r="S2365" s="19">
        <v>0.9</v>
      </c>
      <c r="T2365" s="19">
        <v>0.9</v>
      </c>
      <c r="U2365" s="19">
        <v>37.574796010900002</v>
      </c>
      <c r="AA2365" s="19">
        <v>0</v>
      </c>
    </row>
    <row r="2366" spans="1:27" x14ac:dyDescent="0.25">
      <c r="A2366" s="19" t="s">
        <v>2731</v>
      </c>
      <c r="B2366" s="19" t="s">
        <v>2707</v>
      </c>
      <c r="C2366" s="19">
        <v>44002</v>
      </c>
      <c r="D2366" s="19">
        <v>2.0393671804170399</v>
      </c>
      <c r="E2366" s="19" t="s">
        <v>126</v>
      </c>
      <c r="F2366" s="19" t="s">
        <v>127</v>
      </c>
      <c r="G2366" s="19" t="s">
        <v>32</v>
      </c>
      <c r="H2366" s="19" t="s">
        <v>114</v>
      </c>
      <c r="I2366" s="19" t="s">
        <v>115</v>
      </c>
      <c r="J2366" s="19">
        <v>29</v>
      </c>
      <c r="K2366" s="19">
        <v>2.1700000000000001E-2</v>
      </c>
      <c r="L2366" s="19" t="s">
        <v>541</v>
      </c>
      <c r="M2366" s="19" t="s">
        <v>541</v>
      </c>
      <c r="N2366" s="19">
        <v>50</v>
      </c>
      <c r="O2366" s="19">
        <v>93.980054397100005</v>
      </c>
      <c r="P2366" s="19">
        <v>97.733454215799995</v>
      </c>
      <c r="Q2366" s="19">
        <v>48.866727107899997</v>
      </c>
      <c r="R2366" s="19" t="s">
        <v>870</v>
      </c>
      <c r="S2366" s="19">
        <v>0.9</v>
      </c>
      <c r="T2366" s="19">
        <v>0.9</v>
      </c>
      <c r="U2366" s="19">
        <v>43.980054397099998</v>
      </c>
      <c r="AA2366" s="19">
        <v>0</v>
      </c>
    </row>
    <row r="2367" spans="1:27" x14ac:dyDescent="0.25">
      <c r="A2367" s="19" t="s">
        <v>2732</v>
      </c>
      <c r="B2367" s="19" t="s">
        <v>2707</v>
      </c>
      <c r="C2367" s="19">
        <v>44002</v>
      </c>
      <c r="D2367" s="19">
        <v>2.0615000000000001</v>
      </c>
      <c r="E2367" s="19" t="s">
        <v>129</v>
      </c>
      <c r="F2367" s="19" t="s">
        <v>130</v>
      </c>
      <c r="G2367" s="19" t="s">
        <v>32</v>
      </c>
      <c r="H2367" s="19" t="s">
        <v>114</v>
      </c>
      <c r="I2367" s="19" t="s">
        <v>115</v>
      </c>
      <c r="J2367" s="19">
        <v>32</v>
      </c>
      <c r="K2367" s="19">
        <v>2.1700000000000001E-2</v>
      </c>
      <c r="L2367" s="19" t="s">
        <v>541</v>
      </c>
      <c r="M2367" s="19" t="s">
        <v>541</v>
      </c>
      <c r="N2367" s="19">
        <v>50</v>
      </c>
      <c r="O2367" s="19">
        <v>95</v>
      </c>
      <c r="P2367" s="19">
        <v>100</v>
      </c>
      <c r="Q2367" s="19">
        <v>50</v>
      </c>
      <c r="R2367" s="19" t="s">
        <v>870</v>
      </c>
      <c r="S2367" s="19">
        <v>0.9</v>
      </c>
      <c r="T2367" s="19">
        <v>0.9</v>
      </c>
      <c r="U2367" s="19">
        <v>45</v>
      </c>
      <c r="AA2367" s="19">
        <v>0</v>
      </c>
    </row>
    <row r="2368" spans="1:27" x14ac:dyDescent="0.25">
      <c r="A2368" s="19" t="s">
        <v>2733</v>
      </c>
      <c r="B2368" s="19" t="s">
        <v>2707</v>
      </c>
      <c r="C2368" s="19">
        <v>44002</v>
      </c>
      <c r="D2368" s="19">
        <v>4.17</v>
      </c>
      <c r="E2368" s="19" t="s">
        <v>132</v>
      </c>
      <c r="F2368" s="19" t="s">
        <v>133</v>
      </c>
      <c r="G2368" s="19" t="s">
        <v>134</v>
      </c>
      <c r="H2368" s="19" t="s">
        <v>87</v>
      </c>
      <c r="I2368" s="19" t="s">
        <v>135</v>
      </c>
      <c r="J2368" s="19">
        <v>11</v>
      </c>
      <c r="K2368" s="19">
        <v>4.1700000000000001E-2</v>
      </c>
      <c r="L2368" s="19" t="s">
        <v>541</v>
      </c>
      <c r="M2368" s="19" t="s">
        <v>541</v>
      </c>
      <c r="N2368" s="19">
        <v>50</v>
      </c>
      <c r="O2368" s="19">
        <v>100</v>
      </c>
      <c r="P2368" s="19">
        <v>100</v>
      </c>
      <c r="Q2368" s="19">
        <v>50</v>
      </c>
      <c r="R2368" s="19" t="s">
        <v>870</v>
      </c>
      <c r="S2368" s="19">
        <v>0.9</v>
      </c>
      <c r="T2368" s="19">
        <v>1</v>
      </c>
      <c r="U2368" s="19">
        <v>50</v>
      </c>
      <c r="AA2368" s="19">
        <v>0</v>
      </c>
    </row>
    <row r="2369" spans="1:27" x14ac:dyDescent="0.25">
      <c r="A2369" s="19" t="s">
        <v>2734</v>
      </c>
      <c r="B2369" s="19" t="s">
        <v>2707</v>
      </c>
      <c r="C2369" s="19">
        <v>44002</v>
      </c>
      <c r="D2369" s="19">
        <v>2.78</v>
      </c>
      <c r="E2369" s="19" t="s">
        <v>137</v>
      </c>
      <c r="F2369" s="19" t="s">
        <v>138</v>
      </c>
      <c r="G2369" s="19" t="s">
        <v>134</v>
      </c>
      <c r="H2369" s="19" t="s">
        <v>87</v>
      </c>
      <c r="I2369" s="19" t="s">
        <v>135</v>
      </c>
      <c r="J2369" s="19">
        <v>9</v>
      </c>
      <c r="K2369" s="19">
        <v>4.1700000000000001E-2</v>
      </c>
      <c r="L2369" s="19" t="s">
        <v>541</v>
      </c>
      <c r="M2369" s="19" t="s">
        <v>541</v>
      </c>
      <c r="N2369" s="19">
        <v>50</v>
      </c>
      <c r="O2369" s="19">
        <v>66.666666666699996</v>
      </c>
      <c r="P2369" s="19">
        <v>33.333333333299997</v>
      </c>
      <c r="Q2369" s="19">
        <v>16.666666666699999</v>
      </c>
      <c r="R2369" s="19" t="s">
        <v>870</v>
      </c>
      <c r="S2369" s="19">
        <v>0.9</v>
      </c>
      <c r="T2369" s="19">
        <v>1</v>
      </c>
      <c r="U2369" s="19">
        <v>16.666666666699999</v>
      </c>
      <c r="AA2369" s="19">
        <v>0</v>
      </c>
    </row>
    <row r="2370" spans="1:27" x14ac:dyDescent="0.25">
      <c r="A2370" s="19" t="s">
        <v>2735</v>
      </c>
      <c r="B2370" s="19" t="s">
        <v>2707</v>
      </c>
      <c r="C2370" s="19">
        <v>44002</v>
      </c>
      <c r="D2370" s="19">
        <v>2.3514677938722501</v>
      </c>
      <c r="E2370" s="19" t="s">
        <v>140</v>
      </c>
      <c r="F2370" s="19" t="s">
        <v>141</v>
      </c>
      <c r="G2370" s="19" t="s">
        <v>134</v>
      </c>
      <c r="H2370" s="19" t="s">
        <v>87</v>
      </c>
      <c r="I2370" s="19" t="s">
        <v>135</v>
      </c>
      <c r="J2370" s="19">
        <v>10</v>
      </c>
      <c r="K2370" s="19">
        <v>4.1700000000000001E-2</v>
      </c>
      <c r="L2370" s="19" t="s">
        <v>541</v>
      </c>
      <c r="M2370" s="19" t="s">
        <v>541</v>
      </c>
      <c r="N2370" s="19">
        <v>50</v>
      </c>
      <c r="O2370" s="19">
        <v>56.390114961000002</v>
      </c>
      <c r="P2370" s="19">
        <v>12.7802299219</v>
      </c>
      <c r="Q2370" s="19">
        <v>6.3901149609700001</v>
      </c>
      <c r="R2370" s="19" t="s">
        <v>870</v>
      </c>
      <c r="S2370" s="19">
        <v>0.9</v>
      </c>
      <c r="T2370" s="19">
        <v>1</v>
      </c>
      <c r="U2370" s="19">
        <v>6.3901149609700001</v>
      </c>
      <c r="AA2370" s="19">
        <v>0</v>
      </c>
    </row>
    <row r="2371" spans="1:27" x14ac:dyDescent="0.25">
      <c r="A2371" s="19" t="s">
        <v>2736</v>
      </c>
      <c r="B2371" s="19" t="s">
        <v>2707</v>
      </c>
      <c r="C2371" s="19">
        <v>44002</v>
      </c>
      <c r="D2371" s="19">
        <v>2.5</v>
      </c>
      <c r="E2371" s="19" t="s">
        <v>144</v>
      </c>
      <c r="F2371" s="19" t="s">
        <v>145</v>
      </c>
      <c r="G2371" s="19" t="s">
        <v>134</v>
      </c>
      <c r="H2371" s="19" t="s">
        <v>146</v>
      </c>
      <c r="I2371" s="19" t="s">
        <v>147</v>
      </c>
      <c r="J2371" s="19">
        <v>4</v>
      </c>
      <c r="K2371" s="19">
        <v>2.5000000000000001E-2</v>
      </c>
      <c r="L2371" s="19" t="s">
        <v>541</v>
      </c>
      <c r="M2371" s="19" t="s">
        <v>541</v>
      </c>
      <c r="N2371" s="19">
        <v>50</v>
      </c>
      <c r="O2371" s="19">
        <v>100</v>
      </c>
      <c r="P2371" s="19">
        <v>100</v>
      </c>
      <c r="Q2371" s="19">
        <v>50</v>
      </c>
      <c r="R2371" s="19" t="s">
        <v>870</v>
      </c>
      <c r="S2371" s="19">
        <v>0.9</v>
      </c>
      <c r="T2371" s="19">
        <v>1</v>
      </c>
      <c r="U2371" s="19">
        <v>50</v>
      </c>
      <c r="AA2371" s="19">
        <v>0</v>
      </c>
    </row>
    <row r="2372" spans="1:27" x14ac:dyDescent="0.25">
      <c r="A2372" s="19" t="s">
        <v>2737</v>
      </c>
      <c r="B2372" s="19" t="s">
        <v>2707</v>
      </c>
      <c r="C2372" s="19">
        <v>44002</v>
      </c>
      <c r="D2372" s="19">
        <v>2.5</v>
      </c>
      <c r="E2372" s="19" t="s">
        <v>149</v>
      </c>
      <c r="F2372" s="19" t="s">
        <v>150</v>
      </c>
      <c r="G2372" s="19" t="s">
        <v>134</v>
      </c>
      <c r="H2372" s="19" t="s">
        <v>146</v>
      </c>
      <c r="I2372" s="19" t="s">
        <v>147</v>
      </c>
      <c r="J2372" s="19">
        <v>5</v>
      </c>
      <c r="K2372" s="19">
        <v>2.5000000000000001E-2</v>
      </c>
      <c r="L2372" s="19" t="s">
        <v>541</v>
      </c>
      <c r="M2372" s="19" t="s">
        <v>541</v>
      </c>
      <c r="N2372" s="19">
        <v>50</v>
      </c>
      <c r="O2372" s="19">
        <v>100</v>
      </c>
      <c r="P2372" s="19">
        <v>100</v>
      </c>
      <c r="Q2372" s="19">
        <v>50</v>
      </c>
      <c r="R2372" s="19" t="s">
        <v>870</v>
      </c>
      <c r="S2372" s="19">
        <v>0.9</v>
      </c>
      <c r="T2372" s="19">
        <v>1</v>
      </c>
      <c r="U2372" s="19">
        <v>50</v>
      </c>
      <c r="AA2372" s="19">
        <v>0</v>
      </c>
    </row>
    <row r="2373" spans="1:27" x14ac:dyDescent="0.25">
      <c r="A2373" s="19" t="s">
        <v>2738</v>
      </c>
      <c r="B2373" s="19" t="s">
        <v>2707</v>
      </c>
      <c r="C2373" s="19">
        <v>44002</v>
      </c>
      <c r="D2373" s="19">
        <v>2.5</v>
      </c>
      <c r="E2373" s="19" t="s">
        <v>152</v>
      </c>
      <c r="F2373" s="19" t="s">
        <v>153</v>
      </c>
      <c r="G2373" s="19" t="s">
        <v>134</v>
      </c>
      <c r="H2373" s="19" t="s">
        <v>146</v>
      </c>
      <c r="I2373" s="19" t="s">
        <v>147</v>
      </c>
      <c r="J2373" s="19">
        <v>6</v>
      </c>
      <c r="K2373" s="19">
        <v>2.5000000000000001E-2</v>
      </c>
      <c r="L2373" s="19" t="s">
        <v>541</v>
      </c>
      <c r="M2373" s="19" t="s">
        <v>541</v>
      </c>
      <c r="N2373" s="19">
        <v>50</v>
      </c>
      <c r="O2373" s="19">
        <v>100</v>
      </c>
      <c r="P2373" s="19">
        <v>100</v>
      </c>
      <c r="Q2373" s="19">
        <v>50</v>
      </c>
      <c r="R2373" s="19" t="s">
        <v>870</v>
      </c>
      <c r="S2373" s="19">
        <v>0.9</v>
      </c>
      <c r="T2373" s="19">
        <v>1</v>
      </c>
      <c r="U2373" s="19">
        <v>50</v>
      </c>
      <c r="AA2373" s="19">
        <v>0</v>
      </c>
    </row>
    <row r="2374" spans="1:27" x14ac:dyDescent="0.25">
      <c r="A2374" s="19" t="s">
        <v>2739</v>
      </c>
      <c r="B2374" s="19" t="s">
        <v>2707</v>
      </c>
      <c r="C2374" s="19">
        <v>44002</v>
      </c>
      <c r="D2374" s="19">
        <v>2.5</v>
      </c>
      <c r="E2374" s="19" t="s">
        <v>155</v>
      </c>
      <c r="F2374" s="19" t="s">
        <v>156</v>
      </c>
      <c r="G2374" s="19" t="s">
        <v>134</v>
      </c>
      <c r="H2374" s="19" t="s">
        <v>146</v>
      </c>
      <c r="I2374" s="19" t="s">
        <v>147</v>
      </c>
      <c r="J2374" s="19">
        <v>7</v>
      </c>
      <c r="K2374" s="19">
        <v>2.5000000000000001E-2</v>
      </c>
      <c r="L2374" s="19" t="s">
        <v>541</v>
      </c>
      <c r="M2374" s="19" t="s">
        <v>541</v>
      </c>
      <c r="N2374" s="19">
        <v>50</v>
      </c>
      <c r="O2374" s="19">
        <v>100</v>
      </c>
      <c r="P2374" s="19">
        <v>100</v>
      </c>
      <c r="Q2374" s="19">
        <v>50</v>
      </c>
      <c r="R2374" s="19" t="s">
        <v>870</v>
      </c>
      <c r="S2374" s="19">
        <v>0.9</v>
      </c>
      <c r="T2374" s="19">
        <v>1</v>
      </c>
      <c r="U2374" s="19">
        <v>50</v>
      </c>
      <c r="AA2374" s="19">
        <v>0</v>
      </c>
    </row>
    <row r="2375" spans="1:27" x14ac:dyDescent="0.25">
      <c r="A2375" s="19" t="s">
        <v>2740</v>
      </c>
      <c r="B2375" s="19" t="s">
        <v>2707</v>
      </c>
      <c r="C2375" s="19">
        <v>44002</v>
      </c>
      <c r="D2375" s="19">
        <v>2.5</v>
      </c>
      <c r="E2375" s="19" t="s">
        <v>158</v>
      </c>
      <c r="F2375" s="19" t="s">
        <v>159</v>
      </c>
      <c r="G2375" s="19" t="s">
        <v>134</v>
      </c>
      <c r="H2375" s="19" t="s">
        <v>146</v>
      </c>
      <c r="I2375" s="19" t="s">
        <v>147</v>
      </c>
      <c r="J2375" s="19">
        <v>8</v>
      </c>
      <c r="K2375" s="19">
        <v>2.5000000000000001E-2</v>
      </c>
      <c r="L2375" s="19" t="s">
        <v>541</v>
      </c>
      <c r="M2375" s="19" t="s">
        <v>541</v>
      </c>
      <c r="N2375" s="19">
        <v>50</v>
      </c>
      <c r="O2375" s="19">
        <v>100</v>
      </c>
      <c r="P2375" s="19">
        <v>100</v>
      </c>
      <c r="Q2375" s="19">
        <v>50</v>
      </c>
      <c r="R2375" s="19" t="s">
        <v>870</v>
      </c>
      <c r="S2375" s="19">
        <v>0.9</v>
      </c>
      <c r="T2375" s="19">
        <v>1</v>
      </c>
      <c r="U2375" s="19">
        <v>50</v>
      </c>
      <c r="AA2375" s="19">
        <v>0</v>
      </c>
    </row>
    <row r="2376" spans="1:27" x14ac:dyDescent="0.25">
      <c r="A2376" s="19" t="s">
        <v>2741</v>
      </c>
      <c r="B2376" s="19" t="s">
        <v>2707</v>
      </c>
      <c r="C2376" s="19">
        <v>44002</v>
      </c>
      <c r="D2376" s="19">
        <v>0.54161249999999905</v>
      </c>
      <c r="E2376" s="19" t="s">
        <v>90</v>
      </c>
      <c r="F2376" s="19" t="s">
        <v>91</v>
      </c>
      <c r="G2376" s="19" t="s">
        <v>32</v>
      </c>
      <c r="H2376" s="19" t="s">
        <v>87</v>
      </c>
      <c r="I2376" s="19" t="s">
        <v>88</v>
      </c>
      <c r="J2376" s="19">
        <v>33</v>
      </c>
      <c r="K2376" s="19">
        <v>3.2500000000000001E-2</v>
      </c>
      <c r="L2376" s="19" t="s">
        <v>35</v>
      </c>
      <c r="M2376" s="19" t="s">
        <v>110</v>
      </c>
      <c r="N2376" s="19">
        <v>16.664999999999999</v>
      </c>
      <c r="O2376" s="19">
        <v>16.664999999999999</v>
      </c>
      <c r="P2376" s="19">
        <v>0</v>
      </c>
      <c r="Q2376" s="19">
        <v>0</v>
      </c>
      <c r="R2376" s="19" t="s">
        <v>870</v>
      </c>
      <c r="S2376" s="19">
        <v>0.9</v>
      </c>
      <c r="T2376" s="19">
        <v>1</v>
      </c>
      <c r="U2376" s="19">
        <v>0</v>
      </c>
      <c r="V2376" s="19" t="s">
        <v>41</v>
      </c>
      <c r="W2376" s="19">
        <v>1</v>
      </c>
      <c r="Y2376" s="19" t="s">
        <v>110</v>
      </c>
      <c r="Z2376" s="19">
        <v>16.664999999999999</v>
      </c>
      <c r="AA2376" s="19">
        <v>16.664999999999999</v>
      </c>
    </row>
    <row r="2377" spans="1:27" x14ac:dyDescent="0.25">
      <c r="A2377" s="19" t="s">
        <v>2742</v>
      </c>
      <c r="B2377" s="19" t="s">
        <v>2707</v>
      </c>
      <c r="C2377" s="19">
        <v>44002</v>
      </c>
      <c r="D2377" s="19">
        <v>0</v>
      </c>
      <c r="E2377" s="19" t="s">
        <v>96</v>
      </c>
      <c r="F2377" s="19" t="s">
        <v>97</v>
      </c>
      <c r="G2377" s="19" t="s">
        <v>32</v>
      </c>
      <c r="H2377" s="19" t="s">
        <v>87</v>
      </c>
      <c r="I2377" s="19" t="s">
        <v>88</v>
      </c>
      <c r="J2377" s="19">
        <v>36</v>
      </c>
      <c r="K2377" s="19">
        <v>3.2500000000000001E-2</v>
      </c>
      <c r="L2377" s="19" t="s">
        <v>35</v>
      </c>
      <c r="N2377" s="19">
        <v>0</v>
      </c>
      <c r="O2377" s="19">
        <v>0</v>
      </c>
      <c r="P2377" s="19">
        <v>0</v>
      </c>
      <c r="Q2377" s="19">
        <v>0</v>
      </c>
      <c r="R2377" s="19" t="s">
        <v>870</v>
      </c>
      <c r="S2377" s="19">
        <v>0.9</v>
      </c>
      <c r="T2377" s="19">
        <v>1</v>
      </c>
      <c r="U2377" s="19">
        <v>0</v>
      </c>
      <c r="V2377" s="19" t="s">
        <v>36</v>
      </c>
      <c r="W2377" s="19">
        <v>0</v>
      </c>
      <c r="Z2377" s="19">
        <v>0</v>
      </c>
      <c r="AA2377" s="19">
        <v>0</v>
      </c>
    </row>
    <row r="2378" spans="1:27" x14ac:dyDescent="0.25">
      <c r="A2378" s="19" t="s">
        <v>2743</v>
      </c>
      <c r="B2378" s="19" t="s">
        <v>2707</v>
      </c>
      <c r="C2378" s="19">
        <v>44002</v>
      </c>
      <c r="D2378" s="19">
        <v>1.1098889999999999</v>
      </c>
      <c r="E2378" s="19" t="s">
        <v>161</v>
      </c>
      <c r="F2378" s="19" t="s">
        <v>162</v>
      </c>
      <c r="G2378" s="19" t="s">
        <v>163</v>
      </c>
      <c r="I2378" s="19" t="s">
        <v>164</v>
      </c>
      <c r="J2378" s="19">
        <v>1</v>
      </c>
      <c r="K2378" s="19">
        <v>3.3300000000000003E-2</v>
      </c>
      <c r="L2378" s="19" t="s">
        <v>35</v>
      </c>
      <c r="M2378" s="19" t="s">
        <v>165</v>
      </c>
      <c r="N2378" s="19">
        <v>33.33</v>
      </c>
      <c r="O2378" s="19">
        <v>33.33</v>
      </c>
      <c r="P2378" s="19">
        <v>0</v>
      </c>
      <c r="Q2378" s="19">
        <v>0</v>
      </c>
      <c r="R2378" s="19" t="s">
        <v>870</v>
      </c>
      <c r="S2378" s="19">
        <v>0.9</v>
      </c>
      <c r="T2378" s="19">
        <v>1</v>
      </c>
      <c r="U2378" s="19">
        <v>0</v>
      </c>
      <c r="W2378" s="19">
        <v>0</v>
      </c>
      <c r="X2378" s="19">
        <v>33.33</v>
      </c>
      <c r="Z2378" s="19">
        <v>0</v>
      </c>
      <c r="AA2378" s="19">
        <v>33.33</v>
      </c>
    </row>
    <row r="2379" spans="1:27" x14ac:dyDescent="0.25">
      <c r="A2379" s="19" t="s">
        <v>2744</v>
      </c>
      <c r="B2379" s="19" t="s">
        <v>2707</v>
      </c>
      <c r="C2379" s="19">
        <v>44002</v>
      </c>
      <c r="D2379" s="19">
        <v>3.33</v>
      </c>
      <c r="E2379" s="19" t="s">
        <v>167</v>
      </c>
      <c r="F2379" s="19" t="s">
        <v>168</v>
      </c>
      <c r="G2379" s="19" t="s">
        <v>163</v>
      </c>
      <c r="I2379" s="19" t="s">
        <v>164</v>
      </c>
      <c r="J2379" s="19">
        <v>3</v>
      </c>
      <c r="K2379" s="19">
        <v>3.3300000000000003E-2</v>
      </c>
      <c r="L2379" s="19" t="s">
        <v>35</v>
      </c>
      <c r="M2379" s="19" t="s">
        <v>165</v>
      </c>
      <c r="N2379" s="19">
        <v>100</v>
      </c>
      <c r="O2379" s="19">
        <v>100</v>
      </c>
      <c r="P2379" s="19">
        <v>0</v>
      </c>
      <c r="Q2379" s="19">
        <v>0</v>
      </c>
      <c r="R2379" s="19" t="s">
        <v>870</v>
      </c>
      <c r="S2379" s="19">
        <v>0.9</v>
      </c>
      <c r="T2379" s="19">
        <v>1</v>
      </c>
      <c r="U2379" s="19">
        <v>0</v>
      </c>
      <c r="W2379" s="19">
        <v>0</v>
      </c>
      <c r="X2379" s="19">
        <v>100</v>
      </c>
      <c r="Z2379" s="19">
        <v>0</v>
      </c>
      <c r="AA2379" s="19">
        <v>100</v>
      </c>
    </row>
    <row r="2380" spans="1:27" x14ac:dyDescent="0.25">
      <c r="A2380" s="19" t="s">
        <v>2745</v>
      </c>
      <c r="B2380" s="19" t="s">
        <v>2707</v>
      </c>
      <c r="C2380" s="19">
        <v>44002</v>
      </c>
      <c r="D2380" s="19">
        <v>2.9636999999999998</v>
      </c>
      <c r="E2380" s="19" t="s">
        <v>170</v>
      </c>
      <c r="F2380" s="19" t="s">
        <v>171</v>
      </c>
      <c r="G2380" s="19" t="s">
        <v>163</v>
      </c>
      <c r="I2380" s="19" t="s">
        <v>164</v>
      </c>
      <c r="J2380" s="19">
        <v>2</v>
      </c>
      <c r="K2380" s="19">
        <v>3.3300000000000003E-2</v>
      </c>
      <c r="L2380" s="19" t="s">
        <v>35</v>
      </c>
      <c r="M2380" s="19" t="s">
        <v>165</v>
      </c>
      <c r="N2380" s="19">
        <v>89</v>
      </c>
      <c r="O2380" s="19">
        <v>89</v>
      </c>
      <c r="P2380" s="19">
        <v>0</v>
      </c>
      <c r="Q2380" s="19">
        <v>0</v>
      </c>
      <c r="R2380" s="19" t="s">
        <v>870</v>
      </c>
      <c r="S2380" s="19">
        <v>0.9</v>
      </c>
      <c r="T2380" s="19">
        <v>1</v>
      </c>
      <c r="U2380" s="19">
        <v>0</v>
      </c>
      <c r="W2380" s="19">
        <v>0</v>
      </c>
      <c r="X2380" s="19">
        <v>89</v>
      </c>
      <c r="Z2380" s="19">
        <v>0</v>
      </c>
      <c r="AA2380" s="19">
        <v>89</v>
      </c>
    </row>
    <row r="2381" spans="1:27" x14ac:dyDescent="0.25">
      <c r="A2381" s="19" t="s">
        <v>2583</v>
      </c>
      <c r="B2381" s="19" t="s">
        <v>2584</v>
      </c>
      <c r="C2381" s="19" t="s">
        <v>2585</v>
      </c>
      <c r="D2381" s="19">
        <v>2.78</v>
      </c>
      <c r="E2381" s="19" t="s">
        <v>140</v>
      </c>
      <c r="F2381" s="19" t="s">
        <v>141</v>
      </c>
      <c r="G2381" s="19" t="s">
        <v>134</v>
      </c>
      <c r="H2381" s="19" t="s">
        <v>87</v>
      </c>
      <c r="I2381" s="19" t="s">
        <v>135</v>
      </c>
      <c r="J2381" s="19">
        <v>10</v>
      </c>
      <c r="K2381" s="19">
        <v>4.1700000000000001E-2</v>
      </c>
      <c r="L2381" s="19" t="s">
        <v>541</v>
      </c>
      <c r="M2381" s="19" t="s">
        <v>541</v>
      </c>
      <c r="N2381" s="19">
        <v>50</v>
      </c>
      <c r="O2381" s="19">
        <v>66.666666666699996</v>
      </c>
      <c r="P2381" s="19">
        <v>33.333333333299997</v>
      </c>
      <c r="Q2381" s="19">
        <v>16.666666666699999</v>
      </c>
      <c r="R2381" s="19" t="s">
        <v>1075</v>
      </c>
      <c r="S2381" s="19">
        <v>1</v>
      </c>
      <c r="T2381" s="19">
        <v>1</v>
      </c>
      <c r="U2381" s="19">
        <v>16.666666666699999</v>
      </c>
      <c r="AA2381" s="19">
        <v>0</v>
      </c>
    </row>
    <row r="2382" spans="1:27" x14ac:dyDescent="0.25">
      <c r="A2382" s="19" t="s">
        <v>2586</v>
      </c>
      <c r="B2382" s="19" t="s">
        <v>2584</v>
      </c>
      <c r="C2382" s="19" t="s">
        <v>2585</v>
      </c>
      <c r="D2382" s="19">
        <v>0</v>
      </c>
      <c r="E2382" s="19" t="s">
        <v>30</v>
      </c>
      <c r="F2382" s="19" t="s">
        <v>31</v>
      </c>
      <c r="G2382" s="19" t="s">
        <v>32</v>
      </c>
      <c r="H2382" s="19" t="s">
        <v>33</v>
      </c>
      <c r="I2382" s="19" t="s">
        <v>34</v>
      </c>
      <c r="J2382" s="19">
        <v>17</v>
      </c>
      <c r="K2382" s="19">
        <v>1.6299999999999999E-2</v>
      </c>
      <c r="L2382" s="19" t="s">
        <v>35</v>
      </c>
      <c r="N2382" s="19">
        <v>0</v>
      </c>
      <c r="O2382" s="19">
        <v>0</v>
      </c>
      <c r="P2382" s="19">
        <v>0</v>
      </c>
      <c r="Q2382" s="19">
        <v>0</v>
      </c>
      <c r="R2382" s="19" t="s">
        <v>1075</v>
      </c>
      <c r="S2382" s="19">
        <v>1</v>
      </c>
      <c r="T2382" s="19">
        <v>1</v>
      </c>
      <c r="U2382" s="19">
        <v>0</v>
      </c>
      <c r="V2382" s="19" t="s">
        <v>36</v>
      </c>
      <c r="W2382" s="19">
        <v>0</v>
      </c>
      <c r="Z2382" s="19">
        <v>0</v>
      </c>
      <c r="AA2382" s="19">
        <v>0</v>
      </c>
    </row>
    <row r="2383" spans="1:27" x14ac:dyDescent="0.25">
      <c r="A2383" s="19" t="s">
        <v>2587</v>
      </c>
      <c r="B2383" s="19" t="s">
        <v>2584</v>
      </c>
      <c r="C2383" s="19" t="s">
        <v>2585</v>
      </c>
      <c r="D2383" s="19">
        <v>0.81499999999999995</v>
      </c>
      <c r="E2383" s="19" t="s">
        <v>38</v>
      </c>
      <c r="F2383" s="19" t="s">
        <v>39</v>
      </c>
      <c r="G2383" s="19" t="s">
        <v>32</v>
      </c>
      <c r="H2383" s="19" t="s">
        <v>33</v>
      </c>
      <c r="I2383" s="19" t="s">
        <v>34</v>
      </c>
      <c r="J2383" s="19">
        <v>19</v>
      </c>
      <c r="K2383" s="19">
        <v>1.6299999999999999E-2</v>
      </c>
      <c r="L2383" s="19" t="s">
        <v>35</v>
      </c>
      <c r="M2383" s="19" t="s">
        <v>142</v>
      </c>
      <c r="N2383" s="19">
        <v>50</v>
      </c>
      <c r="O2383" s="19">
        <v>50</v>
      </c>
      <c r="P2383" s="19">
        <v>0</v>
      </c>
      <c r="Q2383" s="19">
        <v>0</v>
      </c>
      <c r="R2383" s="19" t="s">
        <v>1075</v>
      </c>
      <c r="S2383" s="19">
        <v>1</v>
      </c>
      <c r="T2383" s="19">
        <v>1</v>
      </c>
      <c r="U2383" s="19">
        <v>0</v>
      </c>
      <c r="V2383" s="19" t="s">
        <v>41</v>
      </c>
      <c r="W2383" s="19">
        <v>1</v>
      </c>
      <c r="Y2383" s="19" t="s">
        <v>142</v>
      </c>
      <c r="Z2383" s="19">
        <v>50</v>
      </c>
      <c r="AA2383" s="19">
        <v>50</v>
      </c>
    </row>
    <row r="2384" spans="1:27" x14ac:dyDescent="0.25">
      <c r="A2384" s="19" t="s">
        <v>2588</v>
      </c>
      <c r="B2384" s="19" t="s">
        <v>2584</v>
      </c>
      <c r="C2384" s="19" t="s">
        <v>2585</v>
      </c>
      <c r="D2384" s="19">
        <v>0.81499999999999995</v>
      </c>
      <c r="E2384" s="19" t="s">
        <v>43</v>
      </c>
      <c r="F2384" s="19" t="s">
        <v>44</v>
      </c>
      <c r="G2384" s="19" t="s">
        <v>32</v>
      </c>
      <c r="H2384" s="19" t="s">
        <v>33</v>
      </c>
      <c r="I2384" s="19" t="s">
        <v>34</v>
      </c>
      <c r="J2384" s="19">
        <v>18</v>
      </c>
      <c r="K2384" s="19">
        <v>1.6299999999999999E-2</v>
      </c>
      <c r="L2384" s="19" t="s">
        <v>35</v>
      </c>
      <c r="M2384" s="19" t="s">
        <v>142</v>
      </c>
      <c r="N2384" s="19">
        <v>50</v>
      </c>
      <c r="O2384" s="19">
        <v>50</v>
      </c>
      <c r="P2384" s="19">
        <v>0</v>
      </c>
      <c r="Q2384" s="19">
        <v>0</v>
      </c>
      <c r="R2384" s="19" t="s">
        <v>1075</v>
      </c>
      <c r="S2384" s="19">
        <v>1</v>
      </c>
      <c r="T2384" s="19">
        <v>1</v>
      </c>
      <c r="U2384" s="19">
        <v>0</v>
      </c>
      <c r="V2384" s="19" t="s">
        <v>41</v>
      </c>
      <c r="W2384" s="19">
        <v>1</v>
      </c>
      <c r="Y2384" s="19" t="s">
        <v>142</v>
      </c>
      <c r="Z2384" s="19">
        <v>50</v>
      </c>
      <c r="AA2384" s="19">
        <v>50</v>
      </c>
    </row>
    <row r="2385" spans="1:27" x14ac:dyDescent="0.25">
      <c r="A2385" s="19" t="s">
        <v>2589</v>
      </c>
      <c r="B2385" s="19" t="s">
        <v>2584</v>
      </c>
      <c r="C2385" s="19" t="s">
        <v>2585</v>
      </c>
      <c r="D2385" s="19">
        <v>0.81499999999999995</v>
      </c>
      <c r="E2385" s="19" t="s">
        <v>46</v>
      </c>
      <c r="F2385" s="19" t="s">
        <v>47</v>
      </c>
      <c r="G2385" s="19" t="s">
        <v>32</v>
      </c>
      <c r="H2385" s="19" t="s">
        <v>33</v>
      </c>
      <c r="I2385" s="19" t="s">
        <v>34</v>
      </c>
      <c r="J2385" s="19">
        <v>15</v>
      </c>
      <c r="K2385" s="19">
        <v>1.6299999999999999E-2</v>
      </c>
      <c r="L2385" s="19" t="s">
        <v>35</v>
      </c>
      <c r="M2385" s="19" t="s">
        <v>142</v>
      </c>
      <c r="N2385" s="19">
        <v>50</v>
      </c>
      <c r="O2385" s="19">
        <v>50</v>
      </c>
      <c r="P2385" s="19">
        <v>0</v>
      </c>
      <c r="Q2385" s="19">
        <v>0</v>
      </c>
      <c r="R2385" s="19" t="s">
        <v>1075</v>
      </c>
      <c r="S2385" s="19">
        <v>1</v>
      </c>
      <c r="T2385" s="19">
        <v>1</v>
      </c>
      <c r="U2385" s="19">
        <v>0</v>
      </c>
      <c r="V2385" s="19" t="s">
        <v>41</v>
      </c>
      <c r="W2385" s="19">
        <v>1</v>
      </c>
      <c r="Y2385" s="19" t="s">
        <v>142</v>
      </c>
      <c r="Z2385" s="19">
        <v>50</v>
      </c>
      <c r="AA2385" s="19">
        <v>50</v>
      </c>
    </row>
    <row r="2386" spans="1:27" x14ac:dyDescent="0.25">
      <c r="A2386" s="19" t="s">
        <v>2590</v>
      </c>
      <c r="B2386" s="19" t="s">
        <v>2584</v>
      </c>
      <c r="C2386" s="19" t="s">
        <v>2585</v>
      </c>
      <c r="D2386" s="19">
        <v>0.81499999999999995</v>
      </c>
      <c r="E2386" s="19" t="s">
        <v>49</v>
      </c>
      <c r="F2386" s="19" t="s">
        <v>50</v>
      </c>
      <c r="G2386" s="19" t="s">
        <v>32</v>
      </c>
      <c r="H2386" s="19" t="s">
        <v>33</v>
      </c>
      <c r="I2386" s="19" t="s">
        <v>34</v>
      </c>
      <c r="J2386" s="19">
        <v>12</v>
      </c>
      <c r="K2386" s="19">
        <v>1.6299999999999999E-2</v>
      </c>
      <c r="L2386" s="19" t="s">
        <v>35</v>
      </c>
      <c r="M2386" s="19" t="s">
        <v>142</v>
      </c>
      <c r="N2386" s="19">
        <v>50</v>
      </c>
      <c r="O2386" s="19">
        <v>50</v>
      </c>
      <c r="P2386" s="19">
        <v>0</v>
      </c>
      <c r="Q2386" s="19">
        <v>0</v>
      </c>
      <c r="R2386" s="19" t="s">
        <v>1075</v>
      </c>
      <c r="S2386" s="19">
        <v>1</v>
      </c>
      <c r="T2386" s="19">
        <v>1</v>
      </c>
      <c r="U2386" s="19">
        <v>0</v>
      </c>
      <c r="V2386" s="19" t="s">
        <v>41</v>
      </c>
      <c r="W2386" s="19">
        <v>1</v>
      </c>
      <c r="Y2386" s="19" t="s">
        <v>142</v>
      </c>
      <c r="Z2386" s="19">
        <v>50</v>
      </c>
      <c r="AA2386" s="19">
        <v>50</v>
      </c>
    </row>
    <row r="2387" spans="1:27" x14ac:dyDescent="0.25">
      <c r="A2387" s="19" t="s">
        <v>2591</v>
      </c>
      <c r="B2387" s="19" t="s">
        <v>2584</v>
      </c>
      <c r="C2387" s="19" t="s">
        <v>2585</v>
      </c>
      <c r="D2387" s="19">
        <v>0.81499999999999995</v>
      </c>
      <c r="E2387" s="19" t="s">
        <v>52</v>
      </c>
      <c r="F2387" s="19" t="s">
        <v>53</v>
      </c>
      <c r="G2387" s="19" t="s">
        <v>32</v>
      </c>
      <c r="H2387" s="19" t="s">
        <v>33</v>
      </c>
      <c r="I2387" s="19" t="s">
        <v>34</v>
      </c>
      <c r="J2387" s="19">
        <v>16</v>
      </c>
      <c r="K2387" s="19">
        <v>1.6299999999999999E-2</v>
      </c>
      <c r="L2387" s="19" t="s">
        <v>35</v>
      </c>
      <c r="M2387" s="19" t="s">
        <v>142</v>
      </c>
      <c r="N2387" s="19">
        <v>50</v>
      </c>
      <c r="O2387" s="19">
        <v>50</v>
      </c>
      <c r="P2387" s="19">
        <v>0</v>
      </c>
      <c r="Q2387" s="19">
        <v>0</v>
      </c>
      <c r="R2387" s="19" t="s">
        <v>1075</v>
      </c>
      <c r="S2387" s="19">
        <v>1</v>
      </c>
      <c r="T2387" s="19">
        <v>1</v>
      </c>
      <c r="U2387" s="19">
        <v>0</v>
      </c>
      <c r="V2387" s="19" t="s">
        <v>41</v>
      </c>
      <c r="W2387" s="19">
        <v>1</v>
      </c>
      <c r="Y2387" s="19" t="s">
        <v>142</v>
      </c>
      <c r="Z2387" s="19">
        <v>50</v>
      </c>
      <c r="AA2387" s="19">
        <v>50</v>
      </c>
    </row>
    <row r="2388" spans="1:27" x14ac:dyDescent="0.25">
      <c r="A2388" s="19" t="s">
        <v>2592</v>
      </c>
      <c r="B2388" s="19" t="s">
        <v>2584</v>
      </c>
      <c r="C2388" s="19" t="s">
        <v>2585</v>
      </c>
      <c r="D2388" s="19">
        <v>0.81499999999999995</v>
      </c>
      <c r="E2388" s="19" t="s">
        <v>55</v>
      </c>
      <c r="F2388" s="19" t="s">
        <v>56</v>
      </c>
      <c r="G2388" s="19" t="s">
        <v>32</v>
      </c>
      <c r="H2388" s="19" t="s">
        <v>33</v>
      </c>
      <c r="I2388" s="19" t="s">
        <v>34</v>
      </c>
      <c r="J2388" s="19">
        <v>14</v>
      </c>
      <c r="K2388" s="19">
        <v>1.6299999999999999E-2</v>
      </c>
      <c r="L2388" s="19" t="s">
        <v>35</v>
      </c>
      <c r="M2388" s="19" t="s">
        <v>142</v>
      </c>
      <c r="N2388" s="19">
        <v>50</v>
      </c>
      <c r="O2388" s="19">
        <v>50</v>
      </c>
      <c r="P2388" s="19">
        <v>0</v>
      </c>
      <c r="Q2388" s="19">
        <v>0</v>
      </c>
      <c r="R2388" s="19" t="s">
        <v>1075</v>
      </c>
      <c r="S2388" s="19">
        <v>1</v>
      </c>
      <c r="T2388" s="19">
        <v>1</v>
      </c>
      <c r="U2388" s="19">
        <v>0</v>
      </c>
      <c r="V2388" s="19" t="s">
        <v>41</v>
      </c>
      <c r="W2388" s="19">
        <v>1</v>
      </c>
      <c r="Y2388" s="19" t="s">
        <v>142</v>
      </c>
      <c r="Z2388" s="19">
        <v>50</v>
      </c>
      <c r="AA2388" s="19">
        <v>50</v>
      </c>
    </row>
    <row r="2389" spans="1:27" x14ac:dyDescent="0.25">
      <c r="A2389" s="19" t="s">
        <v>2593</v>
      </c>
      <c r="B2389" s="19" t="s">
        <v>2584</v>
      </c>
      <c r="C2389" s="19" t="s">
        <v>2585</v>
      </c>
      <c r="D2389" s="19">
        <v>0.81499999999999995</v>
      </c>
      <c r="E2389" s="19" t="s">
        <v>58</v>
      </c>
      <c r="F2389" s="19" t="s">
        <v>59</v>
      </c>
      <c r="G2389" s="19" t="s">
        <v>32</v>
      </c>
      <c r="H2389" s="19" t="s">
        <v>33</v>
      </c>
      <c r="I2389" s="19" t="s">
        <v>34</v>
      </c>
      <c r="J2389" s="19">
        <v>13</v>
      </c>
      <c r="K2389" s="19">
        <v>1.6299999999999999E-2</v>
      </c>
      <c r="L2389" s="19" t="s">
        <v>35</v>
      </c>
      <c r="M2389" s="19" t="s">
        <v>142</v>
      </c>
      <c r="N2389" s="19">
        <v>50</v>
      </c>
      <c r="O2389" s="19">
        <v>50</v>
      </c>
      <c r="P2389" s="19">
        <v>0</v>
      </c>
      <c r="Q2389" s="19">
        <v>0</v>
      </c>
      <c r="R2389" s="19" t="s">
        <v>1075</v>
      </c>
      <c r="S2389" s="19">
        <v>1</v>
      </c>
      <c r="T2389" s="19">
        <v>1</v>
      </c>
      <c r="U2389" s="19">
        <v>0</v>
      </c>
      <c r="V2389" s="19" t="s">
        <v>41</v>
      </c>
      <c r="W2389" s="19">
        <v>1</v>
      </c>
      <c r="Y2389" s="19" t="s">
        <v>142</v>
      </c>
      <c r="Z2389" s="19">
        <v>50</v>
      </c>
      <c r="AA2389" s="19">
        <v>50</v>
      </c>
    </row>
    <row r="2390" spans="1:27" x14ac:dyDescent="0.25">
      <c r="A2390" s="19" t="s">
        <v>2594</v>
      </c>
      <c r="B2390" s="19" t="s">
        <v>2584</v>
      </c>
      <c r="C2390" s="19" t="s">
        <v>2585</v>
      </c>
      <c r="D2390" s="19">
        <v>0.92999999999999905</v>
      </c>
      <c r="E2390" s="19" t="s">
        <v>61</v>
      </c>
      <c r="F2390" s="19" t="s">
        <v>62</v>
      </c>
      <c r="G2390" s="19" t="s">
        <v>32</v>
      </c>
      <c r="H2390" s="19" t="s">
        <v>63</v>
      </c>
      <c r="I2390" s="19" t="s">
        <v>64</v>
      </c>
      <c r="J2390" s="19">
        <v>22</v>
      </c>
      <c r="K2390" s="19">
        <v>1.8599999999999998E-2</v>
      </c>
      <c r="L2390" s="19" t="s">
        <v>35</v>
      </c>
      <c r="M2390" s="19" t="s">
        <v>142</v>
      </c>
      <c r="N2390" s="19">
        <v>50</v>
      </c>
      <c r="O2390" s="19">
        <v>50</v>
      </c>
      <c r="P2390" s="19">
        <v>0</v>
      </c>
      <c r="Q2390" s="19">
        <v>0</v>
      </c>
      <c r="R2390" s="19" t="s">
        <v>1075</v>
      </c>
      <c r="S2390" s="19">
        <v>1</v>
      </c>
      <c r="T2390" s="19">
        <v>1</v>
      </c>
      <c r="U2390" s="19">
        <v>0</v>
      </c>
      <c r="V2390" s="19" t="s">
        <v>41</v>
      </c>
      <c r="W2390" s="19">
        <v>1</v>
      </c>
      <c r="Y2390" s="19" t="s">
        <v>142</v>
      </c>
      <c r="Z2390" s="19">
        <v>50</v>
      </c>
      <c r="AA2390" s="19">
        <v>50</v>
      </c>
    </row>
    <row r="2391" spans="1:27" x14ac:dyDescent="0.25">
      <c r="A2391" s="19" t="s">
        <v>2595</v>
      </c>
      <c r="B2391" s="19" t="s">
        <v>2584</v>
      </c>
      <c r="C2391" s="19" t="s">
        <v>2585</v>
      </c>
      <c r="D2391" s="19">
        <v>0.92999999999999905</v>
      </c>
      <c r="E2391" s="19" t="s">
        <v>66</v>
      </c>
      <c r="F2391" s="19" t="s">
        <v>67</v>
      </c>
      <c r="G2391" s="19" t="s">
        <v>32</v>
      </c>
      <c r="H2391" s="19" t="s">
        <v>63</v>
      </c>
      <c r="I2391" s="19" t="s">
        <v>64</v>
      </c>
      <c r="J2391" s="19">
        <v>20</v>
      </c>
      <c r="K2391" s="19">
        <v>1.8599999999999998E-2</v>
      </c>
      <c r="L2391" s="19" t="s">
        <v>35</v>
      </c>
      <c r="M2391" s="19" t="s">
        <v>142</v>
      </c>
      <c r="N2391" s="19">
        <v>50</v>
      </c>
      <c r="O2391" s="19">
        <v>50</v>
      </c>
      <c r="P2391" s="19">
        <v>0</v>
      </c>
      <c r="Q2391" s="19">
        <v>0</v>
      </c>
      <c r="R2391" s="19" t="s">
        <v>1075</v>
      </c>
      <c r="S2391" s="19">
        <v>1</v>
      </c>
      <c r="T2391" s="19">
        <v>1</v>
      </c>
      <c r="U2391" s="19">
        <v>0</v>
      </c>
      <c r="V2391" s="19" t="s">
        <v>41</v>
      </c>
      <c r="W2391" s="19">
        <v>1</v>
      </c>
      <c r="Y2391" s="19" t="s">
        <v>142</v>
      </c>
      <c r="Z2391" s="19">
        <v>50</v>
      </c>
      <c r="AA2391" s="19">
        <v>50</v>
      </c>
    </row>
    <row r="2392" spans="1:27" x14ac:dyDescent="0.25">
      <c r="A2392" s="19" t="s">
        <v>2596</v>
      </c>
      <c r="B2392" s="19" t="s">
        <v>2584</v>
      </c>
      <c r="C2392" s="19" t="s">
        <v>2585</v>
      </c>
      <c r="D2392" s="19">
        <v>0.92999999999999905</v>
      </c>
      <c r="E2392" s="19" t="s">
        <v>69</v>
      </c>
      <c r="F2392" s="19" t="s">
        <v>70</v>
      </c>
      <c r="G2392" s="19" t="s">
        <v>32</v>
      </c>
      <c r="H2392" s="19" t="s">
        <v>63</v>
      </c>
      <c r="I2392" s="19" t="s">
        <v>64</v>
      </c>
      <c r="J2392" s="19">
        <v>23</v>
      </c>
      <c r="K2392" s="19">
        <v>1.8599999999999998E-2</v>
      </c>
      <c r="L2392" s="19" t="s">
        <v>35</v>
      </c>
      <c r="M2392" s="19" t="s">
        <v>142</v>
      </c>
      <c r="N2392" s="19">
        <v>50</v>
      </c>
      <c r="O2392" s="19">
        <v>50</v>
      </c>
      <c r="P2392" s="19">
        <v>0</v>
      </c>
      <c r="Q2392" s="19">
        <v>0</v>
      </c>
      <c r="R2392" s="19" t="s">
        <v>1075</v>
      </c>
      <c r="S2392" s="19">
        <v>1</v>
      </c>
      <c r="T2392" s="19">
        <v>1</v>
      </c>
      <c r="U2392" s="19">
        <v>0</v>
      </c>
      <c r="V2392" s="19" t="s">
        <v>41</v>
      </c>
      <c r="W2392" s="19">
        <v>1</v>
      </c>
      <c r="Y2392" s="19" t="s">
        <v>142</v>
      </c>
      <c r="Z2392" s="19">
        <v>50</v>
      </c>
      <c r="AA2392" s="19">
        <v>50</v>
      </c>
    </row>
    <row r="2393" spans="1:27" x14ac:dyDescent="0.25">
      <c r="A2393" s="19" t="s">
        <v>2597</v>
      </c>
      <c r="B2393" s="19" t="s">
        <v>2584</v>
      </c>
      <c r="C2393" s="19" t="s">
        <v>2585</v>
      </c>
      <c r="D2393" s="19">
        <v>0.92999999999999905</v>
      </c>
      <c r="E2393" s="19" t="s">
        <v>72</v>
      </c>
      <c r="F2393" s="19" t="s">
        <v>73</v>
      </c>
      <c r="G2393" s="19" t="s">
        <v>32</v>
      </c>
      <c r="H2393" s="19" t="s">
        <v>63</v>
      </c>
      <c r="I2393" s="19" t="s">
        <v>64</v>
      </c>
      <c r="J2393" s="19">
        <v>21</v>
      </c>
      <c r="K2393" s="19">
        <v>1.8599999999999998E-2</v>
      </c>
      <c r="L2393" s="19" t="s">
        <v>35</v>
      </c>
      <c r="M2393" s="19" t="s">
        <v>142</v>
      </c>
      <c r="N2393" s="19">
        <v>50</v>
      </c>
      <c r="O2393" s="19">
        <v>50</v>
      </c>
      <c r="P2393" s="19">
        <v>0</v>
      </c>
      <c r="Q2393" s="19">
        <v>0</v>
      </c>
      <c r="R2393" s="19" t="s">
        <v>1075</v>
      </c>
      <c r="S2393" s="19">
        <v>1</v>
      </c>
      <c r="T2393" s="19">
        <v>1</v>
      </c>
      <c r="U2393" s="19">
        <v>0</v>
      </c>
      <c r="V2393" s="19" t="s">
        <v>41</v>
      </c>
      <c r="W2393" s="19">
        <v>1</v>
      </c>
      <c r="Y2393" s="19" t="s">
        <v>142</v>
      </c>
      <c r="Z2393" s="19">
        <v>50</v>
      </c>
      <c r="AA2393" s="19">
        <v>50</v>
      </c>
    </row>
    <row r="2394" spans="1:27" x14ac:dyDescent="0.25">
      <c r="A2394" s="19" t="s">
        <v>2598</v>
      </c>
      <c r="B2394" s="19" t="s">
        <v>2584</v>
      </c>
      <c r="C2394" s="19" t="s">
        <v>2585</v>
      </c>
      <c r="D2394" s="19">
        <v>0.92999999999999905</v>
      </c>
      <c r="E2394" s="19" t="s">
        <v>75</v>
      </c>
      <c r="F2394" s="19" t="s">
        <v>76</v>
      </c>
      <c r="G2394" s="19" t="s">
        <v>32</v>
      </c>
      <c r="H2394" s="19" t="s">
        <v>63</v>
      </c>
      <c r="I2394" s="19" t="s">
        <v>64</v>
      </c>
      <c r="J2394" s="19">
        <v>24</v>
      </c>
      <c r="K2394" s="19">
        <v>1.8599999999999998E-2</v>
      </c>
      <c r="L2394" s="19" t="s">
        <v>35</v>
      </c>
      <c r="M2394" s="19" t="s">
        <v>142</v>
      </c>
      <c r="N2394" s="19">
        <v>50</v>
      </c>
      <c r="O2394" s="19">
        <v>50</v>
      </c>
      <c r="P2394" s="19">
        <v>0</v>
      </c>
      <c r="Q2394" s="19">
        <v>0</v>
      </c>
      <c r="R2394" s="19" t="s">
        <v>1075</v>
      </c>
      <c r="S2394" s="19">
        <v>1</v>
      </c>
      <c r="T2394" s="19">
        <v>1</v>
      </c>
      <c r="U2394" s="19">
        <v>0</v>
      </c>
      <c r="V2394" s="19" t="s">
        <v>41</v>
      </c>
      <c r="W2394" s="19">
        <v>1</v>
      </c>
      <c r="Y2394" s="19" t="s">
        <v>142</v>
      </c>
      <c r="Z2394" s="19">
        <v>50</v>
      </c>
      <c r="AA2394" s="19">
        <v>50</v>
      </c>
    </row>
    <row r="2395" spans="1:27" x14ac:dyDescent="0.25">
      <c r="A2395" s="19" t="s">
        <v>2599</v>
      </c>
      <c r="B2395" s="19" t="s">
        <v>2584</v>
      </c>
      <c r="C2395" s="19" t="s">
        <v>2585</v>
      </c>
      <c r="D2395" s="19">
        <v>0.92999999999999905</v>
      </c>
      <c r="E2395" s="19" t="s">
        <v>78</v>
      </c>
      <c r="F2395" s="19" t="s">
        <v>79</v>
      </c>
      <c r="G2395" s="19" t="s">
        <v>32</v>
      </c>
      <c r="H2395" s="19" t="s">
        <v>63</v>
      </c>
      <c r="I2395" s="19" t="s">
        <v>64</v>
      </c>
      <c r="J2395" s="19">
        <v>25</v>
      </c>
      <c r="K2395" s="19">
        <v>1.8599999999999998E-2</v>
      </c>
      <c r="L2395" s="19" t="s">
        <v>35</v>
      </c>
      <c r="M2395" s="19" t="s">
        <v>142</v>
      </c>
      <c r="N2395" s="19">
        <v>50</v>
      </c>
      <c r="O2395" s="19">
        <v>50</v>
      </c>
      <c r="P2395" s="19">
        <v>0</v>
      </c>
      <c r="Q2395" s="19">
        <v>0</v>
      </c>
      <c r="R2395" s="19" t="s">
        <v>1075</v>
      </c>
      <c r="S2395" s="19">
        <v>1</v>
      </c>
      <c r="T2395" s="19">
        <v>1</v>
      </c>
      <c r="U2395" s="19">
        <v>0</v>
      </c>
      <c r="V2395" s="19" t="s">
        <v>41</v>
      </c>
      <c r="W2395" s="19">
        <v>1</v>
      </c>
      <c r="Y2395" s="19" t="s">
        <v>142</v>
      </c>
      <c r="Z2395" s="19">
        <v>50</v>
      </c>
      <c r="AA2395" s="19">
        <v>50</v>
      </c>
    </row>
    <row r="2396" spans="1:27" x14ac:dyDescent="0.25">
      <c r="A2396" s="19" t="s">
        <v>2600</v>
      </c>
      <c r="B2396" s="19" t="s">
        <v>2584</v>
      </c>
      <c r="C2396" s="19" t="s">
        <v>2585</v>
      </c>
      <c r="D2396" s="19">
        <v>0.92999999999999905</v>
      </c>
      <c r="E2396" s="19" t="s">
        <v>82</v>
      </c>
      <c r="F2396" s="19" t="s">
        <v>83</v>
      </c>
      <c r="G2396" s="19" t="s">
        <v>32</v>
      </c>
      <c r="H2396" s="19" t="s">
        <v>63</v>
      </c>
      <c r="I2396" s="19" t="s">
        <v>64</v>
      </c>
      <c r="J2396" s="19">
        <v>26</v>
      </c>
      <c r="K2396" s="19">
        <v>1.8599999999999998E-2</v>
      </c>
      <c r="L2396" s="19" t="s">
        <v>35</v>
      </c>
      <c r="M2396" s="19" t="s">
        <v>142</v>
      </c>
      <c r="N2396" s="19">
        <v>50</v>
      </c>
      <c r="O2396" s="19">
        <v>50</v>
      </c>
      <c r="P2396" s="19">
        <v>0</v>
      </c>
      <c r="Q2396" s="19">
        <v>0</v>
      </c>
      <c r="R2396" s="19" t="s">
        <v>1075</v>
      </c>
      <c r="S2396" s="19">
        <v>1</v>
      </c>
      <c r="T2396" s="19">
        <v>1</v>
      </c>
      <c r="U2396" s="19">
        <v>0</v>
      </c>
      <c r="V2396" s="19" t="s">
        <v>41</v>
      </c>
      <c r="W2396" s="19">
        <v>1</v>
      </c>
      <c r="Y2396" s="19" t="s">
        <v>142</v>
      </c>
      <c r="Z2396" s="19">
        <v>50</v>
      </c>
      <c r="AA2396" s="19">
        <v>50</v>
      </c>
    </row>
    <row r="2397" spans="1:27" x14ac:dyDescent="0.25">
      <c r="A2397" s="19" t="s">
        <v>2601</v>
      </c>
      <c r="B2397" s="19" t="s">
        <v>2584</v>
      </c>
      <c r="C2397" s="19" t="s">
        <v>2585</v>
      </c>
      <c r="D2397" s="19">
        <v>0</v>
      </c>
      <c r="E2397" s="19" t="s">
        <v>85</v>
      </c>
      <c r="F2397" s="19" t="s">
        <v>86</v>
      </c>
      <c r="G2397" s="19" t="s">
        <v>32</v>
      </c>
      <c r="H2397" s="19" t="s">
        <v>87</v>
      </c>
      <c r="I2397" s="19" t="s">
        <v>88</v>
      </c>
      <c r="J2397" s="19">
        <v>35</v>
      </c>
      <c r="K2397" s="19">
        <v>3.2500000000000001E-2</v>
      </c>
      <c r="L2397" s="19" t="s">
        <v>35</v>
      </c>
      <c r="N2397" s="19">
        <v>0</v>
      </c>
      <c r="O2397" s="19">
        <v>0</v>
      </c>
      <c r="P2397" s="19">
        <v>0</v>
      </c>
      <c r="Q2397" s="19">
        <v>0</v>
      </c>
      <c r="R2397" s="19" t="s">
        <v>1075</v>
      </c>
      <c r="S2397" s="19">
        <v>1</v>
      </c>
      <c r="T2397" s="19">
        <v>1</v>
      </c>
      <c r="U2397" s="19">
        <v>0</v>
      </c>
      <c r="V2397" s="19" t="s">
        <v>36</v>
      </c>
      <c r="W2397" s="19">
        <v>0</v>
      </c>
      <c r="Z2397" s="19">
        <v>0</v>
      </c>
      <c r="AA2397" s="19">
        <v>0</v>
      </c>
    </row>
    <row r="2398" spans="1:27" x14ac:dyDescent="0.25">
      <c r="A2398" s="19" t="s">
        <v>2602</v>
      </c>
      <c r="B2398" s="19" t="s">
        <v>2584</v>
      </c>
      <c r="C2398" s="19" t="s">
        <v>2585</v>
      </c>
      <c r="D2398" s="19">
        <v>0</v>
      </c>
      <c r="E2398" s="19" t="s">
        <v>90</v>
      </c>
      <c r="F2398" s="19" t="s">
        <v>91</v>
      </c>
      <c r="G2398" s="19" t="s">
        <v>32</v>
      </c>
      <c r="H2398" s="19" t="s">
        <v>87</v>
      </c>
      <c r="I2398" s="19" t="s">
        <v>88</v>
      </c>
      <c r="J2398" s="19">
        <v>33</v>
      </c>
      <c r="K2398" s="19">
        <v>3.2500000000000001E-2</v>
      </c>
      <c r="L2398" s="19" t="s">
        <v>35</v>
      </c>
      <c r="N2398" s="19">
        <v>0</v>
      </c>
      <c r="O2398" s="19">
        <v>0</v>
      </c>
      <c r="P2398" s="19">
        <v>0</v>
      </c>
      <c r="Q2398" s="19">
        <v>0</v>
      </c>
      <c r="R2398" s="19" t="s">
        <v>1075</v>
      </c>
      <c r="S2398" s="19">
        <v>1</v>
      </c>
      <c r="T2398" s="19">
        <v>1</v>
      </c>
      <c r="U2398" s="19">
        <v>0</v>
      </c>
      <c r="V2398" s="19" t="s">
        <v>36</v>
      </c>
      <c r="W2398" s="19">
        <v>0</v>
      </c>
      <c r="Z2398" s="19">
        <v>0</v>
      </c>
      <c r="AA2398" s="19">
        <v>0</v>
      </c>
    </row>
    <row r="2399" spans="1:27" x14ac:dyDescent="0.25">
      <c r="A2399" s="19" t="s">
        <v>2603</v>
      </c>
      <c r="B2399" s="19" t="s">
        <v>2584</v>
      </c>
      <c r="C2399" s="19" t="s">
        <v>2585</v>
      </c>
      <c r="D2399" s="19">
        <v>1.625</v>
      </c>
      <c r="E2399" s="19" t="s">
        <v>93</v>
      </c>
      <c r="F2399" s="19" t="s">
        <v>94</v>
      </c>
      <c r="G2399" s="19" t="s">
        <v>32</v>
      </c>
      <c r="H2399" s="19" t="s">
        <v>87</v>
      </c>
      <c r="I2399" s="19" t="s">
        <v>88</v>
      </c>
      <c r="J2399" s="19">
        <v>34</v>
      </c>
      <c r="K2399" s="19">
        <v>3.2500000000000001E-2</v>
      </c>
      <c r="L2399" s="19" t="s">
        <v>35</v>
      </c>
      <c r="M2399" s="19" t="s">
        <v>142</v>
      </c>
      <c r="N2399" s="19">
        <v>50</v>
      </c>
      <c r="O2399" s="19">
        <v>50</v>
      </c>
      <c r="P2399" s="19">
        <v>0</v>
      </c>
      <c r="Q2399" s="19">
        <v>0</v>
      </c>
      <c r="R2399" s="19" t="s">
        <v>1075</v>
      </c>
      <c r="S2399" s="19">
        <v>1</v>
      </c>
      <c r="T2399" s="19">
        <v>1</v>
      </c>
      <c r="U2399" s="19">
        <v>0</v>
      </c>
      <c r="V2399" s="19" t="s">
        <v>41</v>
      </c>
      <c r="W2399" s="19">
        <v>1</v>
      </c>
      <c r="Y2399" s="19" t="s">
        <v>142</v>
      </c>
      <c r="Z2399" s="19">
        <v>50</v>
      </c>
      <c r="AA2399" s="19">
        <v>50</v>
      </c>
    </row>
    <row r="2400" spans="1:27" x14ac:dyDescent="0.25">
      <c r="A2400" s="19" t="s">
        <v>2604</v>
      </c>
      <c r="B2400" s="19" t="s">
        <v>2584</v>
      </c>
      <c r="C2400" s="19" t="s">
        <v>2585</v>
      </c>
      <c r="D2400" s="19">
        <v>0</v>
      </c>
      <c r="E2400" s="19" t="s">
        <v>96</v>
      </c>
      <c r="F2400" s="19" t="s">
        <v>97</v>
      </c>
      <c r="G2400" s="19" t="s">
        <v>32</v>
      </c>
      <c r="H2400" s="19" t="s">
        <v>87</v>
      </c>
      <c r="I2400" s="19" t="s">
        <v>88</v>
      </c>
      <c r="J2400" s="19">
        <v>36</v>
      </c>
      <c r="K2400" s="19">
        <v>3.2500000000000001E-2</v>
      </c>
      <c r="L2400" s="19" t="s">
        <v>35</v>
      </c>
      <c r="N2400" s="19">
        <v>0</v>
      </c>
      <c r="O2400" s="19">
        <v>0</v>
      </c>
      <c r="P2400" s="19">
        <v>0</v>
      </c>
      <c r="Q2400" s="19">
        <v>0</v>
      </c>
      <c r="R2400" s="19" t="s">
        <v>1075</v>
      </c>
      <c r="S2400" s="19">
        <v>1</v>
      </c>
      <c r="T2400" s="19">
        <v>1</v>
      </c>
      <c r="U2400" s="19">
        <v>0</v>
      </c>
      <c r="V2400" s="19" t="s">
        <v>36</v>
      </c>
      <c r="W2400" s="19">
        <v>0</v>
      </c>
      <c r="Z2400" s="19">
        <v>0</v>
      </c>
      <c r="AA2400" s="19">
        <v>0</v>
      </c>
    </row>
    <row r="2401" spans="1:27" x14ac:dyDescent="0.25">
      <c r="A2401" s="19" t="s">
        <v>2605</v>
      </c>
      <c r="B2401" s="19" t="s">
        <v>2584</v>
      </c>
      <c r="C2401" s="19" t="s">
        <v>2585</v>
      </c>
      <c r="D2401" s="19">
        <v>2.165</v>
      </c>
      <c r="E2401" s="19" t="s">
        <v>99</v>
      </c>
      <c r="F2401" s="19" t="s">
        <v>100</v>
      </c>
      <c r="G2401" s="19" t="s">
        <v>32</v>
      </c>
      <c r="H2401" s="19" t="s">
        <v>101</v>
      </c>
      <c r="I2401" s="19" t="s">
        <v>102</v>
      </c>
      <c r="J2401" s="19">
        <v>39</v>
      </c>
      <c r="K2401" s="19">
        <v>4.3299999999999998E-2</v>
      </c>
      <c r="L2401" s="19" t="s">
        <v>35</v>
      </c>
      <c r="M2401" s="19" t="s">
        <v>103</v>
      </c>
      <c r="N2401" s="19">
        <v>50</v>
      </c>
      <c r="O2401" s="19">
        <v>50</v>
      </c>
      <c r="P2401" s="19">
        <v>0</v>
      </c>
      <c r="Q2401" s="19">
        <v>0</v>
      </c>
      <c r="R2401" s="19" t="s">
        <v>1075</v>
      </c>
      <c r="S2401" s="19">
        <v>1</v>
      </c>
      <c r="T2401" s="19">
        <v>1</v>
      </c>
      <c r="U2401" s="19">
        <v>0</v>
      </c>
      <c r="V2401" s="19" t="s">
        <v>41</v>
      </c>
      <c r="W2401" s="19">
        <v>1</v>
      </c>
      <c r="Y2401" s="19" t="s">
        <v>103</v>
      </c>
      <c r="Z2401" s="19">
        <v>50</v>
      </c>
      <c r="AA2401" s="19">
        <v>50</v>
      </c>
    </row>
    <row r="2402" spans="1:27" x14ac:dyDescent="0.25">
      <c r="A2402" s="19" t="s">
        <v>2606</v>
      </c>
      <c r="B2402" s="19" t="s">
        <v>2584</v>
      </c>
      <c r="C2402" s="19" t="s">
        <v>2585</v>
      </c>
      <c r="D2402" s="19">
        <v>0</v>
      </c>
      <c r="E2402" s="19" t="s">
        <v>105</v>
      </c>
      <c r="F2402" s="19" t="s">
        <v>106</v>
      </c>
      <c r="G2402" s="19" t="s">
        <v>32</v>
      </c>
      <c r="H2402" s="19" t="s">
        <v>101</v>
      </c>
      <c r="I2402" s="19" t="s">
        <v>102</v>
      </c>
      <c r="J2402" s="19">
        <v>38</v>
      </c>
      <c r="K2402" s="19">
        <v>4.3299999999999998E-2</v>
      </c>
      <c r="L2402" s="19" t="s">
        <v>35</v>
      </c>
      <c r="M2402" s="19" t="s">
        <v>103</v>
      </c>
      <c r="N2402" s="19">
        <v>0</v>
      </c>
      <c r="O2402" s="19">
        <v>0</v>
      </c>
      <c r="P2402" s="19">
        <v>0</v>
      </c>
      <c r="Q2402" s="19">
        <v>0</v>
      </c>
      <c r="R2402" s="19" t="s">
        <v>1075</v>
      </c>
      <c r="S2402" s="19">
        <v>1</v>
      </c>
      <c r="T2402" s="19">
        <v>1</v>
      </c>
      <c r="U2402" s="19">
        <v>0</v>
      </c>
      <c r="V2402" s="19" t="s">
        <v>36</v>
      </c>
      <c r="W2402" s="19">
        <v>0</v>
      </c>
      <c r="Y2402" s="19" t="s">
        <v>103</v>
      </c>
      <c r="Z2402" s="19">
        <v>50</v>
      </c>
      <c r="AA2402" s="19">
        <v>0</v>
      </c>
    </row>
    <row r="2403" spans="1:27" x14ac:dyDescent="0.25">
      <c r="A2403" s="19" t="s">
        <v>2607</v>
      </c>
      <c r="B2403" s="19" t="s">
        <v>2584</v>
      </c>
      <c r="C2403" s="19" t="s">
        <v>2585</v>
      </c>
      <c r="D2403" s="19">
        <v>0</v>
      </c>
      <c r="E2403" s="19" t="s">
        <v>108</v>
      </c>
      <c r="F2403" s="19" t="s">
        <v>109</v>
      </c>
      <c r="G2403" s="19" t="s">
        <v>32</v>
      </c>
      <c r="H2403" s="19" t="s">
        <v>101</v>
      </c>
      <c r="I2403" s="19" t="s">
        <v>102</v>
      </c>
      <c r="J2403" s="19">
        <v>37</v>
      </c>
      <c r="K2403" s="19">
        <v>4.3299999999999998E-2</v>
      </c>
      <c r="L2403" s="19" t="s">
        <v>35</v>
      </c>
      <c r="N2403" s="19">
        <v>0</v>
      </c>
      <c r="O2403" s="19">
        <v>0</v>
      </c>
      <c r="P2403" s="19">
        <v>0</v>
      </c>
      <c r="Q2403" s="19">
        <v>0</v>
      </c>
      <c r="R2403" s="19" t="s">
        <v>1075</v>
      </c>
      <c r="S2403" s="19">
        <v>1</v>
      </c>
      <c r="T2403" s="19">
        <v>1</v>
      </c>
      <c r="U2403" s="19">
        <v>0</v>
      </c>
      <c r="V2403" s="19" t="s">
        <v>36</v>
      </c>
      <c r="W2403" s="19">
        <v>0</v>
      </c>
      <c r="Z2403" s="19">
        <v>0</v>
      </c>
      <c r="AA2403" s="19">
        <v>0</v>
      </c>
    </row>
    <row r="2404" spans="1:27" x14ac:dyDescent="0.25">
      <c r="A2404" s="19" t="s">
        <v>2608</v>
      </c>
      <c r="B2404" s="19" t="s">
        <v>2584</v>
      </c>
      <c r="C2404" s="19" t="s">
        <v>2585</v>
      </c>
      <c r="D2404" s="19">
        <v>0</v>
      </c>
      <c r="E2404" s="19" t="s">
        <v>112</v>
      </c>
      <c r="F2404" s="19" t="s">
        <v>113</v>
      </c>
      <c r="G2404" s="19" t="s">
        <v>32</v>
      </c>
      <c r="H2404" s="19" t="s">
        <v>114</v>
      </c>
      <c r="I2404" s="19" t="s">
        <v>115</v>
      </c>
      <c r="J2404" s="19">
        <v>30</v>
      </c>
      <c r="K2404" s="19">
        <v>2.1700000000000001E-2</v>
      </c>
      <c r="L2404" s="19" t="s">
        <v>35</v>
      </c>
      <c r="M2404" s="19" t="s">
        <v>103</v>
      </c>
      <c r="N2404" s="19">
        <v>0</v>
      </c>
      <c r="O2404" s="19">
        <v>0</v>
      </c>
      <c r="P2404" s="19">
        <v>0</v>
      </c>
      <c r="Q2404" s="19">
        <v>0</v>
      </c>
      <c r="R2404" s="19" t="s">
        <v>1075</v>
      </c>
      <c r="S2404" s="19">
        <v>1</v>
      </c>
      <c r="T2404" s="19">
        <v>1</v>
      </c>
      <c r="U2404" s="19">
        <v>0</v>
      </c>
      <c r="V2404" s="19" t="s">
        <v>36</v>
      </c>
      <c r="W2404" s="19">
        <v>0</v>
      </c>
      <c r="Y2404" s="19" t="s">
        <v>103</v>
      </c>
      <c r="Z2404" s="19">
        <v>50</v>
      </c>
      <c r="AA2404" s="19">
        <v>0</v>
      </c>
    </row>
    <row r="2405" spans="1:27" x14ac:dyDescent="0.25">
      <c r="A2405" s="19" t="s">
        <v>2609</v>
      </c>
      <c r="B2405" s="19" t="s">
        <v>2584</v>
      </c>
      <c r="C2405" s="19" t="s">
        <v>2585</v>
      </c>
      <c r="D2405" s="19">
        <v>1.085</v>
      </c>
      <c r="E2405" s="19" t="s">
        <v>117</v>
      </c>
      <c r="F2405" s="19" t="s">
        <v>118</v>
      </c>
      <c r="G2405" s="19" t="s">
        <v>32</v>
      </c>
      <c r="H2405" s="19" t="s">
        <v>114</v>
      </c>
      <c r="I2405" s="19" t="s">
        <v>115</v>
      </c>
      <c r="J2405" s="19">
        <v>31</v>
      </c>
      <c r="K2405" s="19">
        <v>2.1700000000000001E-2</v>
      </c>
      <c r="L2405" s="19" t="s">
        <v>35</v>
      </c>
      <c r="M2405" s="19" t="s">
        <v>103</v>
      </c>
      <c r="N2405" s="19">
        <v>50</v>
      </c>
      <c r="O2405" s="19">
        <v>50</v>
      </c>
      <c r="P2405" s="19">
        <v>0</v>
      </c>
      <c r="Q2405" s="19">
        <v>0</v>
      </c>
      <c r="R2405" s="19" t="s">
        <v>1075</v>
      </c>
      <c r="S2405" s="19">
        <v>1</v>
      </c>
      <c r="T2405" s="19">
        <v>1</v>
      </c>
      <c r="U2405" s="19">
        <v>0</v>
      </c>
      <c r="V2405" s="19" t="s">
        <v>41</v>
      </c>
      <c r="W2405" s="19">
        <v>1</v>
      </c>
      <c r="Y2405" s="19" t="s">
        <v>103</v>
      </c>
      <c r="Z2405" s="19">
        <v>50</v>
      </c>
      <c r="AA2405" s="19">
        <v>50</v>
      </c>
    </row>
    <row r="2406" spans="1:27" x14ac:dyDescent="0.25">
      <c r="A2406" s="19" t="s">
        <v>2610</v>
      </c>
      <c r="B2406" s="19" t="s">
        <v>2584</v>
      </c>
      <c r="C2406" s="19" t="s">
        <v>2585</v>
      </c>
      <c r="D2406" s="19">
        <v>0</v>
      </c>
      <c r="E2406" s="19" t="s">
        <v>120</v>
      </c>
      <c r="F2406" s="19" t="s">
        <v>121</v>
      </c>
      <c r="G2406" s="19" t="s">
        <v>32</v>
      </c>
      <c r="H2406" s="19" t="s">
        <v>114</v>
      </c>
      <c r="I2406" s="19" t="s">
        <v>115</v>
      </c>
      <c r="J2406" s="19">
        <v>28</v>
      </c>
      <c r="K2406" s="19">
        <v>2.1700000000000001E-2</v>
      </c>
      <c r="L2406" s="19" t="s">
        <v>35</v>
      </c>
      <c r="M2406" s="19" t="s">
        <v>103</v>
      </c>
      <c r="N2406" s="19">
        <v>0</v>
      </c>
      <c r="O2406" s="19">
        <v>0</v>
      </c>
      <c r="P2406" s="19">
        <v>0</v>
      </c>
      <c r="Q2406" s="19">
        <v>0</v>
      </c>
      <c r="R2406" s="19" t="s">
        <v>1075</v>
      </c>
      <c r="S2406" s="19">
        <v>1</v>
      </c>
      <c r="T2406" s="19">
        <v>1</v>
      </c>
      <c r="U2406" s="19">
        <v>0</v>
      </c>
      <c r="V2406" s="19" t="s">
        <v>80</v>
      </c>
      <c r="W2406" s="19">
        <v>0</v>
      </c>
      <c r="Y2406" s="19" t="s">
        <v>103</v>
      </c>
      <c r="Z2406" s="19">
        <v>50</v>
      </c>
      <c r="AA2406" s="19">
        <v>0</v>
      </c>
    </row>
    <row r="2407" spans="1:27" x14ac:dyDescent="0.25">
      <c r="A2407" s="19" t="s">
        <v>2611</v>
      </c>
      <c r="B2407" s="19" t="s">
        <v>2584</v>
      </c>
      <c r="C2407" s="19" t="s">
        <v>2585</v>
      </c>
      <c r="D2407" s="19">
        <v>0</v>
      </c>
      <c r="E2407" s="19" t="s">
        <v>123</v>
      </c>
      <c r="F2407" s="19" t="s">
        <v>124</v>
      </c>
      <c r="G2407" s="19" t="s">
        <v>32</v>
      </c>
      <c r="H2407" s="19" t="s">
        <v>114</v>
      </c>
      <c r="I2407" s="19" t="s">
        <v>115</v>
      </c>
      <c r="J2407" s="19">
        <v>27</v>
      </c>
      <c r="K2407" s="19">
        <v>2.1700000000000001E-2</v>
      </c>
      <c r="L2407" s="19" t="s">
        <v>35</v>
      </c>
      <c r="M2407" s="19" t="s">
        <v>103</v>
      </c>
      <c r="N2407" s="19">
        <v>0</v>
      </c>
      <c r="O2407" s="19">
        <v>0</v>
      </c>
      <c r="P2407" s="19">
        <v>0</v>
      </c>
      <c r="Q2407" s="19">
        <v>0</v>
      </c>
      <c r="R2407" s="19" t="s">
        <v>1075</v>
      </c>
      <c r="S2407" s="19">
        <v>1</v>
      </c>
      <c r="T2407" s="19">
        <v>1</v>
      </c>
      <c r="U2407" s="19">
        <v>0</v>
      </c>
      <c r="V2407" s="19" t="s">
        <v>36</v>
      </c>
      <c r="W2407" s="19">
        <v>0</v>
      </c>
      <c r="Y2407" s="19" t="s">
        <v>103</v>
      </c>
      <c r="Z2407" s="19">
        <v>50</v>
      </c>
      <c r="AA2407" s="19">
        <v>0</v>
      </c>
    </row>
    <row r="2408" spans="1:27" x14ac:dyDescent="0.25">
      <c r="A2408" s="19" t="s">
        <v>2612</v>
      </c>
      <c r="B2408" s="19" t="s">
        <v>2584</v>
      </c>
      <c r="C2408" s="19" t="s">
        <v>2585</v>
      </c>
      <c r="D2408" s="19">
        <v>1.085</v>
      </c>
      <c r="E2408" s="19" t="s">
        <v>126</v>
      </c>
      <c r="F2408" s="19" t="s">
        <v>127</v>
      </c>
      <c r="G2408" s="19" t="s">
        <v>32</v>
      </c>
      <c r="H2408" s="19" t="s">
        <v>114</v>
      </c>
      <c r="I2408" s="19" t="s">
        <v>115</v>
      </c>
      <c r="J2408" s="19">
        <v>29</v>
      </c>
      <c r="K2408" s="19">
        <v>2.1700000000000001E-2</v>
      </c>
      <c r="L2408" s="19" t="s">
        <v>35</v>
      </c>
      <c r="M2408" s="19" t="s">
        <v>103</v>
      </c>
      <c r="N2408" s="19">
        <v>50</v>
      </c>
      <c r="O2408" s="19">
        <v>50</v>
      </c>
      <c r="P2408" s="19">
        <v>0</v>
      </c>
      <c r="Q2408" s="19">
        <v>0</v>
      </c>
      <c r="R2408" s="19" t="s">
        <v>1075</v>
      </c>
      <c r="S2408" s="19">
        <v>1</v>
      </c>
      <c r="T2408" s="19">
        <v>1</v>
      </c>
      <c r="U2408" s="19">
        <v>0</v>
      </c>
      <c r="V2408" s="19" t="s">
        <v>41</v>
      </c>
      <c r="W2408" s="19">
        <v>1</v>
      </c>
      <c r="Y2408" s="19" t="s">
        <v>103</v>
      </c>
      <c r="Z2408" s="19">
        <v>50</v>
      </c>
      <c r="AA2408" s="19">
        <v>50</v>
      </c>
    </row>
    <row r="2409" spans="1:27" x14ac:dyDescent="0.25">
      <c r="A2409" s="19" t="s">
        <v>2613</v>
      </c>
      <c r="B2409" s="19" t="s">
        <v>2584</v>
      </c>
      <c r="C2409" s="19" t="s">
        <v>2585</v>
      </c>
      <c r="D2409" s="19">
        <v>1.085</v>
      </c>
      <c r="E2409" s="19" t="s">
        <v>129</v>
      </c>
      <c r="F2409" s="19" t="s">
        <v>130</v>
      </c>
      <c r="G2409" s="19" t="s">
        <v>32</v>
      </c>
      <c r="H2409" s="19" t="s">
        <v>114</v>
      </c>
      <c r="I2409" s="19" t="s">
        <v>115</v>
      </c>
      <c r="J2409" s="19">
        <v>32</v>
      </c>
      <c r="K2409" s="19">
        <v>2.1700000000000001E-2</v>
      </c>
      <c r="L2409" s="19" t="s">
        <v>35</v>
      </c>
      <c r="M2409" s="19" t="s">
        <v>103</v>
      </c>
      <c r="N2409" s="19">
        <v>50</v>
      </c>
      <c r="O2409" s="19">
        <v>50</v>
      </c>
      <c r="P2409" s="19">
        <v>0</v>
      </c>
      <c r="Q2409" s="19">
        <v>0</v>
      </c>
      <c r="R2409" s="19" t="s">
        <v>1075</v>
      </c>
      <c r="S2409" s="19">
        <v>1</v>
      </c>
      <c r="T2409" s="19">
        <v>1</v>
      </c>
      <c r="U2409" s="19">
        <v>0</v>
      </c>
      <c r="V2409" s="19" t="s">
        <v>41</v>
      </c>
      <c r="W2409" s="19">
        <v>1</v>
      </c>
      <c r="Y2409" s="19" t="s">
        <v>103</v>
      </c>
      <c r="Z2409" s="19">
        <v>50</v>
      </c>
      <c r="AA2409" s="19">
        <v>50</v>
      </c>
    </row>
    <row r="2410" spans="1:27" x14ac:dyDescent="0.25">
      <c r="A2410" s="19" t="s">
        <v>2614</v>
      </c>
      <c r="B2410" s="19" t="s">
        <v>2584</v>
      </c>
      <c r="C2410" s="19" t="s">
        <v>2585</v>
      </c>
      <c r="D2410" s="19">
        <v>2.085</v>
      </c>
      <c r="E2410" s="19" t="s">
        <v>132</v>
      </c>
      <c r="F2410" s="19" t="s">
        <v>133</v>
      </c>
      <c r="G2410" s="19" t="s">
        <v>134</v>
      </c>
      <c r="H2410" s="19" t="s">
        <v>87</v>
      </c>
      <c r="I2410" s="19" t="s">
        <v>135</v>
      </c>
      <c r="J2410" s="19">
        <v>11</v>
      </c>
      <c r="K2410" s="19">
        <v>4.1700000000000001E-2</v>
      </c>
      <c r="L2410" s="19" t="s">
        <v>35</v>
      </c>
      <c r="M2410" s="19" t="s">
        <v>103</v>
      </c>
      <c r="N2410" s="19">
        <v>50</v>
      </c>
      <c r="O2410" s="19">
        <v>50</v>
      </c>
      <c r="P2410" s="19">
        <v>0</v>
      </c>
      <c r="Q2410" s="19">
        <v>0</v>
      </c>
      <c r="R2410" s="19" t="s">
        <v>1075</v>
      </c>
      <c r="S2410" s="19">
        <v>1</v>
      </c>
      <c r="T2410" s="19">
        <v>1</v>
      </c>
      <c r="U2410" s="19">
        <v>0</v>
      </c>
      <c r="V2410" s="19" t="s">
        <v>41</v>
      </c>
      <c r="W2410" s="19">
        <v>1</v>
      </c>
      <c r="Y2410" s="19" t="s">
        <v>103</v>
      </c>
      <c r="Z2410" s="19">
        <v>50</v>
      </c>
      <c r="AA2410" s="19">
        <v>50</v>
      </c>
    </row>
    <row r="2411" spans="1:27" x14ac:dyDescent="0.25">
      <c r="A2411" s="19" t="s">
        <v>2615</v>
      </c>
      <c r="B2411" s="19" t="s">
        <v>2584</v>
      </c>
      <c r="C2411" s="19" t="s">
        <v>2585</v>
      </c>
      <c r="D2411" s="19">
        <v>0.2316435</v>
      </c>
      <c r="E2411" s="19" t="s">
        <v>137</v>
      </c>
      <c r="F2411" s="19" t="s">
        <v>138</v>
      </c>
      <c r="G2411" s="19" t="s">
        <v>134</v>
      </c>
      <c r="H2411" s="19" t="s">
        <v>87</v>
      </c>
      <c r="I2411" s="19" t="s">
        <v>135</v>
      </c>
      <c r="J2411" s="19">
        <v>9</v>
      </c>
      <c r="K2411" s="19">
        <v>4.1700000000000001E-2</v>
      </c>
      <c r="L2411" s="19" t="s">
        <v>35</v>
      </c>
      <c r="M2411" s="19" t="s">
        <v>110</v>
      </c>
      <c r="N2411" s="19">
        <v>5.5549999999999997</v>
      </c>
      <c r="O2411" s="19">
        <v>5.5549999999999997</v>
      </c>
      <c r="P2411" s="19">
        <v>0</v>
      </c>
      <c r="Q2411" s="19">
        <v>0</v>
      </c>
      <c r="R2411" s="19" t="s">
        <v>1075</v>
      </c>
      <c r="S2411" s="19">
        <v>1</v>
      </c>
      <c r="T2411" s="19">
        <v>1</v>
      </c>
      <c r="U2411" s="19">
        <v>0</v>
      </c>
      <c r="W2411" s="19">
        <v>0</v>
      </c>
      <c r="X2411" s="19">
        <v>1</v>
      </c>
      <c r="Y2411" s="19" t="s">
        <v>110</v>
      </c>
      <c r="Z2411" s="19">
        <v>16.664999999999999</v>
      </c>
      <c r="AA2411" s="19">
        <v>5.5549999999999997</v>
      </c>
    </row>
    <row r="2412" spans="1:27" x14ac:dyDescent="0.25">
      <c r="A2412" s="19" t="s">
        <v>2616</v>
      </c>
      <c r="B2412" s="19" t="s">
        <v>2584</v>
      </c>
      <c r="C2412" s="19" t="s">
        <v>2585</v>
      </c>
      <c r="D2412" s="19">
        <v>1.25</v>
      </c>
      <c r="E2412" s="19" t="s">
        <v>144</v>
      </c>
      <c r="F2412" s="19" t="s">
        <v>145</v>
      </c>
      <c r="G2412" s="19" t="s">
        <v>134</v>
      </c>
      <c r="H2412" s="19" t="s">
        <v>146</v>
      </c>
      <c r="I2412" s="19" t="s">
        <v>147</v>
      </c>
      <c r="J2412" s="19">
        <v>4</v>
      </c>
      <c r="K2412" s="19">
        <v>2.5000000000000001E-2</v>
      </c>
      <c r="L2412" s="19" t="s">
        <v>35</v>
      </c>
      <c r="M2412" s="19" t="s">
        <v>103</v>
      </c>
      <c r="N2412" s="19">
        <v>50</v>
      </c>
      <c r="O2412" s="19">
        <v>50</v>
      </c>
      <c r="P2412" s="19">
        <v>0</v>
      </c>
      <c r="Q2412" s="19">
        <v>0</v>
      </c>
      <c r="R2412" s="19" t="s">
        <v>1075</v>
      </c>
      <c r="S2412" s="19">
        <v>1</v>
      </c>
      <c r="T2412" s="19">
        <v>1</v>
      </c>
      <c r="U2412" s="19">
        <v>0</v>
      </c>
      <c r="V2412" s="19" t="s">
        <v>41</v>
      </c>
      <c r="W2412" s="19">
        <v>1</v>
      </c>
      <c r="Y2412" s="19" t="s">
        <v>103</v>
      </c>
      <c r="Z2412" s="19">
        <v>50</v>
      </c>
      <c r="AA2412" s="19">
        <v>50</v>
      </c>
    </row>
    <row r="2413" spans="1:27" x14ac:dyDescent="0.25">
      <c r="A2413" s="19" t="s">
        <v>2617</v>
      </c>
      <c r="B2413" s="19" t="s">
        <v>2584</v>
      </c>
      <c r="C2413" s="19" t="s">
        <v>2585</v>
      </c>
      <c r="D2413" s="19">
        <v>1.25</v>
      </c>
      <c r="E2413" s="19" t="s">
        <v>149</v>
      </c>
      <c r="F2413" s="19" t="s">
        <v>150</v>
      </c>
      <c r="G2413" s="19" t="s">
        <v>134</v>
      </c>
      <c r="H2413" s="19" t="s">
        <v>146</v>
      </c>
      <c r="I2413" s="19" t="s">
        <v>147</v>
      </c>
      <c r="J2413" s="19">
        <v>5</v>
      </c>
      <c r="K2413" s="19">
        <v>2.5000000000000001E-2</v>
      </c>
      <c r="L2413" s="19" t="s">
        <v>35</v>
      </c>
      <c r="M2413" s="19" t="s">
        <v>103</v>
      </c>
      <c r="N2413" s="19">
        <v>50</v>
      </c>
      <c r="O2413" s="19">
        <v>50</v>
      </c>
      <c r="P2413" s="19">
        <v>0</v>
      </c>
      <c r="Q2413" s="19">
        <v>0</v>
      </c>
      <c r="R2413" s="19" t="s">
        <v>1075</v>
      </c>
      <c r="S2413" s="19">
        <v>1</v>
      </c>
      <c r="T2413" s="19">
        <v>1</v>
      </c>
      <c r="U2413" s="19">
        <v>0</v>
      </c>
      <c r="V2413" s="19" t="s">
        <v>41</v>
      </c>
      <c r="W2413" s="19">
        <v>1</v>
      </c>
      <c r="Y2413" s="19" t="s">
        <v>103</v>
      </c>
      <c r="Z2413" s="19">
        <v>50</v>
      </c>
      <c r="AA2413" s="19">
        <v>50</v>
      </c>
    </row>
    <row r="2414" spans="1:27" x14ac:dyDescent="0.25">
      <c r="A2414" s="19" t="s">
        <v>2618</v>
      </c>
      <c r="B2414" s="19" t="s">
        <v>2584</v>
      </c>
      <c r="C2414" s="19" t="s">
        <v>2585</v>
      </c>
      <c r="D2414" s="19">
        <v>1.25</v>
      </c>
      <c r="E2414" s="19" t="s">
        <v>152</v>
      </c>
      <c r="F2414" s="19" t="s">
        <v>153</v>
      </c>
      <c r="G2414" s="19" t="s">
        <v>134</v>
      </c>
      <c r="H2414" s="19" t="s">
        <v>146</v>
      </c>
      <c r="I2414" s="19" t="s">
        <v>147</v>
      </c>
      <c r="J2414" s="19">
        <v>6</v>
      </c>
      <c r="K2414" s="19">
        <v>2.5000000000000001E-2</v>
      </c>
      <c r="L2414" s="19" t="s">
        <v>35</v>
      </c>
      <c r="M2414" s="19" t="s">
        <v>103</v>
      </c>
      <c r="N2414" s="19">
        <v>50</v>
      </c>
      <c r="O2414" s="19">
        <v>50</v>
      </c>
      <c r="P2414" s="19">
        <v>0</v>
      </c>
      <c r="Q2414" s="19">
        <v>0</v>
      </c>
      <c r="R2414" s="19" t="s">
        <v>1075</v>
      </c>
      <c r="S2414" s="19">
        <v>1</v>
      </c>
      <c r="T2414" s="19">
        <v>1</v>
      </c>
      <c r="U2414" s="19">
        <v>0</v>
      </c>
      <c r="V2414" s="19" t="s">
        <v>41</v>
      </c>
      <c r="W2414" s="19">
        <v>1</v>
      </c>
      <c r="Y2414" s="19" t="s">
        <v>103</v>
      </c>
      <c r="Z2414" s="19">
        <v>50</v>
      </c>
      <c r="AA2414" s="19">
        <v>50</v>
      </c>
    </row>
    <row r="2415" spans="1:27" x14ac:dyDescent="0.25">
      <c r="A2415" s="19" t="s">
        <v>2619</v>
      </c>
      <c r="B2415" s="19" t="s">
        <v>2584</v>
      </c>
      <c r="C2415" s="19" t="s">
        <v>2585</v>
      </c>
      <c r="D2415" s="19">
        <v>1.25</v>
      </c>
      <c r="E2415" s="19" t="s">
        <v>155</v>
      </c>
      <c r="F2415" s="19" t="s">
        <v>156</v>
      </c>
      <c r="G2415" s="19" t="s">
        <v>134</v>
      </c>
      <c r="H2415" s="19" t="s">
        <v>146</v>
      </c>
      <c r="I2415" s="19" t="s">
        <v>147</v>
      </c>
      <c r="J2415" s="19">
        <v>7</v>
      </c>
      <c r="K2415" s="19">
        <v>2.5000000000000001E-2</v>
      </c>
      <c r="L2415" s="19" t="s">
        <v>35</v>
      </c>
      <c r="M2415" s="19" t="s">
        <v>103</v>
      </c>
      <c r="N2415" s="19">
        <v>50</v>
      </c>
      <c r="O2415" s="19">
        <v>50</v>
      </c>
      <c r="P2415" s="19">
        <v>0</v>
      </c>
      <c r="Q2415" s="19">
        <v>0</v>
      </c>
      <c r="R2415" s="19" t="s">
        <v>1075</v>
      </c>
      <c r="S2415" s="19">
        <v>1</v>
      </c>
      <c r="T2415" s="19">
        <v>1</v>
      </c>
      <c r="U2415" s="19">
        <v>0</v>
      </c>
      <c r="V2415" s="19" t="s">
        <v>41</v>
      </c>
      <c r="W2415" s="19">
        <v>1</v>
      </c>
      <c r="Y2415" s="19" t="s">
        <v>103</v>
      </c>
      <c r="Z2415" s="19">
        <v>50</v>
      </c>
      <c r="AA2415" s="19">
        <v>50</v>
      </c>
    </row>
    <row r="2416" spans="1:27" x14ac:dyDescent="0.25">
      <c r="A2416" s="19" t="s">
        <v>2620</v>
      </c>
      <c r="B2416" s="19" t="s">
        <v>2584</v>
      </c>
      <c r="C2416" s="19" t="s">
        <v>2585</v>
      </c>
      <c r="D2416" s="19">
        <v>0</v>
      </c>
      <c r="E2416" s="19" t="s">
        <v>158</v>
      </c>
      <c r="F2416" s="19" t="s">
        <v>159</v>
      </c>
      <c r="G2416" s="19" t="s">
        <v>134</v>
      </c>
      <c r="H2416" s="19" t="s">
        <v>146</v>
      </c>
      <c r="I2416" s="19" t="s">
        <v>147</v>
      </c>
      <c r="J2416" s="19">
        <v>8</v>
      </c>
      <c r="K2416" s="19">
        <v>2.5000000000000001E-2</v>
      </c>
      <c r="L2416" s="19" t="s">
        <v>35</v>
      </c>
      <c r="M2416" s="19" t="s">
        <v>103</v>
      </c>
      <c r="N2416" s="19">
        <v>0</v>
      </c>
      <c r="O2416" s="19">
        <v>0</v>
      </c>
      <c r="P2416" s="19">
        <v>0</v>
      </c>
      <c r="Q2416" s="19">
        <v>0</v>
      </c>
      <c r="R2416" s="19" t="s">
        <v>1075</v>
      </c>
      <c r="S2416" s="19">
        <v>1</v>
      </c>
      <c r="T2416" s="19">
        <v>1</v>
      </c>
      <c r="U2416" s="19">
        <v>0</v>
      </c>
      <c r="V2416" s="19" t="s">
        <v>36</v>
      </c>
      <c r="W2416" s="19">
        <v>0</v>
      </c>
      <c r="Y2416" s="19" t="s">
        <v>103</v>
      </c>
      <c r="Z2416" s="19">
        <v>50</v>
      </c>
      <c r="AA2416" s="19">
        <v>0</v>
      </c>
    </row>
    <row r="2417" spans="1:27" x14ac:dyDescent="0.25">
      <c r="A2417" s="19" t="s">
        <v>2621</v>
      </c>
      <c r="B2417" s="19" t="s">
        <v>2584</v>
      </c>
      <c r="C2417" s="19" t="s">
        <v>2585</v>
      </c>
      <c r="D2417" s="19">
        <v>2.2197779999999998</v>
      </c>
      <c r="E2417" s="19" t="s">
        <v>161</v>
      </c>
      <c r="F2417" s="19" t="s">
        <v>162</v>
      </c>
      <c r="G2417" s="19" t="s">
        <v>163</v>
      </c>
      <c r="I2417" s="19" t="s">
        <v>164</v>
      </c>
      <c r="J2417" s="19">
        <v>1</v>
      </c>
      <c r="K2417" s="19">
        <v>3.3300000000000003E-2</v>
      </c>
      <c r="L2417" s="19" t="s">
        <v>35</v>
      </c>
      <c r="M2417" s="19" t="s">
        <v>165</v>
      </c>
      <c r="N2417" s="19">
        <v>66.66</v>
      </c>
      <c r="O2417" s="19">
        <v>66.66</v>
      </c>
      <c r="P2417" s="19">
        <v>0</v>
      </c>
      <c r="Q2417" s="19">
        <v>0</v>
      </c>
      <c r="R2417" s="19" t="s">
        <v>1075</v>
      </c>
      <c r="S2417" s="19">
        <v>1</v>
      </c>
      <c r="T2417" s="19">
        <v>1</v>
      </c>
      <c r="U2417" s="19">
        <v>0</v>
      </c>
      <c r="W2417" s="19">
        <v>0</v>
      </c>
      <c r="X2417" s="19">
        <v>66.66</v>
      </c>
      <c r="Z2417" s="19">
        <v>0</v>
      </c>
      <c r="AA2417" s="19">
        <v>66.66</v>
      </c>
    </row>
    <row r="2418" spans="1:27" x14ac:dyDescent="0.25">
      <c r="A2418" s="19" t="s">
        <v>2622</v>
      </c>
      <c r="B2418" s="19" t="s">
        <v>2584</v>
      </c>
      <c r="C2418" s="19" t="s">
        <v>2585</v>
      </c>
      <c r="D2418" s="19">
        <v>2.2197779999999998</v>
      </c>
      <c r="E2418" s="19" t="s">
        <v>167</v>
      </c>
      <c r="F2418" s="19" t="s">
        <v>168</v>
      </c>
      <c r="G2418" s="19" t="s">
        <v>163</v>
      </c>
      <c r="I2418" s="19" t="s">
        <v>164</v>
      </c>
      <c r="J2418" s="19">
        <v>3</v>
      </c>
      <c r="K2418" s="19">
        <v>3.3300000000000003E-2</v>
      </c>
      <c r="L2418" s="19" t="s">
        <v>35</v>
      </c>
      <c r="M2418" s="19" t="s">
        <v>165</v>
      </c>
      <c r="N2418" s="19">
        <v>66.66</v>
      </c>
      <c r="O2418" s="19">
        <v>66.66</v>
      </c>
      <c r="P2418" s="19">
        <v>0</v>
      </c>
      <c r="Q2418" s="19">
        <v>0</v>
      </c>
      <c r="R2418" s="19" t="s">
        <v>1075</v>
      </c>
      <c r="S2418" s="19">
        <v>1</v>
      </c>
      <c r="T2418" s="19">
        <v>1</v>
      </c>
      <c r="U2418" s="19">
        <v>0</v>
      </c>
      <c r="W2418" s="19">
        <v>0</v>
      </c>
      <c r="X2418" s="19">
        <v>66.66</v>
      </c>
      <c r="Z2418" s="19">
        <v>0</v>
      </c>
      <c r="AA2418" s="19">
        <v>66.66</v>
      </c>
    </row>
    <row r="2419" spans="1:27" x14ac:dyDescent="0.25">
      <c r="A2419" s="19" t="s">
        <v>2623</v>
      </c>
      <c r="B2419" s="19" t="s">
        <v>2584</v>
      </c>
      <c r="C2419" s="19" t="s">
        <v>2585</v>
      </c>
      <c r="D2419" s="19">
        <v>1.0323</v>
      </c>
      <c r="E2419" s="19" t="s">
        <v>170</v>
      </c>
      <c r="F2419" s="19" t="s">
        <v>171</v>
      </c>
      <c r="G2419" s="19" t="s">
        <v>163</v>
      </c>
      <c r="I2419" s="19" t="s">
        <v>164</v>
      </c>
      <c r="J2419" s="19">
        <v>2</v>
      </c>
      <c r="K2419" s="19">
        <v>3.3300000000000003E-2</v>
      </c>
      <c r="L2419" s="19" t="s">
        <v>35</v>
      </c>
      <c r="M2419" s="19" t="s">
        <v>165</v>
      </c>
      <c r="N2419" s="19">
        <v>31</v>
      </c>
      <c r="O2419" s="19">
        <v>31</v>
      </c>
      <c r="P2419" s="19">
        <v>0</v>
      </c>
      <c r="Q2419" s="19">
        <v>0</v>
      </c>
      <c r="R2419" s="19" t="s">
        <v>1075</v>
      </c>
      <c r="S2419" s="19">
        <v>1</v>
      </c>
      <c r="T2419" s="19">
        <v>1</v>
      </c>
      <c r="U2419" s="19">
        <v>0</v>
      </c>
      <c r="W2419" s="19">
        <v>0</v>
      </c>
      <c r="X2419" s="19">
        <v>31</v>
      </c>
      <c r="Z2419" s="19">
        <v>0</v>
      </c>
      <c r="AA2419" s="19">
        <v>31</v>
      </c>
    </row>
    <row r="2420" spans="1:27" x14ac:dyDescent="0.25">
      <c r="A2420" s="19" t="s">
        <v>2868</v>
      </c>
      <c r="B2420" s="19" t="s">
        <v>2869</v>
      </c>
      <c r="C2420" s="19" t="s">
        <v>2870</v>
      </c>
      <c r="D2420" s="19">
        <v>0</v>
      </c>
      <c r="E2420" s="19" t="s">
        <v>30</v>
      </c>
      <c r="F2420" s="19" t="s">
        <v>31</v>
      </c>
      <c r="G2420" s="19" t="s">
        <v>32</v>
      </c>
      <c r="H2420" s="19" t="s">
        <v>33</v>
      </c>
      <c r="I2420" s="19" t="s">
        <v>34</v>
      </c>
      <c r="J2420" s="19">
        <v>17</v>
      </c>
      <c r="K2420" s="19">
        <v>1.6299999999999999E-2</v>
      </c>
      <c r="L2420" s="19" t="s">
        <v>35</v>
      </c>
      <c r="M2420" s="19" t="s">
        <v>40</v>
      </c>
      <c r="N2420" s="19">
        <v>0</v>
      </c>
      <c r="O2420" s="19">
        <v>0</v>
      </c>
      <c r="P2420" s="19">
        <v>0</v>
      </c>
      <c r="Q2420" s="19">
        <v>0</v>
      </c>
      <c r="S2420" s="19">
        <v>1</v>
      </c>
      <c r="T2420" s="19">
        <v>1</v>
      </c>
      <c r="U2420" s="19">
        <v>0</v>
      </c>
      <c r="V2420" s="19" t="s">
        <v>80</v>
      </c>
      <c r="W2420" s="19">
        <v>0</v>
      </c>
      <c r="Y2420" s="19" t="s">
        <v>40</v>
      </c>
      <c r="Z2420" s="19">
        <v>33.33</v>
      </c>
      <c r="AA2420" s="19">
        <v>0</v>
      </c>
    </row>
    <row r="2421" spans="1:27" x14ac:dyDescent="0.25">
      <c r="A2421" s="19" t="s">
        <v>2871</v>
      </c>
      <c r="B2421" s="19" t="s">
        <v>2869</v>
      </c>
      <c r="C2421" s="19" t="s">
        <v>2870</v>
      </c>
      <c r="D2421" s="19">
        <v>0</v>
      </c>
      <c r="E2421" s="19" t="s">
        <v>38</v>
      </c>
      <c r="F2421" s="19" t="s">
        <v>39</v>
      </c>
      <c r="G2421" s="19" t="s">
        <v>32</v>
      </c>
      <c r="H2421" s="19" t="s">
        <v>33</v>
      </c>
      <c r="I2421" s="19" t="s">
        <v>34</v>
      </c>
      <c r="J2421" s="19">
        <v>19</v>
      </c>
      <c r="K2421" s="19">
        <v>1.6299999999999999E-2</v>
      </c>
      <c r="L2421" s="19" t="s">
        <v>35</v>
      </c>
      <c r="N2421" s="19">
        <v>0</v>
      </c>
      <c r="O2421" s="19">
        <v>0</v>
      </c>
      <c r="P2421" s="19">
        <v>0</v>
      </c>
      <c r="Q2421" s="19">
        <v>0</v>
      </c>
      <c r="S2421" s="19">
        <v>1</v>
      </c>
      <c r="T2421" s="19">
        <v>1</v>
      </c>
      <c r="U2421" s="19">
        <v>0</v>
      </c>
      <c r="V2421" s="19" t="s">
        <v>36</v>
      </c>
      <c r="W2421" s="19">
        <v>0</v>
      </c>
      <c r="Z2421" s="19">
        <v>0</v>
      </c>
      <c r="AA2421" s="19">
        <v>0</v>
      </c>
    </row>
    <row r="2422" spans="1:27" x14ac:dyDescent="0.25">
      <c r="A2422" s="19" t="s">
        <v>2872</v>
      </c>
      <c r="B2422" s="19" t="s">
        <v>2869</v>
      </c>
      <c r="C2422" s="19" t="s">
        <v>2870</v>
      </c>
      <c r="D2422" s="19">
        <v>0</v>
      </c>
      <c r="E2422" s="19" t="s">
        <v>43</v>
      </c>
      <c r="F2422" s="19" t="s">
        <v>44</v>
      </c>
      <c r="G2422" s="19" t="s">
        <v>32</v>
      </c>
      <c r="H2422" s="19" t="s">
        <v>33</v>
      </c>
      <c r="I2422" s="19" t="s">
        <v>34</v>
      </c>
      <c r="J2422" s="19">
        <v>18</v>
      </c>
      <c r="K2422" s="19">
        <v>1.6299999999999999E-2</v>
      </c>
      <c r="L2422" s="19" t="s">
        <v>35</v>
      </c>
      <c r="M2422" s="19" t="s">
        <v>40</v>
      </c>
      <c r="N2422" s="19">
        <v>0</v>
      </c>
      <c r="O2422" s="19">
        <v>0</v>
      </c>
      <c r="P2422" s="19">
        <v>0</v>
      </c>
      <c r="Q2422" s="19">
        <v>0</v>
      </c>
      <c r="S2422" s="19">
        <v>1</v>
      </c>
      <c r="T2422" s="19">
        <v>1</v>
      </c>
      <c r="U2422" s="19">
        <v>0</v>
      </c>
      <c r="V2422" s="19" t="s">
        <v>80</v>
      </c>
      <c r="W2422" s="19">
        <v>0</v>
      </c>
      <c r="Y2422" s="19" t="s">
        <v>40</v>
      </c>
      <c r="Z2422" s="19">
        <v>33.33</v>
      </c>
      <c r="AA2422" s="19">
        <v>0</v>
      </c>
    </row>
    <row r="2423" spans="1:27" x14ac:dyDescent="0.25">
      <c r="A2423" s="19" t="s">
        <v>2873</v>
      </c>
      <c r="B2423" s="19" t="s">
        <v>2869</v>
      </c>
      <c r="C2423" s="19" t="s">
        <v>2870</v>
      </c>
      <c r="D2423" s="19">
        <v>0</v>
      </c>
      <c r="E2423" s="19" t="s">
        <v>46</v>
      </c>
      <c r="F2423" s="19" t="s">
        <v>47</v>
      </c>
      <c r="G2423" s="19" t="s">
        <v>32</v>
      </c>
      <c r="H2423" s="19" t="s">
        <v>33</v>
      </c>
      <c r="I2423" s="19" t="s">
        <v>34</v>
      </c>
      <c r="J2423" s="19">
        <v>15</v>
      </c>
      <c r="K2423" s="19">
        <v>1.6299999999999999E-2</v>
      </c>
      <c r="L2423" s="19" t="s">
        <v>35</v>
      </c>
      <c r="M2423" s="19" t="s">
        <v>40</v>
      </c>
      <c r="N2423" s="19">
        <v>0</v>
      </c>
      <c r="O2423" s="19">
        <v>0</v>
      </c>
      <c r="P2423" s="19">
        <v>0</v>
      </c>
      <c r="Q2423" s="19">
        <v>0</v>
      </c>
      <c r="S2423" s="19">
        <v>1</v>
      </c>
      <c r="T2423" s="19">
        <v>1</v>
      </c>
      <c r="U2423" s="19">
        <v>0</v>
      </c>
      <c r="V2423" s="19" t="s">
        <v>80</v>
      </c>
      <c r="W2423" s="19">
        <v>0</v>
      </c>
      <c r="Y2423" s="19" t="s">
        <v>40</v>
      </c>
      <c r="Z2423" s="19">
        <v>33.33</v>
      </c>
      <c r="AA2423" s="19">
        <v>0</v>
      </c>
    </row>
    <row r="2424" spans="1:27" x14ac:dyDescent="0.25">
      <c r="A2424" s="19" t="s">
        <v>2874</v>
      </c>
      <c r="B2424" s="19" t="s">
        <v>2869</v>
      </c>
      <c r="C2424" s="19" t="s">
        <v>2870</v>
      </c>
      <c r="D2424" s="19">
        <v>0</v>
      </c>
      <c r="E2424" s="19" t="s">
        <v>49</v>
      </c>
      <c r="F2424" s="19" t="s">
        <v>50</v>
      </c>
      <c r="G2424" s="19" t="s">
        <v>32</v>
      </c>
      <c r="H2424" s="19" t="s">
        <v>33</v>
      </c>
      <c r="I2424" s="19" t="s">
        <v>34</v>
      </c>
      <c r="J2424" s="19">
        <v>12</v>
      </c>
      <c r="K2424" s="19">
        <v>1.6299999999999999E-2</v>
      </c>
      <c r="L2424" s="19" t="s">
        <v>35</v>
      </c>
      <c r="N2424" s="19">
        <v>0</v>
      </c>
      <c r="O2424" s="19">
        <v>0</v>
      </c>
      <c r="P2424" s="19">
        <v>0</v>
      </c>
      <c r="Q2424" s="19">
        <v>0</v>
      </c>
      <c r="S2424" s="19">
        <v>1</v>
      </c>
      <c r="T2424" s="19">
        <v>1</v>
      </c>
      <c r="U2424" s="19">
        <v>0</v>
      </c>
      <c r="V2424" s="19" t="s">
        <v>80</v>
      </c>
      <c r="W2424" s="19">
        <v>0</v>
      </c>
      <c r="Z2424" s="19">
        <v>0</v>
      </c>
      <c r="AA2424" s="19">
        <v>0</v>
      </c>
    </row>
    <row r="2425" spans="1:27" x14ac:dyDescent="0.25">
      <c r="A2425" s="19" t="s">
        <v>2875</v>
      </c>
      <c r="B2425" s="19" t="s">
        <v>2869</v>
      </c>
      <c r="C2425" s="19" t="s">
        <v>2870</v>
      </c>
      <c r="D2425" s="19">
        <v>0</v>
      </c>
      <c r="E2425" s="19" t="s">
        <v>52</v>
      </c>
      <c r="F2425" s="19" t="s">
        <v>53</v>
      </c>
      <c r="G2425" s="19" t="s">
        <v>32</v>
      </c>
      <c r="H2425" s="19" t="s">
        <v>33</v>
      </c>
      <c r="I2425" s="19" t="s">
        <v>34</v>
      </c>
      <c r="J2425" s="19">
        <v>16</v>
      </c>
      <c r="K2425" s="19">
        <v>1.6299999999999999E-2</v>
      </c>
      <c r="L2425" s="19" t="s">
        <v>35</v>
      </c>
      <c r="N2425" s="19">
        <v>0</v>
      </c>
      <c r="O2425" s="19">
        <v>0</v>
      </c>
      <c r="P2425" s="19">
        <v>0</v>
      </c>
      <c r="Q2425" s="19">
        <v>0</v>
      </c>
      <c r="S2425" s="19">
        <v>1</v>
      </c>
      <c r="T2425" s="19">
        <v>1</v>
      </c>
      <c r="U2425" s="19">
        <v>0</v>
      </c>
      <c r="V2425" s="19" t="s">
        <v>36</v>
      </c>
      <c r="W2425" s="19">
        <v>0</v>
      </c>
      <c r="Z2425" s="19">
        <v>0</v>
      </c>
      <c r="AA2425" s="19">
        <v>0</v>
      </c>
    </row>
    <row r="2426" spans="1:27" x14ac:dyDescent="0.25">
      <c r="A2426" s="19" t="s">
        <v>2876</v>
      </c>
      <c r="B2426" s="19" t="s">
        <v>2869</v>
      </c>
      <c r="C2426" s="19" t="s">
        <v>2870</v>
      </c>
      <c r="D2426" s="19">
        <v>0</v>
      </c>
      <c r="E2426" s="19" t="s">
        <v>55</v>
      </c>
      <c r="F2426" s="19" t="s">
        <v>56</v>
      </c>
      <c r="G2426" s="19" t="s">
        <v>32</v>
      </c>
      <c r="H2426" s="19" t="s">
        <v>33</v>
      </c>
      <c r="I2426" s="19" t="s">
        <v>34</v>
      </c>
      <c r="J2426" s="19">
        <v>14</v>
      </c>
      <c r="K2426" s="19">
        <v>1.6299999999999999E-2</v>
      </c>
      <c r="L2426" s="19" t="s">
        <v>35</v>
      </c>
      <c r="N2426" s="19">
        <v>0</v>
      </c>
      <c r="O2426" s="19">
        <v>0</v>
      </c>
      <c r="P2426" s="19">
        <v>0</v>
      </c>
      <c r="Q2426" s="19">
        <v>0</v>
      </c>
      <c r="S2426" s="19">
        <v>1</v>
      </c>
      <c r="T2426" s="19">
        <v>1</v>
      </c>
      <c r="U2426" s="19">
        <v>0</v>
      </c>
      <c r="V2426" s="19" t="s">
        <v>36</v>
      </c>
      <c r="W2426" s="19">
        <v>0</v>
      </c>
      <c r="Z2426" s="19">
        <v>0</v>
      </c>
      <c r="AA2426" s="19">
        <v>0</v>
      </c>
    </row>
    <row r="2427" spans="1:27" x14ac:dyDescent="0.25">
      <c r="A2427" s="19" t="s">
        <v>2877</v>
      </c>
      <c r="B2427" s="19" t="s">
        <v>2869</v>
      </c>
      <c r="C2427" s="19" t="s">
        <v>2870</v>
      </c>
      <c r="D2427" s="19">
        <v>0</v>
      </c>
      <c r="E2427" s="19" t="s">
        <v>58</v>
      </c>
      <c r="F2427" s="19" t="s">
        <v>59</v>
      </c>
      <c r="G2427" s="19" t="s">
        <v>32</v>
      </c>
      <c r="H2427" s="19" t="s">
        <v>33</v>
      </c>
      <c r="I2427" s="19" t="s">
        <v>34</v>
      </c>
      <c r="J2427" s="19">
        <v>13</v>
      </c>
      <c r="K2427" s="19">
        <v>1.6299999999999999E-2</v>
      </c>
      <c r="L2427" s="19" t="s">
        <v>35</v>
      </c>
      <c r="N2427" s="19">
        <v>0</v>
      </c>
      <c r="O2427" s="19">
        <v>0</v>
      </c>
      <c r="P2427" s="19">
        <v>0</v>
      </c>
      <c r="Q2427" s="19">
        <v>0</v>
      </c>
      <c r="S2427" s="19">
        <v>1</v>
      </c>
      <c r="T2427" s="19">
        <v>1</v>
      </c>
      <c r="U2427" s="19">
        <v>0</v>
      </c>
      <c r="V2427" s="19" t="s">
        <v>36</v>
      </c>
      <c r="W2427" s="19">
        <v>0</v>
      </c>
      <c r="Z2427" s="19">
        <v>0</v>
      </c>
      <c r="AA2427" s="19">
        <v>0</v>
      </c>
    </row>
    <row r="2428" spans="1:27" x14ac:dyDescent="0.25">
      <c r="A2428" s="19" t="s">
        <v>2878</v>
      </c>
      <c r="B2428" s="19" t="s">
        <v>2869</v>
      </c>
      <c r="C2428" s="19" t="s">
        <v>2870</v>
      </c>
      <c r="D2428" s="19">
        <v>0</v>
      </c>
      <c r="E2428" s="19" t="s">
        <v>61</v>
      </c>
      <c r="F2428" s="19" t="s">
        <v>62</v>
      </c>
      <c r="G2428" s="19" t="s">
        <v>32</v>
      </c>
      <c r="H2428" s="19" t="s">
        <v>63</v>
      </c>
      <c r="I2428" s="19" t="s">
        <v>64</v>
      </c>
      <c r="J2428" s="19">
        <v>22</v>
      </c>
      <c r="K2428" s="19">
        <v>1.8599999999999998E-2</v>
      </c>
      <c r="L2428" s="19" t="s">
        <v>35</v>
      </c>
      <c r="M2428" s="19" t="s">
        <v>40</v>
      </c>
      <c r="N2428" s="19">
        <v>0</v>
      </c>
      <c r="O2428" s="19">
        <v>0</v>
      </c>
      <c r="P2428" s="19">
        <v>0</v>
      </c>
      <c r="Q2428" s="19">
        <v>0</v>
      </c>
      <c r="S2428" s="19">
        <v>1</v>
      </c>
      <c r="T2428" s="19">
        <v>1</v>
      </c>
      <c r="U2428" s="19">
        <v>0</v>
      </c>
      <c r="V2428" s="19" t="s">
        <v>80</v>
      </c>
      <c r="W2428" s="19">
        <v>0</v>
      </c>
      <c r="Y2428" s="19" t="s">
        <v>40</v>
      </c>
      <c r="Z2428" s="19">
        <v>33.33</v>
      </c>
      <c r="AA2428" s="19">
        <v>0</v>
      </c>
    </row>
    <row r="2429" spans="1:27" x14ac:dyDescent="0.25">
      <c r="A2429" s="19" t="s">
        <v>2879</v>
      </c>
      <c r="B2429" s="19" t="s">
        <v>2869</v>
      </c>
      <c r="C2429" s="19" t="s">
        <v>2870</v>
      </c>
      <c r="D2429" s="19">
        <v>0</v>
      </c>
      <c r="E2429" s="19" t="s">
        <v>66</v>
      </c>
      <c r="F2429" s="19" t="s">
        <v>67</v>
      </c>
      <c r="G2429" s="19" t="s">
        <v>32</v>
      </c>
      <c r="H2429" s="19" t="s">
        <v>63</v>
      </c>
      <c r="I2429" s="19" t="s">
        <v>64</v>
      </c>
      <c r="J2429" s="19">
        <v>20</v>
      </c>
      <c r="K2429" s="19">
        <v>1.8599999999999998E-2</v>
      </c>
      <c r="L2429" s="19" t="s">
        <v>35</v>
      </c>
      <c r="M2429" s="19" t="s">
        <v>40</v>
      </c>
      <c r="N2429" s="19">
        <v>0</v>
      </c>
      <c r="O2429" s="19">
        <v>0</v>
      </c>
      <c r="P2429" s="19">
        <v>0</v>
      </c>
      <c r="Q2429" s="19">
        <v>0</v>
      </c>
      <c r="S2429" s="19">
        <v>1</v>
      </c>
      <c r="T2429" s="19">
        <v>1</v>
      </c>
      <c r="U2429" s="19">
        <v>0</v>
      </c>
      <c r="V2429" s="19" t="s">
        <v>80</v>
      </c>
      <c r="W2429" s="19">
        <v>0</v>
      </c>
      <c r="Y2429" s="19" t="s">
        <v>40</v>
      </c>
      <c r="Z2429" s="19">
        <v>33.33</v>
      </c>
      <c r="AA2429" s="19">
        <v>0</v>
      </c>
    </row>
    <row r="2430" spans="1:27" x14ac:dyDescent="0.25">
      <c r="A2430" s="19" t="s">
        <v>2880</v>
      </c>
      <c r="B2430" s="19" t="s">
        <v>2869</v>
      </c>
      <c r="C2430" s="19" t="s">
        <v>2870</v>
      </c>
      <c r="D2430" s="19">
        <v>0</v>
      </c>
      <c r="E2430" s="19" t="s">
        <v>69</v>
      </c>
      <c r="F2430" s="19" t="s">
        <v>70</v>
      </c>
      <c r="G2430" s="19" t="s">
        <v>32</v>
      </c>
      <c r="H2430" s="19" t="s">
        <v>63</v>
      </c>
      <c r="I2430" s="19" t="s">
        <v>64</v>
      </c>
      <c r="J2430" s="19">
        <v>23</v>
      </c>
      <c r="K2430" s="19">
        <v>1.8599999999999998E-2</v>
      </c>
      <c r="L2430" s="19" t="s">
        <v>35</v>
      </c>
      <c r="M2430" s="19" t="s">
        <v>40</v>
      </c>
      <c r="N2430" s="19">
        <v>0</v>
      </c>
      <c r="O2430" s="19">
        <v>0</v>
      </c>
      <c r="P2430" s="19">
        <v>0</v>
      </c>
      <c r="Q2430" s="19">
        <v>0</v>
      </c>
      <c r="S2430" s="19">
        <v>1</v>
      </c>
      <c r="T2430" s="19">
        <v>1</v>
      </c>
      <c r="U2430" s="19">
        <v>0</v>
      </c>
      <c r="V2430" s="19" t="s">
        <v>80</v>
      </c>
      <c r="W2430" s="19">
        <v>0</v>
      </c>
      <c r="Y2430" s="19" t="s">
        <v>40</v>
      </c>
      <c r="Z2430" s="19">
        <v>33.33</v>
      </c>
      <c r="AA2430" s="19">
        <v>0</v>
      </c>
    </row>
    <row r="2431" spans="1:27" x14ac:dyDescent="0.25">
      <c r="A2431" s="19" t="s">
        <v>2881</v>
      </c>
      <c r="B2431" s="19" t="s">
        <v>2869</v>
      </c>
      <c r="C2431" s="19" t="s">
        <v>2870</v>
      </c>
      <c r="D2431" s="19">
        <v>0</v>
      </c>
      <c r="E2431" s="19" t="s">
        <v>72</v>
      </c>
      <c r="F2431" s="19" t="s">
        <v>73</v>
      </c>
      <c r="G2431" s="19" t="s">
        <v>32</v>
      </c>
      <c r="H2431" s="19" t="s">
        <v>63</v>
      </c>
      <c r="I2431" s="19" t="s">
        <v>64</v>
      </c>
      <c r="J2431" s="19">
        <v>21</v>
      </c>
      <c r="K2431" s="19">
        <v>1.8599999999999998E-2</v>
      </c>
      <c r="L2431" s="19" t="s">
        <v>35</v>
      </c>
      <c r="N2431" s="19">
        <v>0</v>
      </c>
      <c r="O2431" s="19">
        <v>0</v>
      </c>
      <c r="P2431" s="19">
        <v>0</v>
      </c>
      <c r="Q2431" s="19">
        <v>0</v>
      </c>
      <c r="S2431" s="19">
        <v>1</v>
      </c>
      <c r="T2431" s="19">
        <v>1</v>
      </c>
      <c r="U2431" s="19">
        <v>0</v>
      </c>
      <c r="V2431" s="19" t="s">
        <v>36</v>
      </c>
      <c r="W2431" s="19">
        <v>0</v>
      </c>
      <c r="Z2431" s="19">
        <v>0</v>
      </c>
      <c r="AA2431" s="19">
        <v>0</v>
      </c>
    </row>
    <row r="2432" spans="1:27" x14ac:dyDescent="0.25">
      <c r="A2432" s="19" t="s">
        <v>2882</v>
      </c>
      <c r="B2432" s="19" t="s">
        <v>2869</v>
      </c>
      <c r="C2432" s="19" t="s">
        <v>2870</v>
      </c>
      <c r="D2432" s="19">
        <v>0</v>
      </c>
      <c r="E2432" s="19" t="s">
        <v>75</v>
      </c>
      <c r="F2432" s="19" t="s">
        <v>76</v>
      </c>
      <c r="G2432" s="19" t="s">
        <v>32</v>
      </c>
      <c r="H2432" s="19" t="s">
        <v>63</v>
      </c>
      <c r="I2432" s="19" t="s">
        <v>64</v>
      </c>
      <c r="J2432" s="19">
        <v>24</v>
      </c>
      <c r="K2432" s="19">
        <v>1.8599999999999998E-2</v>
      </c>
      <c r="L2432" s="19" t="s">
        <v>35</v>
      </c>
      <c r="M2432" s="19" t="s">
        <v>40</v>
      </c>
      <c r="N2432" s="19">
        <v>0</v>
      </c>
      <c r="O2432" s="19">
        <v>0</v>
      </c>
      <c r="P2432" s="19">
        <v>0</v>
      </c>
      <c r="Q2432" s="19">
        <v>0</v>
      </c>
      <c r="S2432" s="19">
        <v>1</v>
      </c>
      <c r="T2432" s="19">
        <v>1</v>
      </c>
      <c r="U2432" s="19">
        <v>0</v>
      </c>
      <c r="V2432" s="19" t="s">
        <v>80</v>
      </c>
      <c r="W2432" s="19">
        <v>0</v>
      </c>
      <c r="Y2432" s="19" t="s">
        <v>40</v>
      </c>
      <c r="Z2432" s="19">
        <v>33.33</v>
      </c>
      <c r="AA2432" s="19">
        <v>0</v>
      </c>
    </row>
    <row r="2433" spans="1:27" x14ac:dyDescent="0.25">
      <c r="A2433" s="19" t="s">
        <v>2883</v>
      </c>
      <c r="B2433" s="19" t="s">
        <v>2869</v>
      </c>
      <c r="C2433" s="19" t="s">
        <v>2870</v>
      </c>
      <c r="D2433" s="19">
        <v>0</v>
      </c>
      <c r="E2433" s="19" t="s">
        <v>78</v>
      </c>
      <c r="F2433" s="19" t="s">
        <v>79</v>
      </c>
      <c r="G2433" s="19" t="s">
        <v>32</v>
      </c>
      <c r="H2433" s="19" t="s">
        <v>63</v>
      </c>
      <c r="I2433" s="19" t="s">
        <v>64</v>
      </c>
      <c r="J2433" s="19">
        <v>25</v>
      </c>
      <c r="K2433" s="19">
        <v>1.8599999999999998E-2</v>
      </c>
      <c r="L2433" s="19" t="s">
        <v>35</v>
      </c>
      <c r="N2433" s="19">
        <v>0</v>
      </c>
      <c r="O2433" s="19">
        <v>0</v>
      </c>
      <c r="P2433" s="19">
        <v>0</v>
      </c>
      <c r="Q2433" s="19">
        <v>0</v>
      </c>
      <c r="S2433" s="19">
        <v>1</v>
      </c>
      <c r="T2433" s="19">
        <v>1</v>
      </c>
      <c r="U2433" s="19">
        <v>0</v>
      </c>
      <c r="V2433" s="19" t="s">
        <v>36</v>
      </c>
      <c r="W2433" s="19">
        <v>0</v>
      </c>
      <c r="Z2433" s="19">
        <v>0</v>
      </c>
      <c r="AA2433" s="19">
        <v>0</v>
      </c>
    </row>
    <row r="2434" spans="1:27" x14ac:dyDescent="0.25">
      <c r="A2434" s="19" t="s">
        <v>2884</v>
      </c>
      <c r="B2434" s="19" t="s">
        <v>2869</v>
      </c>
      <c r="C2434" s="19" t="s">
        <v>2870</v>
      </c>
      <c r="D2434" s="19">
        <v>0</v>
      </c>
      <c r="E2434" s="19" t="s">
        <v>82</v>
      </c>
      <c r="F2434" s="19" t="s">
        <v>83</v>
      </c>
      <c r="G2434" s="19" t="s">
        <v>32</v>
      </c>
      <c r="H2434" s="19" t="s">
        <v>63</v>
      </c>
      <c r="I2434" s="19" t="s">
        <v>64</v>
      </c>
      <c r="J2434" s="19">
        <v>26</v>
      </c>
      <c r="K2434" s="19">
        <v>1.8599999999999998E-2</v>
      </c>
      <c r="L2434" s="19" t="s">
        <v>35</v>
      </c>
      <c r="N2434" s="19">
        <v>0</v>
      </c>
      <c r="O2434" s="19">
        <v>0</v>
      </c>
      <c r="P2434" s="19">
        <v>0</v>
      </c>
      <c r="Q2434" s="19">
        <v>0</v>
      </c>
      <c r="S2434" s="19">
        <v>1</v>
      </c>
      <c r="T2434" s="19">
        <v>1</v>
      </c>
      <c r="U2434" s="19">
        <v>0</v>
      </c>
      <c r="V2434" s="19" t="s">
        <v>36</v>
      </c>
      <c r="W2434" s="19">
        <v>0</v>
      </c>
      <c r="Z2434" s="19">
        <v>0</v>
      </c>
      <c r="AA2434" s="19">
        <v>0</v>
      </c>
    </row>
    <row r="2435" spans="1:27" x14ac:dyDescent="0.25">
      <c r="A2435" s="19" t="s">
        <v>2885</v>
      </c>
      <c r="B2435" s="19" t="s">
        <v>2869</v>
      </c>
      <c r="C2435" s="19" t="s">
        <v>2870</v>
      </c>
      <c r="D2435" s="19">
        <v>0</v>
      </c>
      <c r="E2435" s="19" t="s">
        <v>85</v>
      </c>
      <c r="F2435" s="19" t="s">
        <v>86</v>
      </c>
      <c r="G2435" s="19" t="s">
        <v>32</v>
      </c>
      <c r="H2435" s="19" t="s">
        <v>87</v>
      </c>
      <c r="I2435" s="19" t="s">
        <v>88</v>
      </c>
      <c r="J2435" s="19">
        <v>35</v>
      </c>
      <c r="K2435" s="19">
        <v>3.2500000000000001E-2</v>
      </c>
      <c r="L2435" s="19" t="s">
        <v>35</v>
      </c>
      <c r="N2435" s="19">
        <v>0</v>
      </c>
      <c r="O2435" s="19">
        <v>0</v>
      </c>
      <c r="P2435" s="19">
        <v>0</v>
      </c>
      <c r="Q2435" s="19">
        <v>0</v>
      </c>
      <c r="S2435" s="19">
        <v>1</v>
      </c>
      <c r="T2435" s="19">
        <v>1</v>
      </c>
      <c r="U2435" s="19">
        <v>0</v>
      </c>
      <c r="V2435" s="19" t="s">
        <v>36</v>
      </c>
      <c r="W2435" s="19">
        <v>0</v>
      </c>
      <c r="Z2435" s="19">
        <v>0</v>
      </c>
      <c r="AA2435" s="19">
        <v>0</v>
      </c>
    </row>
    <row r="2436" spans="1:27" x14ac:dyDescent="0.25">
      <c r="A2436" s="19" t="s">
        <v>2886</v>
      </c>
      <c r="B2436" s="19" t="s">
        <v>2869</v>
      </c>
      <c r="C2436" s="19" t="s">
        <v>2870</v>
      </c>
      <c r="D2436" s="19">
        <v>0</v>
      </c>
      <c r="E2436" s="19" t="s">
        <v>90</v>
      </c>
      <c r="F2436" s="19" t="s">
        <v>91</v>
      </c>
      <c r="G2436" s="19" t="s">
        <v>32</v>
      </c>
      <c r="H2436" s="19" t="s">
        <v>87</v>
      </c>
      <c r="I2436" s="19" t="s">
        <v>88</v>
      </c>
      <c r="J2436" s="19">
        <v>33</v>
      </c>
      <c r="K2436" s="19">
        <v>3.2500000000000001E-2</v>
      </c>
      <c r="L2436" s="19" t="s">
        <v>35</v>
      </c>
      <c r="N2436" s="19">
        <v>0</v>
      </c>
      <c r="O2436" s="19">
        <v>0</v>
      </c>
      <c r="P2436" s="19">
        <v>0</v>
      </c>
      <c r="Q2436" s="19">
        <v>0</v>
      </c>
      <c r="S2436" s="19">
        <v>1</v>
      </c>
      <c r="T2436" s="19">
        <v>1</v>
      </c>
      <c r="U2436" s="19">
        <v>0</v>
      </c>
      <c r="V2436" s="19" t="s">
        <v>36</v>
      </c>
      <c r="W2436" s="19">
        <v>0</v>
      </c>
      <c r="Z2436" s="19">
        <v>0</v>
      </c>
      <c r="AA2436" s="19">
        <v>0</v>
      </c>
    </row>
    <row r="2437" spans="1:27" x14ac:dyDescent="0.25">
      <c r="A2437" s="19" t="s">
        <v>2887</v>
      </c>
      <c r="B2437" s="19" t="s">
        <v>2869</v>
      </c>
      <c r="C2437" s="19" t="s">
        <v>2870</v>
      </c>
      <c r="D2437" s="19">
        <v>0</v>
      </c>
      <c r="E2437" s="19" t="s">
        <v>93</v>
      </c>
      <c r="F2437" s="19" t="s">
        <v>94</v>
      </c>
      <c r="G2437" s="19" t="s">
        <v>32</v>
      </c>
      <c r="H2437" s="19" t="s">
        <v>87</v>
      </c>
      <c r="I2437" s="19" t="s">
        <v>88</v>
      </c>
      <c r="J2437" s="19">
        <v>34</v>
      </c>
      <c r="K2437" s="19">
        <v>3.2500000000000001E-2</v>
      </c>
      <c r="L2437" s="19" t="s">
        <v>35</v>
      </c>
      <c r="M2437" s="19" t="s">
        <v>40</v>
      </c>
      <c r="N2437" s="19">
        <v>0</v>
      </c>
      <c r="O2437" s="19">
        <v>0</v>
      </c>
      <c r="P2437" s="19">
        <v>0</v>
      </c>
      <c r="Q2437" s="19">
        <v>0</v>
      </c>
      <c r="S2437" s="19">
        <v>1</v>
      </c>
      <c r="T2437" s="19">
        <v>1</v>
      </c>
      <c r="U2437" s="19">
        <v>0</v>
      </c>
      <c r="V2437" s="19" t="s">
        <v>80</v>
      </c>
      <c r="W2437" s="19">
        <v>0</v>
      </c>
      <c r="Y2437" s="19" t="s">
        <v>40</v>
      </c>
      <c r="Z2437" s="19">
        <v>33.33</v>
      </c>
      <c r="AA2437" s="19">
        <v>0</v>
      </c>
    </row>
    <row r="2438" spans="1:27" x14ac:dyDescent="0.25">
      <c r="A2438" s="19" t="s">
        <v>2888</v>
      </c>
      <c r="B2438" s="19" t="s">
        <v>2869</v>
      </c>
      <c r="C2438" s="19" t="s">
        <v>2870</v>
      </c>
      <c r="D2438" s="19">
        <v>0</v>
      </c>
      <c r="E2438" s="19" t="s">
        <v>96</v>
      </c>
      <c r="F2438" s="19" t="s">
        <v>97</v>
      </c>
      <c r="G2438" s="19" t="s">
        <v>32</v>
      </c>
      <c r="H2438" s="19" t="s">
        <v>87</v>
      </c>
      <c r="I2438" s="19" t="s">
        <v>88</v>
      </c>
      <c r="J2438" s="19">
        <v>36</v>
      </c>
      <c r="K2438" s="19">
        <v>3.2500000000000001E-2</v>
      </c>
      <c r="L2438" s="19" t="s">
        <v>35</v>
      </c>
      <c r="N2438" s="19">
        <v>0</v>
      </c>
      <c r="O2438" s="19">
        <v>0</v>
      </c>
      <c r="P2438" s="19">
        <v>0</v>
      </c>
      <c r="Q2438" s="19">
        <v>0</v>
      </c>
      <c r="S2438" s="19">
        <v>1</v>
      </c>
      <c r="T2438" s="19">
        <v>1</v>
      </c>
      <c r="U2438" s="19">
        <v>0</v>
      </c>
      <c r="V2438" s="19" t="s">
        <v>36</v>
      </c>
      <c r="W2438" s="19">
        <v>0</v>
      </c>
      <c r="Z2438" s="19">
        <v>0</v>
      </c>
      <c r="AA2438" s="19">
        <v>0</v>
      </c>
    </row>
    <row r="2439" spans="1:27" x14ac:dyDescent="0.25">
      <c r="A2439" s="19" t="s">
        <v>2889</v>
      </c>
      <c r="B2439" s="19" t="s">
        <v>2869</v>
      </c>
      <c r="C2439" s="19" t="s">
        <v>2870</v>
      </c>
      <c r="D2439" s="19">
        <v>0</v>
      </c>
      <c r="E2439" s="19" t="s">
        <v>99</v>
      </c>
      <c r="F2439" s="19" t="s">
        <v>100</v>
      </c>
      <c r="G2439" s="19" t="s">
        <v>32</v>
      </c>
      <c r="H2439" s="19" t="s">
        <v>101</v>
      </c>
      <c r="I2439" s="19" t="s">
        <v>102</v>
      </c>
      <c r="J2439" s="19">
        <v>39</v>
      </c>
      <c r="K2439" s="19">
        <v>4.3299999999999998E-2</v>
      </c>
      <c r="L2439" s="19" t="s">
        <v>35</v>
      </c>
      <c r="M2439" s="19" t="s">
        <v>103</v>
      </c>
      <c r="N2439" s="19">
        <v>0</v>
      </c>
      <c r="O2439" s="19">
        <v>0</v>
      </c>
      <c r="P2439" s="19">
        <v>0</v>
      </c>
      <c r="Q2439" s="19">
        <v>0</v>
      </c>
      <c r="S2439" s="19">
        <v>1</v>
      </c>
      <c r="T2439" s="19">
        <v>1</v>
      </c>
      <c r="U2439" s="19">
        <v>0</v>
      </c>
      <c r="V2439" s="19" t="s">
        <v>36</v>
      </c>
      <c r="W2439" s="19">
        <v>0</v>
      </c>
      <c r="Y2439" s="19" t="s">
        <v>103</v>
      </c>
      <c r="Z2439" s="19">
        <v>50</v>
      </c>
      <c r="AA2439" s="19">
        <v>0</v>
      </c>
    </row>
    <row r="2440" spans="1:27" x14ac:dyDescent="0.25">
      <c r="A2440" s="19" t="s">
        <v>2890</v>
      </c>
      <c r="B2440" s="19" t="s">
        <v>2869</v>
      </c>
      <c r="C2440" s="19" t="s">
        <v>2870</v>
      </c>
      <c r="D2440" s="19">
        <v>0</v>
      </c>
      <c r="E2440" s="19" t="s">
        <v>105</v>
      </c>
      <c r="F2440" s="19" t="s">
        <v>106</v>
      </c>
      <c r="G2440" s="19" t="s">
        <v>32</v>
      </c>
      <c r="H2440" s="19" t="s">
        <v>101</v>
      </c>
      <c r="I2440" s="19" t="s">
        <v>102</v>
      </c>
      <c r="J2440" s="19">
        <v>38</v>
      </c>
      <c r="K2440" s="19">
        <v>4.3299999999999998E-2</v>
      </c>
      <c r="L2440" s="19" t="s">
        <v>35</v>
      </c>
      <c r="M2440" s="19" t="s">
        <v>103</v>
      </c>
      <c r="N2440" s="19">
        <v>0</v>
      </c>
      <c r="O2440" s="19">
        <v>0</v>
      </c>
      <c r="P2440" s="19">
        <v>0</v>
      </c>
      <c r="Q2440" s="19">
        <v>0</v>
      </c>
      <c r="S2440" s="19">
        <v>1</v>
      </c>
      <c r="T2440" s="19">
        <v>1</v>
      </c>
      <c r="U2440" s="19">
        <v>0</v>
      </c>
      <c r="V2440" s="19" t="s">
        <v>36</v>
      </c>
      <c r="W2440" s="19">
        <v>0</v>
      </c>
      <c r="Y2440" s="19" t="s">
        <v>103</v>
      </c>
      <c r="Z2440" s="19">
        <v>50</v>
      </c>
      <c r="AA2440" s="19">
        <v>0</v>
      </c>
    </row>
    <row r="2441" spans="1:27" x14ac:dyDescent="0.25">
      <c r="A2441" s="19" t="s">
        <v>2891</v>
      </c>
      <c r="B2441" s="19" t="s">
        <v>2869</v>
      </c>
      <c r="C2441" s="19" t="s">
        <v>2870</v>
      </c>
      <c r="D2441" s="19">
        <v>0</v>
      </c>
      <c r="E2441" s="19" t="s">
        <v>108</v>
      </c>
      <c r="F2441" s="19" t="s">
        <v>109</v>
      </c>
      <c r="G2441" s="19" t="s">
        <v>32</v>
      </c>
      <c r="H2441" s="19" t="s">
        <v>101</v>
      </c>
      <c r="I2441" s="19" t="s">
        <v>102</v>
      </c>
      <c r="J2441" s="19">
        <v>37</v>
      </c>
      <c r="K2441" s="19">
        <v>4.3299999999999998E-2</v>
      </c>
      <c r="L2441" s="19" t="s">
        <v>35</v>
      </c>
      <c r="N2441" s="19">
        <v>0</v>
      </c>
      <c r="O2441" s="19">
        <v>0</v>
      </c>
      <c r="P2441" s="19">
        <v>0</v>
      </c>
      <c r="Q2441" s="19">
        <v>0</v>
      </c>
      <c r="S2441" s="19">
        <v>1</v>
      </c>
      <c r="T2441" s="19">
        <v>1</v>
      </c>
      <c r="U2441" s="19">
        <v>0</v>
      </c>
      <c r="V2441" s="19" t="s">
        <v>36</v>
      </c>
      <c r="W2441" s="19">
        <v>0</v>
      </c>
      <c r="Z2441" s="19">
        <v>0</v>
      </c>
      <c r="AA2441" s="19">
        <v>0</v>
      </c>
    </row>
    <row r="2442" spans="1:27" x14ac:dyDescent="0.25">
      <c r="A2442" s="19" t="s">
        <v>2892</v>
      </c>
      <c r="B2442" s="19" t="s">
        <v>2869</v>
      </c>
      <c r="C2442" s="19" t="s">
        <v>2870</v>
      </c>
      <c r="D2442" s="19">
        <v>0</v>
      </c>
      <c r="E2442" s="19" t="s">
        <v>112</v>
      </c>
      <c r="F2442" s="19" t="s">
        <v>113</v>
      </c>
      <c r="G2442" s="19" t="s">
        <v>32</v>
      </c>
      <c r="H2442" s="19" t="s">
        <v>114</v>
      </c>
      <c r="I2442" s="19" t="s">
        <v>115</v>
      </c>
      <c r="J2442" s="19">
        <v>30</v>
      </c>
      <c r="K2442" s="19">
        <v>2.1700000000000001E-2</v>
      </c>
      <c r="L2442" s="19" t="s">
        <v>35</v>
      </c>
      <c r="M2442" s="19" t="s">
        <v>103</v>
      </c>
      <c r="N2442" s="19">
        <v>0</v>
      </c>
      <c r="O2442" s="19">
        <v>0</v>
      </c>
      <c r="P2442" s="19">
        <v>0</v>
      </c>
      <c r="Q2442" s="19">
        <v>0</v>
      </c>
      <c r="S2442" s="19">
        <v>1</v>
      </c>
      <c r="T2442" s="19">
        <v>1</v>
      </c>
      <c r="U2442" s="19">
        <v>0</v>
      </c>
      <c r="V2442" s="19" t="s">
        <v>36</v>
      </c>
      <c r="W2442" s="19">
        <v>0</v>
      </c>
      <c r="Y2442" s="19" t="s">
        <v>103</v>
      </c>
      <c r="Z2442" s="19">
        <v>50</v>
      </c>
      <c r="AA2442" s="19">
        <v>0</v>
      </c>
    </row>
    <row r="2443" spans="1:27" x14ac:dyDescent="0.25">
      <c r="A2443" s="19" t="s">
        <v>2893</v>
      </c>
      <c r="B2443" s="19" t="s">
        <v>2869</v>
      </c>
      <c r="C2443" s="19" t="s">
        <v>2870</v>
      </c>
      <c r="D2443" s="19">
        <v>0</v>
      </c>
      <c r="E2443" s="19" t="s">
        <v>117</v>
      </c>
      <c r="F2443" s="19" t="s">
        <v>118</v>
      </c>
      <c r="G2443" s="19" t="s">
        <v>32</v>
      </c>
      <c r="H2443" s="19" t="s">
        <v>114</v>
      </c>
      <c r="I2443" s="19" t="s">
        <v>115</v>
      </c>
      <c r="J2443" s="19">
        <v>31</v>
      </c>
      <c r="K2443" s="19">
        <v>2.1700000000000001E-2</v>
      </c>
      <c r="L2443" s="19" t="s">
        <v>35</v>
      </c>
      <c r="M2443" s="19" t="s">
        <v>103</v>
      </c>
      <c r="N2443" s="19">
        <v>0</v>
      </c>
      <c r="O2443" s="19">
        <v>0</v>
      </c>
      <c r="P2443" s="19">
        <v>0</v>
      </c>
      <c r="Q2443" s="19">
        <v>0</v>
      </c>
      <c r="S2443" s="19">
        <v>1</v>
      </c>
      <c r="T2443" s="19">
        <v>1</v>
      </c>
      <c r="U2443" s="19">
        <v>0</v>
      </c>
      <c r="V2443" s="19" t="s">
        <v>36</v>
      </c>
      <c r="W2443" s="19">
        <v>0</v>
      </c>
      <c r="Y2443" s="19" t="s">
        <v>103</v>
      </c>
      <c r="Z2443" s="19">
        <v>50</v>
      </c>
      <c r="AA2443" s="19">
        <v>0</v>
      </c>
    </row>
    <row r="2444" spans="1:27" x14ac:dyDescent="0.25">
      <c r="A2444" s="19" t="s">
        <v>2894</v>
      </c>
      <c r="B2444" s="19" t="s">
        <v>2869</v>
      </c>
      <c r="C2444" s="19" t="s">
        <v>2870</v>
      </c>
      <c r="D2444" s="19">
        <v>0</v>
      </c>
      <c r="E2444" s="19" t="s">
        <v>120</v>
      </c>
      <c r="F2444" s="19" t="s">
        <v>121</v>
      </c>
      <c r="G2444" s="19" t="s">
        <v>32</v>
      </c>
      <c r="H2444" s="19" t="s">
        <v>114</v>
      </c>
      <c r="I2444" s="19" t="s">
        <v>115</v>
      </c>
      <c r="J2444" s="19">
        <v>28</v>
      </c>
      <c r="K2444" s="19">
        <v>2.1700000000000001E-2</v>
      </c>
      <c r="L2444" s="19" t="s">
        <v>35</v>
      </c>
      <c r="M2444" s="19" t="s">
        <v>103</v>
      </c>
      <c r="N2444" s="19">
        <v>0</v>
      </c>
      <c r="O2444" s="19">
        <v>0</v>
      </c>
      <c r="P2444" s="19">
        <v>0</v>
      </c>
      <c r="Q2444" s="19">
        <v>0</v>
      </c>
      <c r="S2444" s="19">
        <v>1</v>
      </c>
      <c r="T2444" s="19">
        <v>1</v>
      </c>
      <c r="U2444" s="19">
        <v>0</v>
      </c>
      <c r="V2444" s="19" t="s">
        <v>36</v>
      </c>
      <c r="W2444" s="19">
        <v>0</v>
      </c>
      <c r="Y2444" s="19" t="s">
        <v>103</v>
      </c>
      <c r="Z2444" s="19">
        <v>50</v>
      </c>
      <c r="AA2444" s="19">
        <v>0</v>
      </c>
    </row>
    <row r="2445" spans="1:27" x14ac:dyDescent="0.25">
      <c r="A2445" s="19" t="s">
        <v>2895</v>
      </c>
      <c r="B2445" s="19" t="s">
        <v>2869</v>
      </c>
      <c r="C2445" s="19" t="s">
        <v>2870</v>
      </c>
      <c r="D2445" s="19">
        <v>0</v>
      </c>
      <c r="E2445" s="19" t="s">
        <v>123</v>
      </c>
      <c r="F2445" s="19" t="s">
        <v>124</v>
      </c>
      <c r="G2445" s="19" t="s">
        <v>32</v>
      </c>
      <c r="H2445" s="19" t="s">
        <v>114</v>
      </c>
      <c r="I2445" s="19" t="s">
        <v>115</v>
      </c>
      <c r="J2445" s="19">
        <v>27</v>
      </c>
      <c r="K2445" s="19">
        <v>2.1700000000000001E-2</v>
      </c>
      <c r="L2445" s="19" t="s">
        <v>35</v>
      </c>
      <c r="M2445" s="19" t="s">
        <v>103</v>
      </c>
      <c r="N2445" s="19">
        <v>0</v>
      </c>
      <c r="O2445" s="19">
        <v>0</v>
      </c>
      <c r="P2445" s="19">
        <v>0</v>
      </c>
      <c r="Q2445" s="19">
        <v>0</v>
      </c>
      <c r="S2445" s="19">
        <v>1</v>
      </c>
      <c r="T2445" s="19">
        <v>1</v>
      </c>
      <c r="U2445" s="19">
        <v>0</v>
      </c>
      <c r="V2445" s="19" t="s">
        <v>36</v>
      </c>
      <c r="W2445" s="19">
        <v>0</v>
      </c>
      <c r="Y2445" s="19" t="s">
        <v>103</v>
      </c>
      <c r="Z2445" s="19">
        <v>50</v>
      </c>
      <c r="AA2445" s="19">
        <v>0</v>
      </c>
    </row>
    <row r="2446" spans="1:27" x14ac:dyDescent="0.25">
      <c r="A2446" s="19" t="s">
        <v>2896</v>
      </c>
      <c r="B2446" s="19" t="s">
        <v>2869</v>
      </c>
      <c r="C2446" s="19" t="s">
        <v>2870</v>
      </c>
      <c r="D2446" s="19">
        <v>0</v>
      </c>
      <c r="E2446" s="19" t="s">
        <v>126</v>
      </c>
      <c r="F2446" s="19" t="s">
        <v>127</v>
      </c>
      <c r="G2446" s="19" t="s">
        <v>32</v>
      </c>
      <c r="H2446" s="19" t="s">
        <v>114</v>
      </c>
      <c r="I2446" s="19" t="s">
        <v>115</v>
      </c>
      <c r="J2446" s="19">
        <v>29</v>
      </c>
      <c r="K2446" s="19">
        <v>2.1700000000000001E-2</v>
      </c>
      <c r="L2446" s="19" t="s">
        <v>35</v>
      </c>
      <c r="M2446" s="19" t="s">
        <v>103</v>
      </c>
      <c r="N2446" s="19">
        <v>0</v>
      </c>
      <c r="O2446" s="19">
        <v>0</v>
      </c>
      <c r="P2446" s="19">
        <v>0</v>
      </c>
      <c r="Q2446" s="19">
        <v>0</v>
      </c>
      <c r="S2446" s="19">
        <v>1</v>
      </c>
      <c r="T2446" s="19">
        <v>1</v>
      </c>
      <c r="U2446" s="19">
        <v>0</v>
      </c>
      <c r="V2446" s="19" t="s">
        <v>36</v>
      </c>
      <c r="W2446" s="19">
        <v>0</v>
      </c>
      <c r="Y2446" s="19" t="s">
        <v>103</v>
      </c>
      <c r="Z2446" s="19">
        <v>50</v>
      </c>
      <c r="AA2446" s="19">
        <v>0</v>
      </c>
    </row>
    <row r="2447" spans="1:27" x14ac:dyDescent="0.25">
      <c r="A2447" s="19" t="s">
        <v>2897</v>
      </c>
      <c r="B2447" s="19" t="s">
        <v>2869</v>
      </c>
      <c r="C2447" s="19" t="s">
        <v>2870</v>
      </c>
      <c r="D2447" s="19">
        <v>0</v>
      </c>
      <c r="E2447" s="19" t="s">
        <v>129</v>
      </c>
      <c r="F2447" s="19" t="s">
        <v>130</v>
      </c>
      <c r="G2447" s="19" t="s">
        <v>32</v>
      </c>
      <c r="H2447" s="19" t="s">
        <v>114</v>
      </c>
      <c r="I2447" s="19" t="s">
        <v>115</v>
      </c>
      <c r="J2447" s="19">
        <v>32</v>
      </c>
      <c r="K2447" s="19">
        <v>2.1700000000000001E-2</v>
      </c>
      <c r="L2447" s="19" t="s">
        <v>35</v>
      </c>
      <c r="M2447" s="19" t="s">
        <v>103</v>
      </c>
      <c r="N2447" s="19">
        <v>0</v>
      </c>
      <c r="O2447" s="19">
        <v>0</v>
      </c>
      <c r="P2447" s="19">
        <v>0</v>
      </c>
      <c r="Q2447" s="19">
        <v>0</v>
      </c>
      <c r="S2447" s="19">
        <v>1</v>
      </c>
      <c r="T2447" s="19">
        <v>1</v>
      </c>
      <c r="U2447" s="19">
        <v>0</v>
      </c>
      <c r="V2447" s="19" t="s">
        <v>36</v>
      </c>
      <c r="W2447" s="19">
        <v>0</v>
      </c>
      <c r="Y2447" s="19" t="s">
        <v>103</v>
      </c>
      <c r="Z2447" s="19">
        <v>50</v>
      </c>
      <c r="AA2447" s="19">
        <v>0</v>
      </c>
    </row>
    <row r="2448" spans="1:27" x14ac:dyDescent="0.25">
      <c r="A2448" s="19" t="s">
        <v>2898</v>
      </c>
      <c r="B2448" s="19" t="s">
        <v>2869</v>
      </c>
      <c r="C2448" s="19" t="s">
        <v>2870</v>
      </c>
      <c r="D2448" s="19">
        <v>0</v>
      </c>
      <c r="E2448" s="19" t="s">
        <v>132</v>
      </c>
      <c r="F2448" s="19" t="s">
        <v>133</v>
      </c>
      <c r="G2448" s="19" t="s">
        <v>134</v>
      </c>
      <c r="H2448" s="19" t="s">
        <v>87</v>
      </c>
      <c r="I2448" s="19" t="s">
        <v>135</v>
      </c>
      <c r="J2448" s="19">
        <v>11</v>
      </c>
      <c r="K2448" s="19">
        <v>4.1700000000000001E-2</v>
      </c>
      <c r="L2448" s="19" t="s">
        <v>35</v>
      </c>
      <c r="M2448" s="19" t="s">
        <v>103</v>
      </c>
      <c r="N2448" s="19">
        <v>0</v>
      </c>
      <c r="O2448" s="19">
        <v>0</v>
      </c>
      <c r="P2448" s="19">
        <v>0</v>
      </c>
      <c r="Q2448" s="19">
        <v>0</v>
      </c>
      <c r="S2448" s="19">
        <v>1</v>
      </c>
      <c r="T2448" s="19">
        <v>1</v>
      </c>
      <c r="U2448" s="19">
        <v>0</v>
      </c>
      <c r="V2448" s="19" t="s">
        <v>36</v>
      </c>
      <c r="W2448" s="19">
        <v>0</v>
      </c>
      <c r="Y2448" s="19" t="s">
        <v>103</v>
      </c>
      <c r="Z2448" s="19">
        <v>50</v>
      </c>
      <c r="AA2448" s="19">
        <v>0</v>
      </c>
    </row>
    <row r="2449" spans="1:27" x14ac:dyDescent="0.25">
      <c r="A2449" s="19" t="s">
        <v>2899</v>
      </c>
      <c r="B2449" s="19" t="s">
        <v>2869</v>
      </c>
      <c r="C2449" s="19" t="s">
        <v>2870</v>
      </c>
      <c r="D2449" s="19">
        <v>0</v>
      </c>
      <c r="E2449" s="19" t="s">
        <v>137</v>
      </c>
      <c r="F2449" s="19" t="s">
        <v>138</v>
      </c>
      <c r="G2449" s="19" t="s">
        <v>134</v>
      </c>
      <c r="H2449" s="19" t="s">
        <v>87</v>
      </c>
      <c r="I2449" s="19" t="s">
        <v>135</v>
      </c>
      <c r="J2449" s="19">
        <v>9</v>
      </c>
      <c r="K2449" s="19">
        <v>4.1700000000000001E-2</v>
      </c>
      <c r="L2449" s="19" t="s">
        <v>35</v>
      </c>
      <c r="N2449" s="19">
        <v>0</v>
      </c>
      <c r="O2449" s="19">
        <v>0</v>
      </c>
      <c r="P2449" s="19">
        <v>0</v>
      </c>
      <c r="Q2449" s="19">
        <v>0</v>
      </c>
      <c r="S2449" s="19">
        <v>1</v>
      </c>
      <c r="T2449" s="19">
        <v>1</v>
      </c>
      <c r="U2449" s="19">
        <v>0</v>
      </c>
      <c r="W2449" s="19">
        <v>0</v>
      </c>
      <c r="X2449" s="19">
        <v>0</v>
      </c>
      <c r="Z2449" s="19">
        <v>0</v>
      </c>
      <c r="AA2449" s="19">
        <v>0</v>
      </c>
    </row>
    <row r="2450" spans="1:27" x14ac:dyDescent="0.25">
      <c r="A2450" s="19" t="s">
        <v>2900</v>
      </c>
      <c r="B2450" s="19" t="s">
        <v>2869</v>
      </c>
      <c r="C2450" s="19" t="s">
        <v>2870</v>
      </c>
      <c r="D2450" s="19">
        <v>0</v>
      </c>
      <c r="E2450" s="19" t="s">
        <v>140</v>
      </c>
      <c r="F2450" s="19" t="s">
        <v>141</v>
      </c>
      <c r="G2450" s="19" t="s">
        <v>134</v>
      </c>
      <c r="H2450" s="19" t="s">
        <v>87</v>
      </c>
      <c r="I2450" s="19" t="s">
        <v>135</v>
      </c>
      <c r="J2450" s="19">
        <v>10</v>
      </c>
      <c r="K2450" s="19">
        <v>4.1700000000000001E-2</v>
      </c>
      <c r="L2450" s="19" t="s">
        <v>35</v>
      </c>
      <c r="N2450" s="19">
        <v>0</v>
      </c>
      <c r="O2450" s="19">
        <v>0</v>
      </c>
      <c r="P2450" s="19">
        <v>0</v>
      </c>
      <c r="Q2450" s="19">
        <v>0</v>
      </c>
      <c r="S2450" s="19">
        <v>1</v>
      </c>
      <c r="T2450" s="19">
        <v>1</v>
      </c>
      <c r="U2450" s="19">
        <v>0</v>
      </c>
      <c r="W2450" s="19">
        <v>0</v>
      </c>
      <c r="X2450" s="19">
        <v>0</v>
      </c>
      <c r="Z2450" s="19">
        <v>0</v>
      </c>
      <c r="AA2450" s="19">
        <v>0</v>
      </c>
    </row>
    <row r="2451" spans="1:27" x14ac:dyDescent="0.25">
      <c r="A2451" s="19" t="s">
        <v>2901</v>
      </c>
      <c r="B2451" s="19" t="s">
        <v>2869</v>
      </c>
      <c r="C2451" s="19" t="s">
        <v>2870</v>
      </c>
      <c r="D2451" s="19">
        <v>0</v>
      </c>
      <c r="E2451" s="19" t="s">
        <v>144</v>
      </c>
      <c r="F2451" s="19" t="s">
        <v>145</v>
      </c>
      <c r="G2451" s="19" t="s">
        <v>134</v>
      </c>
      <c r="H2451" s="19" t="s">
        <v>146</v>
      </c>
      <c r="I2451" s="19" t="s">
        <v>147</v>
      </c>
      <c r="J2451" s="19">
        <v>4</v>
      </c>
      <c r="K2451" s="19">
        <v>2.5000000000000001E-2</v>
      </c>
      <c r="L2451" s="19" t="s">
        <v>35</v>
      </c>
      <c r="M2451" s="19" t="s">
        <v>103</v>
      </c>
      <c r="N2451" s="19">
        <v>0</v>
      </c>
      <c r="O2451" s="19">
        <v>0</v>
      </c>
      <c r="P2451" s="19">
        <v>0</v>
      </c>
      <c r="Q2451" s="19">
        <v>0</v>
      </c>
      <c r="S2451" s="19">
        <v>1</v>
      </c>
      <c r="T2451" s="19">
        <v>1</v>
      </c>
      <c r="U2451" s="19">
        <v>0</v>
      </c>
      <c r="V2451" s="19" t="s">
        <v>80</v>
      </c>
      <c r="W2451" s="19">
        <v>0</v>
      </c>
      <c r="Y2451" s="19" t="s">
        <v>103</v>
      </c>
      <c r="Z2451" s="19">
        <v>50</v>
      </c>
      <c r="AA2451" s="19">
        <v>0</v>
      </c>
    </row>
    <row r="2452" spans="1:27" x14ac:dyDescent="0.25">
      <c r="A2452" s="19" t="s">
        <v>2902</v>
      </c>
      <c r="B2452" s="19" t="s">
        <v>2869</v>
      </c>
      <c r="C2452" s="19" t="s">
        <v>2870</v>
      </c>
      <c r="D2452" s="19">
        <v>0</v>
      </c>
      <c r="E2452" s="19" t="s">
        <v>149</v>
      </c>
      <c r="F2452" s="19" t="s">
        <v>150</v>
      </c>
      <c r="G2452" s="19" t="s">
        <v>134</v>
      </c>
      <c r="H2452" s="19" t="s">
        <v>146</v>
      </c>
      <c r="I2452" s="19" t="s">
        <v>147</v>
      </c>
      <c r="J2452" s="19">
        <v>5</v>
      </c>
      <c r="K2452" s="19">
        <v>2.5000000000000001E-2</v>
      </c>
      <c r="L2452" s="19" t="s">
        <v>35</v>
      </c>
      <c r="M2452" s="19" t="s">
        <v>103</v>
      </c>
      <c r="N2452" s="19">
        <v>0</v>
      </c>
      <c r="O2452" s="19">
        <v>0</v>
      </c>
      <c r="P2452" s="19">
        <v>0</v>
      </c>
      <c r="Q2452" s="19">
        <v>0</v>
      </c>
      <c r="S2452" s="19">
        <v>1</v>
      </c>
      <c r="T2452" s="19">
        <v>1</v>
      </c>
      <c r="U2452" s="19">
        <v>0</v>
      </c>
      <c r="V2452" s="19" t="s">
        <v>36</v>
      </c>
      <c r="W2452" s="19">
        <v>0</v>
      </c>
      <c r="Y2452" s="19" t="s">
        <v>103</v>
      </c>
      <c r="Z2452" s="19">
        <v>50</v>
      </c>
      <c r="AA2452" s="19">
        <v>0</v>
      </c>
    </row>
    <row r="2453" spans="1:27" x14ac:dyDescent="0.25">
      <c r="A2453" s="19" t="s">
        <v>2903</v>
      </c>
      <c r="B2453" s="19" t="s">
        <v>2869</v>
      </c>
      <c r="C2453" s="19" t="s">
        <v>2870</v>
      </c>
      <c r="D2453" s="19">
        <v>0</v>
      </c>
      <c r="E2453" s="19" t="s">
        <v>152</v>
      </c>
      <c r="F2453" s="19" t="s">
        <v>153</v>
      </c>
      <c r="G2453" s="19" t="s">
        <v>134</v>
      </c>
      <c r="H2453" s="19" t="s">
        <v>146</v>
      </c>
      <c r="I2453" s="19" t="s">
        <v>147</v>
      </c>
      <c r="J2453" s="19">
        <v>6</v>
      </c>
      <c r="K2453" s="19">
        <v>2.5000000000000001E-2</v>
      </c>
      <c r="L2453" s="19" t="s">
        <v>35</v>
      </c>
      <c r="M2453" s="19" t="s">
        <v>103</v>
      </c>
      <c r="N2453" s="19">
        <v>0</v>
      </c>
      <c r="O2453" s="19">
        <v>0</v>
      </c>
      <c r="P2453" s="19">
        <v>0</v>
      </c>
      <c r="Q2453" s="19">
        <v>0</v>
      </c>
      <c r="S2453" s="19">
        <v>1</v>
      </c>
      <c r="T2453" s="19">
        <v>1</v>
      </c>
      <c r="U2453" s="19">
        <v>0</v>
      </c>
      <c r="V2453" s="19" t="s">
        <v>80</v>
      </c>
      <c r="W2453" s="19">
        <v>0</v>
      </c>
      <c r="Y2453" s="19" t="s">
        <v>103</v>
      </c>
      <c r="Z2453" s="19">
        <v>50</v>
      </c>
      <c r="AA2453" s="19">
        <v>0</v>
      </c>
    </row>
    <row r="2454" spans="1:27" x14ac:dyDescent="0.25">
      <c r="A2454" s="19" t="s">
        <v>2904</v>
      </c>
      <c r="B2454" s="19" t="s">
        <v>2869</v>
      </c>
      <c r="C2454" s="19" t="s">
        <v>2870</v>
      </c>
      <c r="D2454" s="19">
        <v>0</v>
      </c>
      <c r="E2454" s="19" t="s">
        <v>155</v>
      </c>
      <c r="F2454" s="19" t="s">
        <v>156</v>
      </c>
      <c r="G2454" s="19" t="s">
        <v>134</v>
      </c>
      <c r="H2454" s="19" t="s">
        <v>146</v>
      </c>
      <c r="I2454" s="19" t="s">
        <v>147</v>
      </c>
      <c r="J2454" s="19">
        <v>7</v>
      </c>
      <c r="K2454" s="19">
        <v>2.5000000000000001E-2</v>
      </c>
      <c r="L2454" s="19" t="s">
        <v>35</v>
      </c>
      <c r="M2454" s="19" t="s">
        <v>103</v>
      </c>
      <c r="N2454" s="19">
        <v>0</v>
      </c>
      <c r="O2454" s="19">
        <v>0</v>
      </c>
      <c r="P2454" s="19">
        <v>0</v>
      </c>
      <c r="Q2454" s="19">
        <v>0</v>
      </c>
      <c r="S2454" s="19">
        <v>1</v>
      </c>
      <c r="T2454" s="19">
        <v>1</v>
      </c>
      <c r="U2454" s="19">
        <v>0</v>
      </c>
      <c r="V2454" s="19" t="s">
        <v>36</v>
      </c>
      <c r="W2454" s="19">
        <v>0</v>
      </c>
      <c r="Y2454" s="19" t="s">
        <v>103</v>
      </c>
      <c r="Z2454" s="19">
        <v>50</v>
      </c>
      <c r="AA2454" s="19">
        <v>0</v>
      </c>
    </row>
    <row r="2455" spans="1:27" x14ac:dyDescent="0.25">
      <c r="A2455" s="19" t="s">
        <v>2905</v>
      </c>
      <c r="B2455" s="19" t="s">
        <v>2869</v>
      </c>
      <c r="C2455" s="19" t="s">
        <v>2870</v>
      </c>
      <c r="D2455" s="19">
        <v>0</v>
      </c>
      <c r="E2455" s="19" t="s">
        <v>158</v>
      </c>
      <c r="F2455" s="19" t="s">
        <v>159</v>
      </c>
      <c r="G2455" s="19" t="s">
        <v>134</v>
      </c>
      <c r="H2455" s="19" t="s">
        <v>146</v>
      </c>
      <c r="I2455" s="19" t="s">
        <v>147</v>
      </c>
      <c r="J2455" s="19">
        <v>8</v>
      </c>
      <c r="K2455" s="19">
        <v>2.5000000000000001E-2</v>
      </c>
      <c r="L2455" s="19" t="s">
        <v>35</v>
      </c>
      <c r="M2455" s="19" t="s">
        <v>103</v>
      </c>
      <c r="N2455" s="19">
        <v>0</v>
      </c>
      <c r="O2455" s="19">
        <v>0</v>
      </c>
      <c r="P2455" s="19">
        <v>0</v>
      </c>
      <c r="Q2455" s="19">
        <v>0</v>
      </c>
      <c r="S2455" s="19">
        <v>1</v>
      </c>
      <c r="T2455" s="19">
        <v>1</v>
      </c>
      <c r="U2455" s="19">
        <v>0</v>
      </c>
      <c r="V2455" s="19" t="s">
        <v>36</v>
      </c>
      <c r="W2455" s="19">
        <v>0</v>
      </c>
      <c r="Y2455" s="19" t="s">
        <v>103</v>
      </c>
      <c r="Z2455" s="19">
        <v>50</v>
      </c>
      <c r="AA2455" s="19">
        <v>0</v>
      </c>
    </row>
    <row r="2456" spans="1:27" x14ac:dyDescent="0.25">
      <c r="A2456" s="19" t="s">
        <v>2906</v>
      </c>
      <c r="B2456" s="19" t="s">
        <v>2869</v>
      </c>
      <c r="C2456" s="19" t="s">
        <v>2870</v>
      </c>
      <c r="D2456" s="19">
        <v>2.2197779999999998</v>
      </c>
      <c r="E2456" s="19" t="s">
        <v>161</v>
      </c>
      <c r="F2456" s="19" t="s">
        <v>162</v>
      </c>
      <c r="G2456" s="19" t="s">
        <v>163</v>
      </c>
      <c r="I2456" s="19" t="s">
        <v>164</v>
      </c>
      <c r="J2456" s="19">
        <v>1</v>
      </c>
      <c r="K2456" s="19">
        <v>3.3300000000000003E-2</v>
      </c>
      <c r="L2456" s="19" t="s">
        <v>35</v>
      </c>
      <c r="M2456" s="19" t="s">
        <v>165</v>
      </c>
      <c r="N2456" s="19">
        <v>66.66</v>
      </c>
      <c r="O2456" s="19">
        <v>66.66</v>
      </c>
      <c r="P2456" s="19">
        <v>0</v>
      </c>
      <c r="Q2456" s="19">
        <v>0</v>
      </c>
      <c r="S2456" s="19">
        <v>1</v>
      </c>
      <c r="T2456" s="19">
        <v>1</v>
      </c>
      <c r="U2456" s="19">
        <v>0</v>
      </c>
      <c r="W2456" s="19">
        <v>0</v>
      </c>
      <c r="X2456" s="19">
        <v>66.66</v>
      </c>
      <c r="Z2456" s="19">
        <v>0</v>
      </c>
      <c r="AA2456" s="19">
        <v>66.66</v>
      </c>
    </row>
    <row r="2457" spans="1:27" x14ac:dyDescent="0.25">
      <c r="A2457" s="19" t="s">
        <v>2907</v>
      </c>
      <c r="B2457" s="19" t="s">
        <v>2869</v>
      </c>
      <c r="C2457" s="19" t="s">
        <v>2870</v>
      </c>
      <c r="D2457" s="19">
        <v>0</v>
      </c>
      <c r="E2457" s="19" t="s">
        <v>167</v>
      </c>
      <c r="F2457" s="19" t="s">
        <v>168</v>
      </c>
      <c r="G2457" s="19" t="s">
        <v>163</v>
      </c>
      <c r="I2457" s="19" t="s">
        <v>164</v>
      </c>
      <c r="J2457" s="19">
        <v>3</v>
      </c>
      <c r="K2457" s="19">
        <v>3.3300000000000003E-2</v>
      </c>
      <c r="L2457" s="19" t="s">
        <v>35</v>
      </c>
      <c r="M2457" s="19" t="s">
        <v>165</v>
      </c>
      <c r="N2457" s="19">
        <v>0</v>
      </c>
      <c r="O2457" s="19">
        <v>0</v>
      </c>
      <c r="P2457" s="19">
        <v>0</v>
      </c>
      <c r="Q2457" s="19">
        <v>0</v>
      </c>
      <c r="S2457" s="19">
        <v>1</v>
      </c>
      <c r="T2457" s="19">
        <v>1</v>
      </c>
      <c r="U2457" s="19">
        <v>0</v>
      </c>
      <c r="W2457" s="19">
        <v>0</v>
      </c>
      <c r="X2457" s="19">
        <v>0</v>
      </c>
      <c r="Z2457" s="19">
        <v>0</v>
      </c>
      <c r="AA2457" s="19">
        <v>0</v>
      </c>
    </row>
    <row r="2458" spans="1:27" x14ac:dyDescent="0.25">
      <c r="A2458" s="19" t="s">
        <v>2908</v>
      </c>
      <c r="B2458" s="19" t="s">
        <v>2869</v>
      </c>
      <c r="C2458" s="19" t="s">
        <v>2870</v>
      </c>
      <c r="D2458" s="19">
        <v>0</v>
      </c>
      <c r="E2458" s="19" t="s">
        <v>170</v>
      </c>
      <c r="F2458" s="19" t="s">
        <v>171</v>
      </c>
      <c r="G2458" s="19" t="s">
        <v>163</v>
      </c>
      <c r="I2458" s="19" t="s">
        <v>164</v>
      </c>
      <c r="J2458" s="19">
        <v>2</v>
      </c>
      <c r="K2458" s="19">
        <v>3.3300000000000003E-2</v>
      </c>
      <c r="L2458" s="19" t="s">
        <v>35</v>
      </c>
      <c r="M2458" s="19" t="s">
        <v>165</v>
      </c>
      <c r="N2458" s="19">
        <v>0</v>
      </c>
      <c r="O2458" s="19">
        <v>0</v>
      </c>
      <c r="P2458" s="19">
        <v>0</v>
      </c>
      <c r="Q2458" s="19">
        <v>0</v>
      </c>
      <c r="S2458" s="19">
        <v>1</v>
      </c>
      <c r="T2458" s="19">
        <v>1</v>
      </c>
      <c r="U2458" s="19">
        <v>0</v>
      </c>
      <c r="W2458" s="19">
        <v>0</v>
      </c>
      <c r="X2458" s="19">
        <v>0</v>
      </c>
      <c r="Z2458" s="19">
        <v>0</v>
      </c>
      <c r="AA2458" s="19">
        <v>0</v>
      </c>
    </row>
    <row r="2459" spans="1:27" x14ac:dyDescent="0.25">
      <c r="A2459" s="19" t="s">
        <v>1644</v>
      </c>
      <c r="B2459" s="19" t="s">
        <v>2989</v>
      </c>
      <c r="C2459" s="19" t="s">
        <v>1645</v>
      </c>
      <c r="D2459" s="19">
        <v>0</v>
      </c>
      <c r="E2459" s="19" t="s">
        <v>30</v>
      </c>
      <c r="F2459" s="19" t="s">
        <v>31</v>
      </c>
      <c r="G2459" s="19" t="s">
        <v>32</v>
      </c>
      <c r="H2459" s="19" t="s">
        <v>33</v>
      </c>
      <c r="I2459" s="19" t="s">
        <v>34</v>
      </c>
      <c r="J2459" s="19">
        <v>17</v>
      </c>
      <c r="K2459" s="19">
        <v>1.6299999999999999E-2</v>
      </c>
      <c r="L2459" s="19" t="s">
        <v>35</v>
      </c>
      <c r="N2459" s="19">
        <v>0</v>
      </c>
      <c r="O2459" s="19">
        <v>0</v>
      </c>
      <c r="P2459" s="19">
        <v>0</v>
      </c>
      <c r="Q2459" s="19">
        <v>0</v>
      </c>
      <c r="S2459" s="19">
        <v>1</v>
      </c>
      <c r="T2459" s="19">
        <v>1</v>
      </c>
      <c r="U2459" s="19">
        <v>0</v>
      </c>
      <c r="V2459" s="19" t="s">
        <v>36</v>
      </c>
      <c r="W2459" s="19">
        <v>0</v>
      </c>
      <c r="Z2459" s="19">
        <v>0</v>
      </c>
      <c r="AA2459" s="19">
        <v>0</v>
      </c>
    </row>
    <row r="2460" spans="1:27" x14ac:dyDescent="0.25">
      <c r="A2460" s="19" t="s">
        <v>1646</v>
      </c>
      <c r="B2460" s="19" t="s">
        <v>2989</v>
      </c>
      <c r="C2460" s="19" t="s">
        <v>1645</v>
      </c>
      <c r="D2460" s="19">
        <v>0.54327899999999996</v>
      </c>
      <c r="E2460" s="19" t="s">
        <v>38</v>
      </c>
      <c r="F2460" s="19" t="s">
        <v>39</v>
      </c>
      <c r="G2460" s="19" t="s">
        <v>32</v>
      </c>
      <c r="H2460" s="19" t="s">
        <v>33</v>
      </c>
      <c r="I2460" s="19" t="s">
        <v>34</v>
      </c>
      <c r="J2460" s="19">
        <v>19</v>
      </c>
      <c r="K2460" s="19">
        <v>1.6299999999999999E-2</v>
      </c>
      <c r="L2460" s="19" t="s">
        <v>35</v>
      </c>
      <c r="M2460" s="19" t="s">
        <v>40</v>
      </c>
      <c r="N2460" s="19">
        <v>33.33</v>
      </c>
      <c r="O2460" s="19">
        <v>33.33</v>
      </c>
      <c r="P2460" s="19">
        <v>0</v>
      </c>
      <c r="Q2460" s="19">
        <v>0</v>
      </c>
      <c r="S2460" s="19">
        <v>1</v>
      </c>
      <c r="T2460" s="19">
        <v>1</v>
      </c>
      <c r="U2460" s="19">
        <v>0</v>
      </c>
      <c r="V2460" s="19" t="s">
        <v>41</v>
      </c>
      <c r="W2460" s="19">
        <v>1</v>
      </c>
      <c r="Y2460" s="19" t="s">
        <v>40</v>
      </c>
      <c r="Z2460" s="19">
        <v>33.33</v>
      </c>
      <c r="AA2460" s="19">
        <v>33.33</v>
      </c>
    </row>
    <row r="2461" spans="1:27" x14ac:dyDescent="0.25">
      <c r="A2461" s="19" t="s">
        <v>1647</v>
      </c>
      <c r="B2461" s="19" t="s">
        <v>2989</v>
      </c>
      <c r="C2461" s="19" t="s">
        <v>1645</v>
      </c>
      <c r="D2461" s="19">
        <v>0</v>
      </c>
      <c r="E2461" s="19" t="s">
        <v>43</v>
      </c>
      <c r="F2461" s="19" t="s">
        <v>44</v>
      </c>
      <c r="G2461" s="19" t="s">
        <v>32</v>
      </c>
      <c r="H2461" s="19" t="s">
        <v>33</v>
      </c>
      <c r="I2461" s="19" t="s">
        <v>34</v>
      </c>
      <c r="J2461" s="19">
        <v>18</v>
      </c>
      <c r="K2461" s="19">
        <v>1.6299999999999999E-2</v>
      </c>
      <c r="L2461" s="19" t="s">
        <v>35</v>
      </c>
      <c r="N2461" s="19">
        <v>0</v>
      </c>
      <c r="O2461" s="19">
        <v>0</v>
      </c>
      <c r="P2461" s="19">
        <v>0</v>
      </c>
      <c r="Q2461" s="19">
        <v>0</v>
      </c>
      <c r="S2461" s="19">
        <v>1</v>
      </c>
      <c r="T2461" s="19">
        <v>1</v>
      </c>
      <c r="U2461" s="19">
        <v>0</v>
      </c>
      <c r="V2461" s="19" t="s">
        <v>36</v>
      </c>
      <c r="W2461" s="19">
        <v>0</v>
      </c>
      <c r="Z2461" s="19">
        <v>0</v>
      </c>
      <c r="AA2461" s="19">
        <v>0</v>
      </c>
    </row>
    <row r="2462" spans="1:27" x14ac:dyDescent="0.25">
      <c r="A2462" s="19" t="s">
        <v>1648</v>
      </c>
      <c r="B2462" s="19" t="s">
        <v>2989</v>
      </c>
      <c r="C2462" s="19" t="s">
        <v>1645</v>
      </c>
      <c r="D2462" s="19">
        <v>0</v>
      </c>
      <c r="E2462" s="19" t="s">
        <v>46</v>
      </c>
      <c r="F2462" s="19" t="s">
        <v>47</v>
      </c>
      <c r="G2462" s="19" t="s">
        <v>32</v>
      </c>
      <c r="H2462" s="19" t="s">
        <v>33</v>
      </c>
      <c r="I2462" s="19" t="s">
        <v>34</v>
      </c>
      <c r="J2462" s="19">
        <v>15</v>
      </c>
      <c r="K2462" s="19">
        <v>1.6299999999999999E-2</v>
      </c>
      <c r="L2462" s="19" t="s">
        <v>35</v>
      </c>
      <c r="M2462" s="19" t="s">
        <v>40</v>
      </c>
      <c r="N2462" s="19">
        <v>0</v>
      </c>
      <c r="O2462" s="19">
        <v>0</v>
      </c>
      <c r="P2462" s="19">
        <v>0</v>
      </c>
      <c r="Q2462" s="19">
        <v>0</v>
      </c>
      <c r="S2462" s="19">
        <v>1</v>
      </c>
      <c r="T2462" s="19">
        <v>1</v>
      </c>
      <c r="U2462" s="19">
        <v>0</v>
      </c>
      <c r="V2462" s="19" t="s">
        <v>80</v>
      </c>
      <c r="W2462" s="19">
        <v>0</v>
      </c>
      <c r="Y2462" s="19" t="s">
        <v>40</v>
      </c>
      <c r="Z2462" s="19">
        <v>33.33</v>
      </c>
      <c r="AA2462" s="19">
        <v>0</v>
      </c>
    </row>
    <row r="2463" spans="1:27" x14ac:dyDescent="0.25">
      <c r="A2463" s="19" t="s">
        <v>1649</v>
      </c>
      <c r="B2463" s="19" t="s">
        <v>2989</v>
      </c>
      <c r="C2463" s="19" t="s">
        <v>1645</v>
      </c>
      <c r="D2463" s="19">
        <v>0</v>
      </c>
      <c r="E2463" s="19" t="s">
        <v>49</v>
      </c>
      <c r="F2463" s="19" t="s">
        <v>50</v>
      </c>
      <c r="G2463" s="19" t="s">
        <v>32</v>
      </c>
      <c r="H2463" s="19" t="s">
        <v>33</v>
      </c>
      <c r="I2463" s="19" t="s">
        <v>34</v>
      </c>
      <c r="J2463" s="19">
        <v>12</v>
      </c>
      <c r="K2463" s="19">
        <v>1.6299999999999999E-2</v>
      </c>
      <c r="L2463" s="19" t="s">
        <v>35</v>
      </c>
      <c r="M2463" s="19" t="s">
        <v>40</v>
      </c>
      <c r="N2463" s="19">
        <v>0</v>
      </c>
      <c r="O2463" s="19">
        <v>0</v>
      </c>
      <c r="P2463" s="19">
        <v>0</v>
      </c>
      <c r="Q2463" s="19">
        <v>0</v>
      </c>
      <c r="S2463" s="19">
        <v>1</v>
      </c>
      <c r="T2463" s="19">
        <v>1</v>
      </c>
      <c r="U2463" s="19">
        <v>0</v>
      </c>
      <c r="V2463" s="19" t="s">
        <v>80</v>
      </c>
      <c r="W2463" s="19">
        <v>0</v>
      </c>
      <c r="Y2463" s="19" t="s">
        <v>40</v>
      </c>
      <c r="Z2463" s="19">
        <v>33.33</v>
      </c>
      <c r="AA2463" s="19">
        <v>0</v>
      </c>
    </row>
    <row r="2464" spans="1:27" x14ac:dyDescent="0.25">
      <c r="A2464" s="19" t="s">
        <v>1650</v>
      </c>
      <c r="B2464" s="19" t="s">
        <v>2989</v>
      </c>
      <c r="C2464" s="19" t="s">
        <v>1645</v>
      </c>
      <c r="D2464" s="19">
        <v>0</v>
      </c>
      <c r="E2464" s="19" t="s">
        <v>52</v>
      </c>
      <c r="F2464" s="19" t="s">
        <v>53</v>
      </c>
      <c r="G2464" s="19" t="s">
        <v>32</v>
      </c>
      <c r="H2464" s="19" t="s">
        <v>33</v>
      </c>
      <c r="I2464" s="19" t="s">
        <v>34</v>
      </c>
      <c r="J2464" s="19">
        <v>16</v>
      </c>
      <c r="K2464" s="19">
        <v>1.6299999999999999E-2</v>
      </c>
      <c r="L2464" s="19" t="s">
        <v>35</v>
      </c>
      <c r="N2464" s="19">
        <v>0</v>
      </c>
      <c r="O2464" s="19">
        <v>0</v>
      </c>
      <c r="P2464" s="19">
        <v>0</v>
      </c>
      <c r="Q2464" s="19">
        <v>0</v>
      </c>
      <c r="S2464" s="19">
        <v>1</v>
      </c>
      <c r="T2464" s="19">
        <v>1</v>
      </c>
      <c r="U2464" s="19">
        <v>0</v>
      </c>
      <c r="V2464" s="19" t="s">
        <v>36</v>
      </c>
      <c r="W2464" s="19">
        <v>0</v>
      </c>
      <c r="Z2464" s="19">
        <v>0</v>
      </c>
      <c r="AA2464" s="19">
        <v>0</v>
      </c>
    </row>
    <row r="2465" spans="1:27" x14ac:dyDescent="0.25">
      <c r="A2465" s="19" t="s">
        <v>1651</v>
      </c>
      <c r="B2465" s="19" t="s">
        <v>2989</v>
      </c>
      <c r="C2465" s="19" t="s">
        <v>1645</v>
      </c>
      <c r="D2465" s="19">
        <v>0</v>
      </c>
      <c r="E2465" s="19" t="s">
        <v>55</v>
      </c>
      <c r="F2465" s="19" t="s">
        <v>56</v>
      </c>
      <c r="G2465" s="19" t="s">
        <v>32</v>
      </c>
      <c r="H2465" s="19" t="s">
        <v>33</v>
      </c>
      <c r="I2465" s="19" t="s">
        <v>34</v>
      </c>
      <c r="J2465" s="19">
        <v>14</v>
      </c>
      <c r="K2465" s="19">
        <v>1.6299999999999999E-2</v>
      </c>
      <c r="L2465" s="19" t="s">
        <v>35</v>
      </c>
      <c r="M2465" s="19" t="s">
        <v>40</v>
      </c>
      <c r="N2465" s="19">
        <v>0</v>
      </c>
      <c r="O2465" s="19">
        <v>0</v>
      </c>
      <c r="P2465" s="19">
        <v>0</v>
      </c>
      <c r="Q2465" s="19">
        <v>0</v>
      </c>
      <c r="S2465" s="19">
        <v>1</v>
      </c>
      <c r="T2465" s="19">
        <v>1</v>
      </c>
      <c r="U2465" s="19">
        <v>0</v>
      </c>
      <c r="V2465" s="19" t="s">
        <v>80</v>
      </c>
      <c r="W2465" s="19">
        <v>0</v>
      </c>
      <c r="Y2465" s="19" t="s">
        <v>40</v>
      </c>
      <c r="Z2465" s="19">
        <v>33.33</v>
      </c>
      <c r="AA2465" s="19">
        <v>0</v>
      </c>
    </row>
    <row r="2466" spans="1:27" x14ac:dyDescent="0.25">
      <c r="A2466" s="19" t="s">
        <v>1652</v>
      </c>
      <c r="B2466" s="19" t="s">
        <v>2989</v>
      </c>
      <c r="C2466" s="19" t="s">
        <v>1645</v>
      </c>
      <c r="D2466" s="19">
        <v>0</v>
      </c>
      <c r="E2466" s="19" t="s">
        <v>58</v>
      </c>
      <c r="F2466" s="19" t="s">
        <v>59</v>
      </c>
      <c r="G2466" s="19" t="s">
        <v>32</v>
      </c>
      <c r="H2466" s="19" t="s">
        <v>33</v>
      </c>
      <c r="I2466" s="19" t="s">
        <v>34</v>
      </c>
      <c r="J2466" s="19">
        <v>13</v>
      </c>
      <c r="K2466" s="19">
        <v>1.6299999999999999E-2</v>
      </c>
      <c r="L2466" s="19" t="s">
        <v>35</v>
      </c>
      <c r="N2466" s="19">
        <v>0</v>
      </c>
      <c r="O2466" s="19">
        <v>0</v>
      </c>
      <c r="P2466" s="19">
        <v>0</v>
      </c>
      <c r="Q2466" s="19">
        <v>0</v>
      </c>
      <c r="S2466" s="19">
        <v>1</v>
      </c>
      <c r="T2466" s="19">
        <v>1</v>
      </c>
      <c r="U2466" s="19">
        <v>0</v>
      </c>
      <c r="V2466" s="19" t="s">
        <v>36</v>
      </c>
      <c r="W2466" s="19">
        <v>0</v>
      </c>
      <c r="Z2466" s="19">
        <v>0</v>
      </c>
      <c r="AA2466" s="19">
        <v>0</v>
      </c>
    </row>
    <row r="2467" spans="1:27" x14ac:dyDescent="0.25">
      <c r="A2467" s="19" t="s">
        <v>1653</v>
      </c>
      <c r="B2467" s="19" t="s">
        <v>2989</v>
      </c>
      <c r="C2467" s="19" t="s">
        <v>1645</v>
      </c>
      <c r="D2467" s="19">
        <v>0</v>
      </c>
      <c r="E2467" s="19" t="s">
        <v>61</v>
      </c>
      <c r="F2467" s="19" t="s">
        <v>62</v>
      </c>
      <c r="G2467" s="19" t="s">
        <v>32</v>
      </c>
      <c r="H2467" s="19" t="s">
        <v>63</v>
      </c>
      <c r="I2467" s="19" t="s">
        <v>64</v>
      </c>
      <c r="J2467" s="19">
        <v>22</v>
      </c>
      <c r="K2467" s="19">
        <v>1.8599999999999998E-2</v>
      </c>
      <c r="L2467" s="19" t="s">
        <v>35</v>
      </c>
      <c r="N2467" s="19">
        <v>0</v>
      </c>
      <c r="O2467" s="19">
        <v>0</v>
      </c>
      <c r="P2467" s="19">
        <v>0</v>
      </c>
      <c r="Q2467" s="19">
        <v>0</v>
      </c>
      <c r="S2467" s="19">
        <v>1</v>
      </c>
      <c r="T2467" s="19">
        <v>1</v>
      </c>
      <c r="U2467" s="19">
        <v>0</v>
      </c>
      <c r="V2467" s="19" t="s">
        <v>36</v>
      </c>
      <c r="W2467" s="19">
        <v>0</v>
      </c>
      <c r="Z2467" s="19">
        <v>0</v>
      </c>
      <c r="AA2467" s="19">
        <v>0</v>
      </c>
    </row>
    <row r="2468" spans="1:27" x14ac:dyDescent="0.25">
      <c r="A2468" s="19" t="s">
        <v>1654</v>
      </c>
      <c r="B2468" s="19" t="s">
        <v>2989</v>
      </c>
      <c r="C2468" s="19" t="s">
        <v>1645</v>
      </c>
      <c r="D2468" s="19">
        <v>0</v>
      </c>
      <c r="E2468" s="19" t="s">
        <v>66</v>
      </c>
      <c r="F2468" s="19" t="s">
        <v>67</v>
      </c>
      <c r="G2468" s="19" t="s">
        <v>32</v>
      </c>
      <c r="H2468" s="19" t="s">
        <v>63</v>
      </c>
      <c r="I2468" s="19" t="s">
        <v>64</v>
      </c>
      <c r="J2468" s="19">
        <v>20</v>
      </c>
      <c r="K2468" s="19">
        <v>1.8599999999999998E-2</v>
      </c>
      <c r="L2468" s="19" t="s">
        <v>35</v>
      </c>
      <c r="N2468" s="19">
        <v>0</v>
      </c>
      <c r="O2468" s="19">
        <v>0</v>
      </c>
      <c r="P2468" s="19">
        <v>0</v>
      </c>
      <c r="Q2468" s="19">
        <v>0</v>
      </c>
      <c r="S2468" s="19">
        <v>1</v>
      </c>
      <c r="T2468" s="19">
        <v>1</v>
      </c>
      <c r="U2468" s="19">
        <v>0</v>
      </c>
      <c r="V2468" s="19" t="s">
        <v>36</v>
      </c>
      <c r="W2468" s="19">
        <v>0</v>
      </c>
      <c r="Z2468" s="19">
        <v>0</v>
      </c>
      <c r="AA2468" s="19">
        <v>0</v>
      </c>
    </row>
    <row r="2469" spans="1:27" x14ac:dyDescent="0.25">
      <c r="A2469" s="19" t="s">
        <v>1655</v>
      </c>
      <c r="B2469" s="19" t="s">
        <v>2989</v>
      </c>
      <c r="C2469" s="19" t="s">
        <v>1645</v>
      </c>
      <c r="D2469" s="19">
        <v>0</v>
      </c>
      <c r="E2469" s="19" t="s">
        <v>69</v>
      </c>
      <c r="F2469" s="19" t="s">
        <v>70</v>
      </c>
      <c r="G2469" s="19" t="s">
        <v>32</v>
      </c>
      <c r="H2469" s="19" t="s">
        <v>63</v>
      </c>
      <c r="I2469" s="19" t="s">
        <v>64</v>
      </c>
      <c r="J2469" s="19">
        <v>23</v>
      </c>
      <c r="K2469" s="19">
        <v>1.8599999999999998E-2</v>
      </c>
      <c r="L2469" s="19" t="s">
        <v>35</v>
      </c>
      <c r="N2469" s="19">
        <v>0</v>
      </c>
      <c r="O2469" s="19">
        <v>0</v>
      </c>
      <c r="P2469" s="19">
        <v>0</v>
      </c>
      <c r="Q2469" s="19">
        <v>0</v>
      </c>
      <c r="S2469" s="19">
        <v>1</v>
      </c>
      <c r="T2469" s="19">
        <v>1</v>
      </c>
      <c r="U2469" s="19">
        <v>0</v>
      </c>
      <c r="V2469" s="19" t="s">
        <v>36</v>
      </c>
      <c r="W2469" s="19">
        <v>0</v>
      </c>
      <c r="Z2469" s="19">
        <v>0</v>
      </c>
      <c r="AA2469" s="19">
        <v>0</v>
      </c>
    </row>
    <row r="2470" spans="1:27" x14ac:dyDescent="0.25">
      <c r="A2470" s="19" t="s">
        <v>1656</v>
      </c>
      <c r="B2470" s="19" t="s">
        <v>2989</v>
      </c>
      <c r="C2470" s="19" t="s">
        <v>1645</v>
      </c>
      <c r="D2470" s="19">
        <v>0</v>
      </c>
      <c r="E2470" s="19" t="s">
        <v>72</v>
      </c>
      <c r="F2470" s="19" t="s">
        <v>73</v>
      </c>
      <c r="G2470" s="19" t="s">
        <v>32</v>
      </c>
      <c r="H2470" s="19" t="s">
        <v>63</v>
      </c>
      <c r="I2470" s="19" t="s">
        <v>64</v>
      </c>
      <c r="J2470" s="19">
        <v>21</v>
      </c>
      <c r="K2470" s="19">
        <v>1.8599999999999998E-2</v>
      </c>
      <c r="L2470" s="19" t="s">
        <v>35</v>
      </c>
      <c r="N2470" s="19">
        <v>0</v>
      </c>
      <c r="O2470" s="19">
        <v>0</v>
      </c>
      <c r="P2470" s="19">
        <v>0</v>
      </c>
      <c r="Q2470" s="19">
        <v>0</v>
      </c>
      <c r="S2470" s="19">
        <v>1</v>
      </c>
      <c r="T2470" s="19">
        <v>1</v>
      </c>
      <c r="U2470" s="19">
        <v>0</v>
      </c>
      <c r="V2470" s="19" t="s">
        <v>36</v>
      </c>
      <c r="W2470" s="19">
        <v>0</v>
      </c>
      <c r="Z2470" s="19">
        <v>0</v>
      </c>
      <c r="AA2470" s="19">
        <v>0</v>
      </c>
    </row>
    <row r="2471" spans="1:27" x14ac:dyDescent="0.25">
      <c r="A2471" s="19" t="s">
        <v>1657</v>
      </c>
      <c r="B2471" s="19" t="s">
        <v>2989</v>
      </c>
      <c r="C2471" s="19" t="s">
        <v>1645</v>
      </c>
      <c r="D2471" s="19">
        <v>0</v>
      </c>
      <c r="E2471" s="19" t="s">
        <v>75</v>
      </c>
      <c r="F2471" s="19" t="s">
        <v>76</v>
      </c>
      <c r="G2471" s="19" t="s">
        <v>32</v>
      </c>
      <c r="H2471" s="19" t="s">
        <v>63</v>
      </c>
      <c r="I2471" s="19" t="s">
        <v>64</v>
      </c>
      <c r="J2471" s="19">
        <v>24</v>
      </c>
      <c r="K2471" s="19">
        <v>1.8599999999999998E-2</v>
      </c>
      <c r="L2471" s="19" t="s">
        <v>35</v>
      </c>
      <c r="M2471" s="19" t="s">
        <v>40</v>
      </c>
      <c r="N2471" s="19">
        <v>0</v>
      </c>
      <c r="O2471" s="19">
        <v>0</v>
      </c>
      <c r="P2471" s="19">
        <v>0</v>
      </c>
      <c r="Q2471" s="19">
        <v>0</v>
      </c>
      <c r="S2471" s="19">
        <v>1</v>
      </c>
      <c r="T2471" s="19">
        <v>1</v>
      </c>
      <c r="U2471" s="19">
        <v>0</v>
      </c>
      <c r="V2471" s="19" t="s">
        <v>80</v>
      </c>
      <c r="W2471" s="19">
        <v>0</v>
      </c>
      <c r="Y2471" s="19" t="s">
        <v>40</v>
      </c>
      <c r="Z2471" s="19">
        <v>33.33</v>
      </c>
      <c r="AA2471" s="19">
        <v>0</v>
      </c>
    </row>
    <row r="2472" spans="1:27" x14ac:dyDescent="0.25">
      <c r="A2472" s="19" t="s">
        <v>1658</v>
      </c>
      <c r="B2472" s="19" t="s">
        <v>2989</v>
      </c>
      <c r="C2472" s="19" t="s">
        <v>1645</v>
      </c>
      <c r="D2472" s="19">
        <v>0</v>
      </c>
      <c r="E2472" s="19" t="s">
        <v>78</v>
      </c>
      <c r="F2472" s="19" t="s">
        <v>79</v>
      </c>
      <c r="G2472" s="19" t="s">
        <v>32</v>
      </c>
      <c r="H2472" s="19" t="s">
        <v>63</v>
      </c>
      <c r="I2472" s="19" t="s">
        <v>64</v>
      </c>
      <c r="J2472" s="19">
        <v>25</v>
      </c>
      <c r="K2472" s="19">
        <v>1.8599999999999998E-2</v>
      </c>
      <c r="L2472" s="19" t="s">
        <v>35</v>
      </c>
      <c r="M2472" s="19" t="s">
        <v>40</v>
      </c>
      <c r="N2472" s="19">
        <v>0</v>
      </c>
      <c r="O2472" s="19">
        <v>0</v>
      </c>
      <c r="P2472" s="19">
        <v>0</v>
      </c>
      <c r="Q2472" s="19">
        <v>0</v>
      </c>
      <c r="S2472" s="19">
        <v>1</v>
      </c>
      <c r="T2472" s="19">
        <v>1</v>
      </c>
      <c r="U2472" s="19">
        <v>0</v>
      </c>
      <c r="V2472" s="19" t="s">
        <v>80</v>
      </c>
      <c r="W2472" s="19">
        <v>0</v>
      </c>
      <c r="Y2472" s="19" t="s">
        <v>40</v>
      </c>
      <c r="Z2472" s="19">
        <v>33.33</v>
      </c>
      <c r="AA2472" s="19">
        <v>0</v>
      </c>
    </row>
    <row r="2473" spans="1:27" x14ac:dyDescent="0.25">
      <c r="A2473" s="19" t="s">
        <v>1659</v>
      </c>
      <c r="B2473" s="19" t="s">
        <v>2989</v>
      </c>
      <c r="C2473" s="19" t="s">
        <v>1645</v>
      </c>
      <c r="D2473" s="19">
        <v>0</v>
      </c>
      <c r="E2473" s="19" t="s">
        <v>82</v>
      </c>
      <c r="F2473" s="19" t="s">
        <v>83</v>
      </c>
      <c r="G2473" s="19" t="s">
        <v>32</v>
      </c>
      <c r="H2473" s="19" t="s">
        <v>63</v>
      </c>
      <c r="I2473" s="19" t="s">
        <v>64</v>
      </c>
      <c r="J2473" s="19">
        <v>26</v>
      </c>
      <c r="K2473" s="19">
        <v>1.8599999999999998E-2</v>
      </c>
      <c r="L2473" s="19" t="s">
        <v>35</v>
      </c>
      <c r="N2473" s="19">
        <v>0</v>
      </c>
      <c r="O2473" s="19">
        <v>0</v>
      </c>
      <c r="P2473" s="19">
        <v>0</v>
      </c>
      <c r="Q2473" s="19">
        <v>0</v>
      </c>
      <c r="S2473" s="19">
        <v>1</v>
      </c>
      <c r="T2473" s="19">
        <v>1</v>
      </c>
      <c r="U2473" s="19">
        <v>0</v>
      </c>
      <c r="V2473" s="19" t="s">
        <v>36</v>
      </c>
      <c r="W2473" s="19">
        <v>0</v>
      </c>
      <c r="Z2473" s="19">
        <v>0</v>
      </c>
      <c r="AA2473" s="19">
        <v>0</v>
      </c>
    </row>
    <row r="2474" spans="1:27" x14ac:dyDescent="0.25">
      <c r="A2474" s="19" t="s">
        <v>1660</v>
      </c>
      <c r="B2474" s="19" t="s">
        <v>2989</v>
      </c>
      <c r="C2474" s="19" t="s">
        <v>1645</v>
      </c>
      <c r="D2474" s="19">
        <v>0</v>
      </c>
      <c r="E2474" s="19" t="s">
        <v>85</v>
      </c>
      <c r="F2474" s="19" t="s">
        <v>86</v>
      </c>
      <c r="G2474" s="19" t="s">
        <v>32</v>
      </c>
      <c r="H2474" s="19" t="s">
        <v>87</v>
      </c>
      <c r="I2474" s="19" t="s">
        <v>88</v>
      </c>
      <c r="J2474" s="19">
        <v>35</v>
      </c>
      <c r="K2474" s="19">
        <v>3.2500000000000001E-2</v>
      </c>
      <c r="L2474" s="19" t="s">
        <v>35</v>
      </c>
      <c r="N2474" s="19">
        <v>0</v>
      </c>
      <c r="O2474" s="19">
        <v>0</v>
      </c>
      <c r="P2474" s="19">
        <v>0</v>
      </c>
      <c r="Q2474" s="19">
        <v>0</v>
      </c>
      <c r="S2474" s="19">
        <v>1</v>
      </c>
      <c r="T2474" s="19">
        <v>1</v>
      </c>
      <c r="U2474" s="19">
        <v>0</v>
      </c>
      <c r="V2474" s="19" t="s">
        <v>36</v>
      </c>
      <c r="W2474" s="19">
        <v>0</v>
      </c>
      <c r="Z2474" s="19">
        <v>0</v>
      </c>
      <c r="AA2474" s="19">
        <v>0</v>
      </c>
    </row>
    <row r="2475" spans="1:27" x14ac:dyDescent="0.25">
      <c r="A2475" s="19" t="s">
        <v>1661</v>
      </c>
      <c r="B2475" s="19" t="s">
        <v>2989</v>
      </c>
      <c r="C2475" s="19" t="s">
        <v>1645</v>
      </c>
      <c r="D2475" s="19">
        <v>0</v>
      </c>
      <c r="E2475" s="19" t="s">
        <v>90</v>
      </c>
      <c r="F2475" s="19" t="s">
        <v>91</v>
      </c>
      <c r="G2475" s="19" t="s">
        <v>32</v>
      </c>
      <c r="H2475" s="19" t="s">
        <v>87</v>
      </c>
      <c r="I2475" s="19" t="s">
        <v>88</v>
      </c>
      <c r="J2475" s="19">
        <v>33</v>
      </c>
      <c r="K2475" s="19">
        <v>3.2500000000000001E-2</v>
      </c>
      <c r="L2475" s="19" t="s">
        <v>35</v>
      </c>
      <c r="N2475" s="19">
        <v>0</v>
      </c>
      <c r="O2475" s="19">
        <v>0</v>
      </c>
      <c r="P2475" s="19">
        <v>0</v>
      </c>
      <c r="Q2475" s="19">
        <v>0</v>
      </c>
      <c r="S2475" s="19">
        <v>1</v>
      </c>
      <c r="T2475" s="19">
        <v>1</v>
      </c>
      <c r="U2475" s="19">
        <v>0</v>
      </c>
      <c r="V2475" s="19" t="s">
        <v>36</v>
      </c>
      <c r="W2475" s="19">
        <v>0</v>
      </c>
      <c r="Z2475" s="19">
        <v>0</v>
      </c>
      <c r="AA2475" s="19">
        <v>0</v>
      </c>
    </row>
    <row r="2476" spans="1:27" x14ac:dyDescent="0.25">
      <c r="A2476" s="19" t="s">
        <v>1662</v>
      </c>
      <c r="B2476" s="19" t="s">
        <v>2989</v>
      </c>
      <c r="C2476" s="19" t="s">
        <v>1645</v>
      </c>
      <c r="D2476" s="19">
        <v>0</v>
      </c>
      <c r="E2476" s="19" t="s">
        <v>93</v>
      </c>
      <c r="F2476" s="19" t="s">
        <v>94</v>
      </c>
      <c r="G2476" s="19" t="s">
        <v>32</v>
      </c>
      <c r="H2476" s="19" t="s">
        <v>87</v>
      </c>
      <c r="I2476" s="19" t="s">
        <v>88</v>
      </c>
      <c r="J2476" s="19">
        <v>34</v>
      </c>
      <c r="K2476" s="19">
        <v>3.2500000000000001E-2</v>
      </c>
      <c r="L2476" s="19" t="s">
        <v>35</v>
      </c>
      <c r="N2476" s="19">
        <v>0</v>
      </c>
      <c r="O2476" s="19">
        <v>0</v>
      </c>
      <c r="P2476" s="19">
        <v>0</v>
      </c>
      <c r="Q2476" s="19">
        <v>0</v>
      </c>
      <c r="S2476" s="19">
        <v>1</v>
      </c>
      <c r="T2476" s="19">
        <v>1</v>
      </c>
      <c r="U2476" s="19">
        <v>0</v>
      </c>
      <c r="V2476" s="19" t="s">
        <v>36</v>
      </c>
      <c r="W2476" s="19">
        <v>0</v>
      </c>
      <c r="Z2476" s="19">
        <v>0</v>
      </c>
      <c r="AA2476" s="19">
        <v>0</v>
      </c>
    </row>
    <row r="2477" spans="1:27" x14ac:dyDescent="0.25">
      <c r="A2477" s="19" t="s">
        <v>1663</v>
      </c>
      <c r="B2477" s="19" t="s">
        <v>2989</v>
      </c>
      <c r="C2477" s="19" t="s">
        <v>1645</v>
      </c>
      <c r="D2477" s="19">
        <v>0</v>
      </c>
      <c r="E2477" s="19" t="s">
        <v>96</v>
      </c>
      <c r="F2477" s="19" t="s">
        <v>97</v>
      </c>
      <c r="G2477" s="19" t="s">
        <v>32</v>
      </c>
      <c r="H2477" s="19" t="s">
        <v>87</v>
      </c>
      <c r="I2477" s="19" t="s">
        <v>88</v>
      </c>
      <c r="J2477" s="19">
        <v>36</v>
      </c>
      <c r="K2477" s="19">
        <v>3.2500000000000001E-2</v>
      </c>
      <c r="L2477" s="19" t="s">
        <v>35</v>
      </c>
      <c r="N2477" s="19">
        <v>0</v>
      </c>
      <c r="O2477" s="19">
        <v>0</v>
      </c>
      <c r="P2477" s="19">
        <v>0</v>
      </c>
      <c r="Q2477" s="19">
        <v>0</v>
      </c>
      <c r="S2477" s="19">
        <v>1</v>
      </c>
      <c r="T2477" s="19">
        <v>1</v>
      </c>
      <c r="U2477" s="19">
        <v>0</v>
      </c>
      <c r="V2477" s="19" t="s">
        <v>36</v>
      </c>
      <c r="W2477" s="19">
        <v>0</v>
      </c>
      <c r="Z2477" s="19">
        <v>0</v>
      </c>
      <c r="AA2477" s="19">
        <v>0</v>
      </c>
    </row>
    <row r="2478" spans="1:27" x14ac:dyDescent="0.25">
      <c r="A2478" s="19" t="s">
        <v>1664</v>
      </c>
      <c r="B2478" s="19" t="s">
        <v>2989</v>
      </c>
      <c r="C2478" s="19" t="s">
        <v>1645</v>
      </c>
      <c r="D2478" s="19">
        <v>0</v>
      </c>
      <c r="E2478" s="19" t="s">
        <v>99</v>
      </c>
      <c r="F2478" s="19" t="s">
        <v>100</v>
      </c>
      <c r="G2478" s="19" t="s">
        <v>32</v>
      </c>
      <c r="H2478" s="19" t="s">
        <v>101</v>
      </c>
      <c r="I2478" s="19" t="s">
        <v>102</v>
      </c>
      <c r="J2478" s="19">
        <v>39</v>
      </c>
      <c r="K2478" s="19">
        <v>4.3299999999999998E-2</v>
      </c>
      <c r="L2478" s="19" t="s">
        <v>35</v>
      </c>
      <c r="M2478" s="19" t="s">
        <v>103</v>
      </c>
      <c r="N2478" s="19">
        <v>0</v>
      </c>
      <c r="O2478" s="19">
        <v>0</v>
      </c>
      <c r="P2478" s="19">
        <v>0</v>
      </c>
      <c r="Q2478" s="19">
        <v>0</v>
      </c>
      <c r="S2478" s="19">
        <v>1</v>
      </c>
      <c r="T2478" s="19">
        <v>1</v>
      </c>
      <c r="U2478" s="19">
        <v>0</v>
      </c>
      <c r="V2478" s="19" t="s">
        <v>36</v>
      </c>
      <c r="W2478" s="19">
        <v>0</v>
      </c>
      <c r="Y2478" s="19" t="s">
        <v>103</v>
      </c>
      <c r="Z2478" s="19">
        <v>50</v>
      </c>
      <c r="AA2478" s="19">
        <v>0</v>
      </c>
    </row>
    <row r="2479" spans="1:27" x14ac:dyDescent="0.25">
      <c r="A2479" s="19" t="s">
        <v>1665</v>
      </c>
      <c r="B2479" s="19" t="s">
        <v>2989</v>
      </c>
      <c r="C2479" s="19" t="s">
        <v>1645</v>
      </c>
      <c r="D2479" s="19">
        <v>0</v>
      </c>
      <c r="E2479" s="19" t="s">
        <v>105</v>
      </c>
      <c r="F2479" s="19" t="s">
        <v>106</v>
      </c>
      <c r="G2479" s="19" t="s">
        <v>32</v>
      </c>
      <c r="H2479" s="19" t="s">
        <v>101</v>
      </c>
      <c r="I2479" s="19" t="s">
        <v>102</v>
      </c>
      <c r="J2479" s="19">
        <v>38</v>
      </c>
      <c r="K2479" s="19">
        <v>4.3299999999999998E-2</v>
      </c>
      <c r="L2479" s="19" t="s">
        <v>35</v>
      </c>
      <c r="M2479" s="19" t="s">
        <v>103</v>
      </c>
      <c r="N2479" s="19">
        <v>0</v>
      </c>
      <c r="O2479" s="19">
        <v>0</v>
      </c>
      <c r="P2479" s="19">
        <v>0</v>
      </c>
      <c r="Q2479" s="19">
        <v>0</v>
      </c>
      <c r="S2479" s="19">
        <v>1</v>
      </c>
      <c r="T2479" s="19">
        <v>1</v>
      </c>
      <c r="U2479" s="19">
        <v>0</v>
      </c>
      <c r="V2479" s="19" t="s">
        <v>36</v>
      </c>
      <c r="W2479" s="19">
        <v>0</v>
      </c>
      <c r="Y2479" s="19" t="s">
        <v>103</v>
      </c>
      <c r="Z2479" s="19">
        <v>50</v>
      </c>
      <c r="AA2479" s="19">
        <v>0</v>
      </c>
    </row>
    <row r="2480" spans="1:27" x14ac:dyDescent="0.25">
      <c r="A2480" s="19" t="s">
        <v>1666</v>
      </c>
      <c r="B2480" s="19" t="s">
        <v>2989</v>
      </c>
      <c r="C2480" s="19" t="s">
        <v>1645</v>
      </c>
      <c r="D2480" s="19">
        <v>0</v>
      </c>
      <c r="E2480" s="19" t="s">
        <v>108</v>
      </c>
      <c r="F2480" s="19" t="s">
        <v>109</v>
      </c>
      <c r="G2480" s="19" t="s">
        <v>32</v>
      </c>
      <c r="H2480" s="19" t="s">
        <v>101</v>
      </c>
      <c r="I2480" s="19" t="s">
        <v>102</v>
      </c>
      <c r="J2480" s="19">
        <v>37</v>
      </c>
      <c r="K2480" s="19">
        <v>4.3299999999999998E-2</v>
      </c>
      <c r="L2480" s="19" t="s">
        <v>35</v>
      </c>
      <c r="M2480" s="19" t="s">
        <v>40</v>
      </c>
      <c r="N2480" s="19">
        <v>0</v>
      </c>
      <c r="O2480" s="19">
        <v>0</v>
      </c>
      <c r="P2480" s="19">
        <v>0</v>
      </c>
      <c r="Q2480" s="19">
        <v>0</v>
      </c>
      <c r="S2480" s="19">
        <v>1</v>
      </c>
      <c r="T2480" s="19">
        <v>1</v>
      </c>
      <c r="U2480" s="19">
        <v>0</v>
      </c>
      <c r="V2480" s="19" t="s">
        <v>80</v>
      </c>
      <c r="W2480" s="19">
        <v>0</v>
      </c>
      <c r="Y2480" s="19" t="s">
        <v>40</v>
      </c>
      <c r="Z2480" s="19">
        <v>33.33</v>
      </c>
      <c r="AA2480" s="19">
        <v>0</v>
      </c>
    </row>
    <row r="2481" spans="1:27" x14ac:dyDescent="0.25">
      <c r="A2481" s="19" t="s">
        <v>1667</v>
      </c>
      <c r="B2481" s="19" t="s">
        <v>2989</v>
      </c>
      <c r="C2481" s="19" t="s">
        <v>1645</v>
      </c>
      <c r="D2481" s="19">
        <v>0</v>
      </c>
      <c r="E2481" s="19" t="s">
        <v>112</v>
      </c>
      <c r="F2481" s="19" t="s">
        <v>113</v>
      </c>
      <c r="G2481" s="19" t="s">
        <v>32</v>
      </c>
      <c r="H2481" s="19" t="s">
        <v>114</v>
      </c>
      <c r="I2481" s="19" t="s">
        <v>115</v>
      </c>
      <c r="J2481" s="19">
        <v>30</v>
      </c>
      <c r="K2481" s="19">
        <v>2.1700000000000001E-2</v>
      </c>
      <c r="L2481" s="19" t="s">
        <v>35</v>
      </c>
      <c r="M2481" s="19" t="s">
        <v>103</v>
      </c>
      <c r="N2481" s="19">
        <v>0</v>
      </c>
      <c r="O2481" s="19">
        <v>0</v>
      </c>
      <c r="P2481" s="19">
        <v>0</v>
      </c>
      <c r="Q2481" s="19">
        <v>0</v>
      </c>
      <c r="S2481" s="19">
        <v>1</v>
      </c>
      <c r="T2481" s="19">
        <v>1</v>
      </c>
      <c r="U2481" s="19">
        <v>0</v>
      </c>
      <c r="V2481" s="19" t="s">
        <v>36</v>
      </c>
      <c r="W2481" s="19">
        <v>0</v>
      </c>
      <c r="Y2481" s="19" t="s">
        <v>103</v>
      </c>
      <c r="Z2481" s="19">
        <v>50</v>
      </c>
      <c r="AA2481" s="19">
        <v>0</v>
      </c>
    </row>
    <row r="2482" spans="1:27" x14ac:dyDescent="0.25">
      <c r="A2482" s="19" t="s">
        <v>1668</v>
      </c>
      <c r="B2482" s="19" t="s">
        <v>2989</v>
      </c>
      <c r="C2482" s="19" t="s">
        <v>1645</v>
      </c>
      <c r="D2482" s="19">
        <v>0</v>
      </c>
      <c r="E2482" s="19" t="s">
        <v>117</v>
      </c>
      <c r="F2482" s="19" t="s">
        <v>118</v>
      </c>
      <c r="G2482" s="19" t="s">
        <v>32</v>
      </c>
      <c r="H2482" s="19" t="s">
        <v>114</v>
      </c>
      <c r="I2482" s="19" t="s">
        <v>115</v>
      </c>
      <c r="J2482" s="19">
        <v>31</v>
      </c>
      <c r="K2482" s="19">
        <v>2.1700000000000001E-2</v>
      </c>
      <c r="L2482" s="19" t="s">
        <v>35</v>
      </c>
      <c r="M2482" s="19" t="s">
        <v>103</v>
      </c>
      <c r="N2482" s="19">
        <v>0</v>
      </c>
      <c r="O2482" s="19">
        <v>0</v>
      </c>
      <c r="P2482" s="19">
        <v>0</v>
      </c>
      <c r="Q2482" s="19">
        <v>0</v>
      </c>
      <c r="S2482" s="19">
        <v>1</v>
      </c>
      <c r="T2482" s="19">
        <v>1</v>
      </c>
      <c r="U2482" s="19">
        <v>0</v>
      </c>
      <c r="V2482" s="19" t="s">
        <v>36</v>
      </c>
      <c r="W2482" s="19">
        <v>0</v>
      </c>
      <c r="Y2482" s="19" t="s">
        <v>103</v>
      </c>
      <c r="Z2482" s="19">
        <v>50</v>
      </c>
      <c r="AA2482" s="19">
        <v>0</v>
      </c>
    </row>
    <row r="2483" spans="1:27" x14ac:dyDescent="0.25">
      <c r="A2483" s="19" t="s">
        <v>1669</v>
      </c>
      <c r="B2483" s="19" t="s">
        <v>2989</v>
      </c>
      <c r="C2483" s="19" t="s">
        <v>1645</v>
      </c>
      <c r="D2483" s="19">
        <v>0</v>
      </c>
      <c r="E2483" s="19" t="s">
        <v>120</v>
      </c>
      <c r="F2483" s="19" t="s">
        <v>121</v>
      </c>
      <c r="G2483" s="19" t="s">
        <v>32</v>
      </c>
      <c r="H2483" s="19" t="s">
        <v>114</v>
      </c>
      <c r="I2483" s="19" t="s">
        <v>115</v>
      </c>
      <c r="J2483" s="19">
        <v>28</v>
      </c>
      <c r="K2483" s="19">
        <v>2.1700000000000001E-2</v>
      </c>
      <c r="L2483" s="19" t="s">
        <v>35</v>
      </c>
      <c r="M2483" s="19" t="s">
        <v>103</v>
      </c>
      <c r="N2483" s="19">
        <v>0</v>
      </c>
      <c r="O2483" s="19">
        <v>0</v>
      </c>
      <c r="P2483" s="19">
        <v>0</v>
      </c>
      <c r="Q2483" s="19">
        <v>0</v>
      </c>
      <c r="S2483" s="19">
        <v>1</v>
      </c>
      <c r="T2483" s="19">
        <v>1</v>
      </c>
      <c r="U2483" s="19">
        <v>0</v>
      </c>
      <c r="V2483" s="19" t="s">
        <v>80</v>
      </c>
      <c r="W2483" s="19">
        <v>0</v>
      </c>
      <c r="Y2483" s="19" t="s">
        <v>103</v>
      </c>
      <c r="Z2483" s="19">
        <v>50</v>
      </c>
      <c r="AA2483" s="19">
        <v>0</v>
      </c>
    </row>
    <row r="2484" spans="1:27" x14ac:dyDescent="0.25">
      <c r="A2484" s="19" t="s">
        <v>1670</v>
      </c>
      <c r="B2484" s="19" t="s">
        <v>2989</v>
      </c>
      <c r="C2484" s="19" t="s">
        <v>1645</v>
      </c>
      <c r="D2484" s="19">
        <v>0</v>
      </c>
      <c r="E2484" s="19" t="s">
        <v>123</v>
      </c>
      <c r="F2484" s="19" t="s">
        <v>124</v>
      </c>
      <c r="G2484" s="19" t="s">
        <v>32</v>
      </c>
      <c r="H2484" s="19" t="s">
        <v>114</v>
      </c>
      <c r="I2484" s="19" t="s">
        <v>115</v>
      </c>
      <c r="J2484" s="19">
        <v>27</v>
      </c>
      <c r="K2484" s="19">
        <v>2.1700000000000001E-2</v>
      </c>
      <c r="L2484" s="19" t="s">
        <v>35</v>
      </c>
      <c r="M2484" s="19" t="s">
        <v>103</v>
      </c>
      <c r="N2484" s="19">
        <v>0</v>
      </c>
      <c r="O2484" s="19">
        <v>0</v>
      </c>
      <c r="P2484" s="19">
        <v>0</v>
      </c>
      <c r="Q2484" s="19">
        <v>0</v>
      </c>
      <c r="S2484" s="19">
        <v>1</v>
      </c>
      <c r="T2484" s="19">
        <v>1</v>
      </c>
      <c r="U2484" s="19">
        <v>0</v>
      </c>
      <c r="V2484" s="19" t="s">
        <v>80</v>
      </c>
      <c r="W2484" s="19">
        <v>0</v>
      </c>
      <c r="Y2484" s="19" t="s">
        <v>103</v>
      </c>
      <c r="Z2484" s="19">
        <v>50</v>
      </c>
      <c r="AA2484" s="19">
        <v>0</v>
      </c>
    </row>
    <row r="2485" spans="1:27" x14ac:dyDescent="0.25">
      <c r="A2485" s="19" t="s">
        <v>1671</v>
      </c>
      <c r="B2485" s="19" t="s">
        <v>2989</v>
      </c>
      <c r="C2485" s="19" t="s">
        <v>1645</v>
      </c>
      <c r="D2485" s="19">
        <v>0</v>
      </c>
      <c r="E2485" s="19" t="s">
        <v>126</v>
      </c>
      <c r="F2485" s="19" t="s">
        <v>127</v>
      </c>
      <c r="G2485" s="19" t="s">
        <v>32</v>
      </c>
      <c r="H2485" s="19" t="s">
        <v>114</v>
      </c>
      <c r="I2485" s="19" t="s">
        <v>115</v>
      </c>
      <c r="J2485" s="19">
        <v>29</v>
      </c>
      <c r="K2485" s="19">
        <v>2.1700000000000001E-2</v>
      </c>
      <c r="L2485" s="19" t="s">
        <v>35</v>
      </c>
      <c r="M2485" s="19" t="s">
        <v>103</v>
      </c>
      <c r="N2485" s="19">
        <v>0</v>
      </c>
      <c r="O2485" s="19">
        <v>0</v>
      </c>
      <c r="P2485" s="19">
        <v>0</v>
      </c>
      <c r="Q2485" s="19">
        <v>0</v>
      </c>
      <c r="S2485" s="19">
        <v>1</v>
      </c>
      <c r="T2485" s="19">
        <v>1</v>
      </c>
      <c r="U2485" s="19">
        <v>0</v>
      </c>
      <c r="V2485" s="19" t="s">
        <v>80</v>
      </c>
      <c r="W2485" s="19">
        <v>0</v>
      </c>
      <c r="Y2485" s="19" t="s">
        <v>103</v>
      </c>
      <c r="Z2485" s="19">
        <v>50</v>
      </c>
      <c r="AA2485" s="19">
        <v>0</v>
      </c>
    </row>
    <row r="2486" spans="1:27" x14ac:dyDescent="0.25">
      <c r="A2486" s="19" t="s">
        <v>1672</v>
      </c>
      <c r="B2486" s="19" t="s">
        <v>2989</v>
      </c>
      <c r="C2486" s="19" t="s">
        <v>1645</v>
      </c>
      <c r="D2486" s="19">
        <v>0</v>
      </c>
      <c r="E2486" s="19" t="s">
        <v>129</v>
      </c>
      <c r="F2486" s="19" t="s">
        <v>130</v>
      </c>
      <c r="G2486" s="19" t="s">
        <v>32</v>
      </c>
      <c r="H2486" s="19" t="s">
        <v>114</v>
      </c>
      <c r="I2486" s="19" t="s">
        <v>115</v>
      </c>
      <c r="J2486" s="19">
        <v>32</v>
      </c>
      <c r="K2486" s="19">
        <v>2.1700000000000001E-2</v>
      </c>
      <c r="L2486" s="19" t="s">
        <v>35</v>
      </c>
      <c r="M2486" s="19" t="s">
        <v>103</v>
      </c>
      <c r="N2486" s="19">
        <v>0</v>
      </c>
      <c r="O2486" s="19">
        <v>0</v>
      </c>
      <c r="P2486" s="19">
        <v>0</v>
      </c>
      <c r="Q2486" s="19">
        <v>0</v>
      </c>
      <c r="S2486" s="19">
        <v>1</v>
      </c>
      <c r="T2486" s="19">
        <v>1</v>
      </c>
      <c r="U2486" s="19">
        <v>0</v>
      </c>
      <c r="V2486" s="19" t="s">
        <v>36</v>
      </c>
      <c r="W2486" s="19">
        <v>0</v>
      </c>
      <c r="Y2486" s="19" t="s">
        <v>103</v>
      </c>
      <c r="Z2486" s="19">
        <v>50</v>
      </c>
      <c r="AA2486" s="19">
        <v>0</v>
      </c>
    </row>
    <row r="2487" spans="1:27" x14ac:dyDescent="0.25">
      <c r="A2487" s="19" t="s">
        <v>1673</v>
      </c>
      <c r="B2487" s="19" t="s">
        <v>2989</v>
      </c>
      <c r="C2487" s="19" t="s">
        <v>1645</v>
      </c>
      <c r="D2487" s="19">
        <v>2.085</v>
      </c>
      <c r="E2487" s="19" t="s">
        <v>132</v>
      </c>
      <c r="F2487" s="19" t="s">
        <v>133</v>
      </c>
      <c r="G2487" s="19" t="s">
        <v>134</v>
      </c>
      <c r="H2487" s="19" t="s">
        <v>87</v>
      </c>
      <c r="I2487" s="19" t="s">
        <v>135</v>
      </c>
      <c r="J2487" s="19">
        <v>11</v>
      </c>
      <c r="K2487" s="19">
        <v>4.1700000000000001E-2</v>
      </c>
      <c r="L2487" s="19" t="s">
        <v>35</v>
      </c>
      <c r="M2487" s="19" t="s">
        <v>103</v>
      </c>
      <c r="N2487" s="19">
        <v>50</v>
      </c>
      <c r="O2487" s="19">
        <v>50</v>
      </c>
      <c r="P2487" s="19">
        <v>0</v>
      </c>
      <c r="Q2487" s="19">
        <v>0</v>
      </c>
      <c r="S2487" s="19">
        <v>1</v>
      </c>
      <c r="T2487" s="19">
        <v>1</v>
      </c>
      <c r="U2487" s="19">
        <v>0</v>
      </c>
      <c r="V2487" s="19" t="s">
        <v>41</v>
      </c>
      <c r="W2487" s="19">
        <v>1</v>
      </c>
      <c r="Y2487" s="19" t="s">
        <v>103</v>
      </c>
      <c r="Z2487" s="19">
        <v>50</v>
      </c>
      <c r="AA2487" s="19">
        <v>50</v>
      </c>
    </row>
    <row r="2488" spans="1:27" x14ac:dyDescent="0.25">
      <c r="A2488" s="19" t="s">
        <v>1674</v>
      </c>
      <c r="B2488" s="19" t="s">
        <v>2989</v>
      </c>
      <c r="C2488" s="19" t="s">
        <v>1645</v>
      </c>
      <c r="D2488" s="19">
        <v>0.69493050000000001</v>
      </c>
      <c r="E2488" s="19" t="s">
        <v>137</v>
      </c>
      <c r="F2488" s="19" t="s">
        <v>138</v>
      </c>
      <c r="G2488" s="19" t="s">
        <v>134</v>
      </c>
      <c r="H2488" s="19" t="s">
        <v>87</v>
      </c>
      <c r="I2488" s="19" t="s">
        <v>135</v>
      </c>
      <c r="J2488" s="19">
        <v>9</v>
      </c>
      <c r="K2488" s="19">
        <v>4.1700000000000001E-2</v>
      </c>
      <c r="L2488" s="19" t="s">
        <v>35</v>
      </c>
      <c r="M2488" s="19" t="s">
        <v>110</v>
      </c>
      <c r="N2488" s="19">
        <v>16.664999999999999</v>
      </c>
      <c r="O2488" s="19">
        <v>16.664999999999999</v>
      </c>
      <c r="P2488" s="19">
        <v>0</v>
      </c>
      <c r="Q2488" s="19">
        <v>0</v>
      </c>
      <c r="S2488" s="19">
        <v>1</v>
      </c>
      <c r="T2488" s="19">
        <v>1</v>
      </c>
      <c r="U2488" s="19">
        <v>0</v>
      </c>
      <c r="W2488" s="19">
        <v>0</v>
      </c>
      <c r="X2488" s="19">
        <v>3</v>
      </c>
      <c r="Y2488" s="19" t="s">
        <v>110</v>
      </c>
      <c r="Z2488" s="19">
        <v>16.664999999999999</v>
      </c>
      <c r="AA2488" s="19">
        <v>16.664999999999999</v>
      </c>
    </row>
    <row r="2489" spans="1:27" x14ac:dyDescent="0.25">
      <c r="A2489" s="19" t="s">
        <v>1675</v>
      </c>
      <c r="B2489" s="19" t="s">
        <v>2989</v>
      </c>
      <c r="C2489" s="19" t="s">
        <v>1645</v>
      </c>
      <c r="D2489" s="19">
        <v>0</v>
      </c>
      <c r="E2489" s="19" t="s">
        <v>140</v>
      </c>
      <c r="F2489" s="19" t="s">
        <v>141</v>
      </c>
      <c r="G2489" s="19" t="s">
        <v>134</v>
      </c>
      <c r="H2489" s="19" t="s">
        <v>87</v>
      </c>
      <c r="I2489" s="19" t="s">
        <v>135</v>
      </c>
      <c r="J2489" s="19">
        <v>10</v>
      </c>
      <c r="K2489" s="19">
        <v>4.1700000000000001E-2</v>
      </c>
      <c r="L2489" s="19" t="s">
        <v>35</v>
      </c>
      <c r="N2489" s="19">
        <v>0</v>
      </c>
      <c r="O2489" s="19">
        <v>0</v>
      </c>
      <c r="P2489" s="19">
        <v>0</v>
      </c>
      <c r="Q2489" s="19">
        <v>0</v>
      </c>
      <c r="S2489" s="19">
        <v>1</v>
      </c>
      <c r="T2489" s="19">
        <v>1</v>
      </c>
      <c r="U2489" s="19">
        <v>0</v>
      </c>
      <c r="W2489" s="19">
        <v>0</v>
      </c>
      <c r="X2489" s="19">
        <v>0</v>
      </c>
      <c r="Z2489" s="19">
        <v>0</v>
      </c>
      <c r="AA2489" s="19">
        <v>0</v>
      </c>
    </row>
    <row r="2490" spans="1:27" x14ac:dyDescent="0.25">
      <c r="A2490" s="19" t="s">
        <v>1676</v>
      </c>
      <c r="B2490" s="19" t="s">
        <v>2989</v>
      </c>
      <c r="C2490" s="19" t="s">
        <v>1645</v>
      </c>
      <c r="D2490" s="19">
        <v>1.25</v>
      </c>
      <c r="E2490" s="19" t="s">
        <v>144</v>
      </c>
      <c r="F2490" s="19" t="s">
        <v>145</v>
      </c>
      <c r="G2490" s="19" t="s">
        <v>134</v>
      </c>
      <c r="H2490" s="19" t="s">
        <v>146</v>
      </c>
      <c r="I2490" s="19" t="s">
        <v>147</v>
      </c>
      <c r="J2490" s="19">
        <v>4</v>
      </c>
      <c r="K2490" s="19">
        <v>2.5000000000000001E-2</v>
      </c>
      <c r="L2490" s="19" t="s">
        <v>35</v>
      </c>
      <c r="M2490" s="19" t="s">
        <v>103</v>
      </c>
      <c r="N2490" s="19">
        <v>50</v>
      </c>
      <c r="O2490" s="19">
        <v>50</v>
      </c>
      <c r="P2490" s="19">
        <v>0</v>
      </c>
      <c r="Q2490" s="19">
        <v>0</v>
      </c>
      <c r="S2490" s="19">
        <v>1</v>
      </c>
      <c r="T2490" s="19">
        <v>1</v>
      </c>
      <c r="U2490" s="19">
        <v>0</v>
      </c>
      <c r="V2490" s="19" t="s">
        <v>41</v>
      </c>
      <c r="W2490" s="19">
        <v>1</v>
      </c>
      <c r="Y2490" s="19" t="s">
        <v>103</v>
      </c>
      <c r="Z2490" s="19">
        <v>50</v>
      </c>
      <c r="AA2490" s="19">
        <v>50</v>
      </c>
    </row>
    <row r="2491" spans="1:27" x14ac:dyDescent="0.25">
      <c r="A2491" s="19" t="s">
        <v>1677</v>
      </c>
      <c r="B2491" s="19" t="s">
        <v>2989</v>
      </c>
      <c r="C2491" s="19" t="s">
        <v>1645</v>
      </c>
      <c r="D2491" s="19">
        <v>0</v>
      </c>
      <c r="E2491" s="19" t="s">
        <v>149</v>
      </c>
      <c r="F2491" s="19" t="s">
        <v>150</v>
      </c>
      <c r="G2491" s="19" t="s">
        <v>134</v>
      </c>
      <c r="H2491" s="19" t="s">
        <v>146</v>
      </c>
      <c r="I2491" s="19" t="s">
        <v>147</v>
      </c>
      <c r="J2491" s="19">
        <v>5</v>
      </c>
      <c r="K2491" s="19">
        <v>2.5000000000000001E-2</v>
      </c>
      <c r="L2491" s="19" t="s">
        <v>35</v>
      </c>
      <c r="M2491" s="19" t="s">
        <v>103</v>
      </c>
      <c r="N2491" s="19">
        <v>0</v>
      </c>
      <c r="O2491" s="19">
        <v>0</v>
      </c>
      <c r="P2491" s="19">
        <v>0</v>
      </c>
      <c r="Q2491" s="19">
        <v>0</v>
      </c>
      <c r="S2491" s="19">
        <v>1</v>
      </c>
      <c r="T2491" s="19">
        <v>1</v>
      </c>
      <c r="U2491" s="19">
        <v>0</v>
      </c>
      <c r="V2491" s="19" t="s">
        <v>36</v>
      </c>
      <c r="W2491" s="19">
        <v>0</v>
      </c>
      <c r="Y2491" s="19" t="s">
        <v>103</v>
      </c>
      <c r="Z2491" s="19">
        <v>50</v>
      </c>
      <c r="AA2491" s="19">
        <v>0</v>
      </c>
    </row>
    <row r="2492" spans="1:27" x14ac:dyDescent="0.25">
      <c r="A2492" s="19" t="s">
        <v>1678</v>
      </c>
      <c r="B2492" s="19" t="s">
        <v>2989</v>
      </c>
      <c r="C2492" s="19" t="s">
        <v>1645</v>
      </c>
      <c r="D2492" s="19">
        <v>1.25</v>
      </c>
      <c r="E2492" s="19" t="s">
        <v>152</v>
      </c>
      <c r="F2492" s="19" t="s">
        <v>153</v>
      </c>
      <c r="G2492" s="19" t="s">
        <v>134</v>
      </c>
      <c r="H2492" s="19" t="s">
        <v>146</v>
      </c>
      <c r="I2492" s="19" t="s">
        <v>147</v>
      </c>
      <c r="J2492" s="19">
        <v>6</v>
      </c>
      <c r="K2492" s="19">
        <v>2.5000000000000001E-2</v>
      </c>
      <c r="L2492" s="19" t="s">
        <v>35</v>
      </c>
      <c r="M2492" s="19" t="s">
        <v>103</v>
      </c>
      <c r="N2492" s="19">
        <v>50</v>
      </c>
      <c r="O2492" s="19">
        <v>50</v>
      </c>
      <c r="P2492" s="19">
        <v>0</v>
      </c>
      <c r="Q2492" s="19">
        <v>0</v>
      </c>
      <c r="S2492" s="19">
        <v>1</v>
      </c>
      <c r="T2492" s="19">
        <v>1</v>
      </c>
      <c r="U2492" s="19">
        <v>0</v>
      </c>
      <c r="V2492" s="19" t="s">
        <v>41</v>
      </c>
      <c r="W2492" s="19">
        <v>1</v>
      </c>
      <c r="Y2492" s="19" t="s">
        <v>103</v>
      </c>
      <c r="Z2492" s="19">
        <v>50</v>
      </c>
      <c r="AA2492" s="19">
        <v>50</v>
      </c>
    </row>
    <row r="2493" spans="1:27" x14ac:dyDescent="0.25">
      <c r="A2493" s="19" t="s">
        <v>1679</v>
      </c>
      <c r="B2493" s="19" t="s">
        <v>2989</v>
      </c>
      <c r="C2493" s="19" t="s">
        <v>1645</v>
      </c>
      <c r="D2493" s="19">
        <v>0</v>
      </c>
      <c r="E2493" s="19" t="s">
        <v>155</v>
      </c>
      <c r="F2493" s="19" t="s">
        <v>156</v>
      </c>
      <c r="G2493" s="19" t="s">
        <v>134</v>
      </c>
      <c r="H2493" s="19" t="s">
        <v>146</v>
      </c>
      <c r="I2493" s="19" t="s">
        <v>147</v>
      </c>
      <c r="J2493" s="19">
        <v>7</v>
      </c>
      <c r="K2493" s="19">
        <v>2.5000000000000001E-2</v>
      </c>
      <c r="L2493" s="19" t="s">
        <v>35</v>
      </c>
      <c r="M2493" s="19" t="s">
        <v>103</v>
      </c>
      <c r="N2493" s="19">
        <v>0</v>
      </c>
      <c r="O2493" s="19">
        <v>0</v>
      </c>
      <c r="P2493" s="19">
        <v>0</v>
      </c>
      <c r="Q2493" s="19">
        <v>0</v>
      </c>
      <c r="S2493" s="19">
        <v>1</v>
      </c>
      <c r="T2493" s="19">
        <v>1</v>
      </c>
      <c r="U2493" s="19">
        <v>0</v>
      </c>
      <c r="V2493" s="19" t="s">
        <v>36</v>
      </c>
      <c r="W2493" s="19">
        <v>0</v>
      </c>
      <c r="Y2493" s="19" t="s">
        <v>103</v>
      </c>
      <c r="Z2493" s="19">
        <v>50</v>
      </c>
      <c r="AA2493" s="19">
        <v>0</v>
      </c>
    </row>
    <row r="2494" spans="1:27" x14ac:dyDescent="0.25">
      <c r="A2494" s="19" t="s">
        <v>1680</v>
      </c>
      <c r="B2494" s="19" t="s">
        <v>2989</v>
      </c>
      <c r="C2494" s="19" t="s">
        <v>1645</v>
      </c>
      <c r="D2494" s="19">
        <v>1.25</v>
      </c>
      <c r="E2494" s="19" t="s">
        <v>158</v>
      </c>
      <c r="F2494" s="19" t="s">
        <v>159</v>
      </c>
      <c r="G2494" s="19" t="s">
        <v>134</v>
      </c>
      <c r="H2494" s="19" t="s">
        <v>146</v>
      </c>
      <c r="I2494" s="19" t="s">
        <v>147</v>
      </c>
      <c r="J2494" s="19">
        <v>8</v>
      </c>
      <c r="K2494" s="19">
        <v>2.5000000000000001E-2</v>
      </c>
      <c r="L2494" s="19" t="s">
        <v>35</v>
      </c>
      <c r="M2494" s="19" t="s">
        <v>103</v>
      </c>
      <c r="N2494" s="19">
        <v>50</v>
      </c>
      <c r="O2494" s="19">
        <v>50</v>
      </c>
      <c r="P2494" s="19">
        <v>0</v>
      </c>
      <c r="Q2494" s="19">
        <v>0</v>
      </c>
      <c r="S2494" s="19">
        <v>1</v>
      </c>
      <c r="T2494" s="19">
        <v>1</v>
      </c>
      <c r="U2494" s="19">
        <v>0</v>
      </c>
      <c r="V2494" s="19" t="s">
        <v>41</v>
      </c>
      <c r="W2494" s="19">
        <v>1</v>
      </c>
      <c r="Y2494" s="19" t="s">
        <v>103</v>
      </c>
      <c r="Z2494" s="19">
        <v>50</v>
      </c>
      <c r="AA2494" s="19">
        <v>50</v>
      </c>
    </row>
    <row r="2495" spans="1:27" x14ac:dyDescent="0.25">
      <c r="A2495" s="19" t="s">
        <v>1681</v>
      </c>
      <c r="B2495" s="19" t="s">
        <v>2989</v>
      </c>
      <c r="C2495" s="19" t="s">
        <v>1645</v>
      </c>
      <c r="D2495" s="19">
        <v>1.1098889999999999</v>
      </c>
      <c r="E2495" s="19" t="s">
        <v>161</v>
      </c>
      <c r="F2495" s="19" t="s">
        <v>162</v>
      </c>
      <c r="G2495" s="19" t="s">
        <v>163</v>
      </c>
      <c r="I2495" s="19" t="s">
        <v>164</v>
      </c>
      <c r="J2495" s="19">
        <v>1</v>
      </c>
      <c r="K2495" s="19">
        <v>3.3300000000000003E-2</v>
      </c>
      <c r="L2495" s="19" t="s">
        <v>35</v>
      </c>
      <c r="M2495" s="19" t="s">
        <v>165</v>
      </c>
      <c r="N2495" s="19">
        <v>33.33</v>
      </c>
      <c r="O2495" s="19">
        <v>33.33</v>
      </c>
      <c r="P2495" s="19">
        <v>0</v>
      </c>
      <c r="Q2495" s="19">
        <v>0</v>
      </c>
      <c r="S2495" s="19">
        <v>1</v>
      </c>
      <c r="T2495" s="19">
        <v>1</v>
      </c>
      <c r="U2495" s="19">
        <v>0</v>
      </c>
      <c r="W2495" s="19">
        <v>0</v>
      </c>
      <c r="X2495" s="19">
        <v>33.33</v>
      </c>
      <c r="Z2495" s="19">
        <v>0</v>
      </c>
      <c r="AA2495" s="19">
        <v>33.33</v>
      </c>
    </row>
    <row r="2496" spans="1:27" x14ac:dyDescent="0.25">
      <c r="A2496" s="19" t="s">
        <v>1682</v>
      </c>
      <c r="B2496" s="19" t="s">
        <v>2989</v>
      </c>
      <c r="C2496" s="19" t="s">
        <v>1645</v>
      </c>
      <c r="D2496" s="19">
        <v>0</v>
      </c>
      <c r="E2496" s="19" t="s">
        <v>167</v>
      </c>
      <c r="F2496" s="19" t="s">
        <v>168</v>
      </c>
      <c r="G2496" s="19" t="s">
        <v>163</v>
      </c>
      <c r="I2496" s="19" t="s">
        <v>164</v>
      </c>
      <c r="J2496" s="19">
        <v>3</v>
      </c>
      <c r="K2496" s="19">
        <v>3.3300000000000003E-2</v>
      </c>
      <c r="L2496" s="19" t="s">
        <v>35</v>
      </c>
      <c r="M2496" s="19" t="s">
        <v>165</v>
      </c>
      <c r="N2496" s="19">
        <v>0</v>
      </c>
      <c r="O2496" s="19">
        <v>0</v>
      </c>
      <c r="P2496" s="19">
        <v>0</v>
      </c>
      <c r="Q2496" s="19">
        <v>0</v>
      </c>
      <c r="S2496" s="19">
        <v>1</v>
      </c>
      <c r="T2496" s="19">
        <v>1</v>
      </c>
      <c r="U2496" s="19">
        <v>0</v>
      </c>
      <c r="W2496" s="19">
        <v>0</v>
      </c>
      <c r="X2496" s="19">
        <v>0</v>
      </c>
      <c r="Z2496" s="19">
        <v>0</v>
      </c>
      <c r="AA2496" s="19">
        <v>0</v>
      </c>
    </row>
    <row r="2497" spans="1:27" x14ac:dyDescent="0.25">
      <c r="A2497" s="19" t="s">
        <v>1683</v>
      </c>
      <c r="B2497" s="19" t="s">
        <v>2989</v>
      </c>
      <c r="C2497" s="19" t="s">
        <v>1645</v>
      </c>
      <c r="D2497" s="19">
        <v>0.93240000000000001</v>
      </c>
      <c r="E2497" s="19" t="s">
        <v>170</v>
      </c>
      <c r="F2497" s="19" t="s">
        <v>171</v>
      </c>
      <c r="G2497" s="19" t="s">
        <v>163</v>
      </c>
      <c r="I2497" s="19" t="s">
        <v>164</v>
      </c>
      <c r="J2497" s="19">
        <v>2</v>
      </c>
      <c r="K2497" s="19">
        <v>3.3300000000000003E-2</v>
      </c>
      <c r="L2497" s="19" t="s">
        <v>35</v>
      </c>
      <c r="M2497" s="19" t="s">
        <v>165</v>
      </c>
      <c r="N2497" s="19">
        <v>28</v>
      </c>
      <c r="O2497" s="19">
        <v>28</v>
      </c>
      <c r="P2497" s="19">
        <v>0</v>
      </c>
      <c r="Q2497" s="19">
        <v>0</v>
      </c>
      <c r="S2497" s="19">
        <v>1</v>
      </c>
      <c r="T2497" s="19">
        <v>1</v>
      </c>
      <c r="U2497" s="19">
        <v>0</v>
      </c>
      <c r="W2497" s="19">
        <v>0</v>
      </c>
      <c r="X2497" s="19">
        <v>28</v>
      </c>
      <c r="Z2497" s="19">
        <v>0</v>
      </c>
      <c r="AA2497" s="19">
        <v>28</v>
      </c>
    </row>
    <row r="2498" spans="1:27" x14ac:dyDescent="0.25">
      <c r="A2498" s="19" t="s">
        <v>2542</v>
      </c>
      <c r="B2498" s="19" t="s">
        <v>2543</v>
      </c>
      <c r="C2498" s="19" t="s">
        <v>2544</v>
      </c>
      <c r="D2498" s="19">
        <v>1.63</v>
      </c>
      <c r="E2498" s="19" t="s">
        <v>30</v>
      </c>
      <c r="F2498" s="19" t="s">
        <v>31</v>
      </c>
      <c r="G2498" s="19" t="s">
        <v>32</v>
      </c>
      <c r="H2498" s="19" t="s">
        <v>33</v>
      </c>
      <c r="I2498" s="19" t="s">
        <v>34</v>
      </c>
      <c r="J2498" s="19">
        <v>17</v>
      </c>
      <c r="K2498" s="19">
        <v>1.6299999999999999E-2</v>
      </c>
      <c r="L2498" s="19" t="s">
        <v>541</v>
      </c>
      <c r="M2498" s="19" t="s">
        <v>541</v>
      </c>
      <c r="N2498" s="19">
        <v>50</v>
      </c>
      <c r="O2498" s="19">
        <v>100</v>
      </c>
      <c r="P2498" s="19">
        <v>100</v>
      </c>
      <c r="Q2498" s="19">
        <v>50</v>
      </c>
      <c r="R2498" s="19" t="s">
        <v>1075</v>
      </c>
      <c r="S2498" s="19">
        <v>1</v>
      </c>
      <c r="T2498" s="19">
        <v>1</v>
      </c>
      <c r="U2498" s="19">
        <v>50</v>
      </c>
      <c r="AA2498" s="19">
        <v>0</v>
      </c>
    </row>
    <row r="2499" spans="1:27" x14ac:dyDescent="0.25">
      <c r="A2499" s="19" t="s">
        <v>2545</v>
      </c>
      <c r="B2499" s="19" t="s">
        <v>2543</v>
      </c>
      <c r="C2499" s="19" t="s">
        <v>2544</v>
      </c>
      <c r="D2499" s="19">
        <v>1.63</v>
      </c>
      <c r="E2499" s="19" t="s">
        <v>38</v>
      </c>
      <c r="F2499" s="19" t="s">
        <v>39</v>
      </c>
      <c r="G2499" s="19" t="s">
        <v>32</v>
      </c>
      <c r="H2499" s="19" t="s">
        <v>33</v>
      </c>
      <c r="I2499" s="19" t="s">
        <v>34</v>
      </c>
      <c r="J2499" s="19">
        <v>19</v>
      </c>
      <c r="K2499" s="19">
        <v>1.6299999999999999E-2</v>
      </c>
      <c r="L2499" s="19" t="s">
        <v>541</v>
      </c>
      <c r="M2499" s="19" t="s">
        <v>541</v>
      </c>
      <c r="N2499" s="19">
        <v>50</v>
      </c>
      <c r="O2499" s="19">
        <v>100</v>
      </c>
      <c r="P2499" s="19">
        <v>100</v>
      </c>
      <c r="Q2499" s="19">
        <v>50</v>
      </c>
      <c r="R2499" s="19" t="s">
        <v>1075</v>
      </c>
      <c r="S2499" s="19">
        <v>1</v>
      </c>
      <c r="T2499" s="19">
        <v>1</v>
      </c>
      <c r="U2499" s="19">
        <v>50</v>
      </c>
      <c r="AA2499" s="19">
        <v>0</v>
      </c>
    </row>
    <row r="2500" spans="1:27" x14ac:dyDescent="0.25">
      <c r="A2500" s="19" t="s">
        <v>2546</v>
      </c>
      <c r="B2500" s="19" t="s">
        <v>2543</v>
      </c>
      <c r="C2500" s="19" t="s">
        <v>2544</v>
      </c>
      <c r="D2500" s="19">
        <v>1.63</v>
      </c>
      <c r="E2500" s="19" t="s">
        <v>43</v>
      </c>
      <c r="F2500" s="19" t="s">
        <v>44</v>
      </c>
      <c r="G2500" s="19" t="s">
        <v>32</v>
      </c>
      <c r="H2500" s="19" t="s">
        <v>33</v>
      </c>
      <c r="I2500" s="19" t="s">
        <v>34</v>
      </c>
      <c r="J2500" s="19">
        <v>18</v>
      </c>
      <c r="K2500" s="19">
        <v>1.6299999999999999E-2</v>
      </c>
      <c r="L2500" s="19" t="s">
        <v>541</v>
      </c>
      <c r="M2500" s="19" t="s">
        <v>541</v>
      </c>
      <c r="N2500" s="19">
        <v>50</v>
      </c>
      <c r="O2500" s="19">
        <v>100</v>
      </c>
      <c r="P2500" s="19">
        <v>100</v>
      </c>
      <c r="Q2500" s="19">
        <v>50</v>
      </c>
      <c r="R2500" s="19" t="s">
        <v>1075</v>
      </c>
      <c r="S2500" s="19">
        <v>1</v>
      </c>
      <c r="T2500" s="19">
        <v>1</v>
      </c>
      <c r="U2500" s="19">
        <v>50</v>
      </c>
      <c r="AA2500" s="19">
        <v>0</v>
      </c>
    </row>
    <row r="2501" spans="1:27" x14ac:dyDescent="0.25">
      <c r="A2501" s="19" t="s">
        <v>2547</v>
      </c>
      <c r="B2501" s="19" t="s">
        <v>2543</v>
      </c>
      <c r="C2501" s="19" t="s">
        <v>2544</v>
      </c>
      <c r="D2501" s="19">
        <v>1.6205702479338799</v>
      </c>
      <c r="E2501" s="19" t="s">
        <v>46</v>
      </c>
      <c r="F2501" s="19" t="s">
        <v>47</v>
      </c>
      <c r="G2501" s="19" t="s">
        <v>32</v>
      </c>
      <c r="H2501" s="19" t="s">
        <v>33</v>
      </c>
      <c r="I2501" s="19" t="s">
        <v>34</v>
      </c>
      <c r="J2501" s="19">
        <v>15</v>
      </c>
      <c r="K2501" s="19">
        <v>1.6299999999999999E-2</v>
      </c>
      <c r="L2501" s="19" t="s">
        <v>541</v>
      </c>
      <c r="M2501" s="19" t="s">
        <v>541</v>
      </c>
      <c r="N2501" s="19">
        <v>50</v>
      </c>
      <c r="O2501" s="19">
        <v>99.421487603299994</v>
      </c>
      <c r="P2501" s="19">
        <v>98.842975206600002</v>
      </c>
      <c r="Q2501" s="19">
        <v>49.421487603300001</v>
      </c>
      <c r="R2501" s="19" t="s">
        <v>1075</v>
      </c>
      <c r="S2501" s="19">
        <v>1</v>
      </c>
      <c r="T2501" s="19">
        <v>1</v>
      </c>
      <c r="U2501" s="19">
        <v>49.421487603300001</v>
      </c>
      <c r="AA2501" s="19">
        <v>0</v>
      </c>
    </row>
    <row r="2502" spans="1:27" x14ac:dyDescent="0.25">
      <c r="A2502" s="19" t="s">
        <v>2548</v>
      </c>
      <c r="B2502" s="19" t="s">
        <v>2543</v>
      </c>
      <c r="C2502" s="19" t="s">
        <v>2544</v>
      </c>
      <c r="D2502" s="19">
        <v>1.5065817201666201</v>
      </c>
      <c r="E2502" s="19" t="s">
        <v>49</v>
      </c>
      <c r="F2502" s="19" t="s">
        <v>50</v>
      </c>
      <c r="G2502" s="19" t="s">
        <v>32</v>
      </c>
      <c r="H2502" s="19" t="s">
        <v>33</v>
      </c>
      <c r="I2502" s="19" t="s">
        <v>34</v>
      </c>
      <c r="J2502" s="19">
        <v>12</v>
      </c>
      <c r="K2502" s="19">
        <v>1.6299999999999999E-2</v>
      </c>
      <c r="L2502" s="19" t="s">
        <v>541</v>
      </c>
      <c r="M2502" s="19" t="s">
        <v>541</v>
      </c>
      <c r="N2502" s="19">
        <v>50</v>
      </c>
      <c r="O2502" s="19">
        <v>92.428326390600006</v>
      </c>
      <c r="P2502" s="19">
        <v>84.856652781199998</v>
      </c>
      <c r="Q2502" s="19">
        <v>42.428326390599999</v>
      </c>
      <c r="R2502" s="19" t="s">
        <v>1075</v>
      </c>
      <c r="S2502" s="19">
        <v>1</v>
      </c>
      <c r="T2502" s="19">
        <v>1</v>
      </c>
      <c r="U2502" s="19">
        <v>42.428326390599999</v>
      </c>
      <c r="AA2502" s="19">
        <v>0</v>
      </c>
    </row>
    <row r="2503" spans="1:27" x14ac:dyDescent="0.25">
      <c r="A2503" s="19" t="s">
        <v>2549</v>
      </c>
      <c r="B2503" s="19" t="s">
        <v>2543</v>
      </c>
      <c r="C2503" s="19" t="s">
        <v>2544</v>
      </c>
      <c r="D2503" s="19">
        <v>1.62986396261058</v>
      </c>
      <c r="E2503" s="19" t="s">
        <v>52</v>
      </c>
      <c r="F2503" s="19" t="s">
        <v>53</v>
      </c>
      <c r="G2503" s="19" t="s">
        <v>32</v>
      </c>
      <c r="H2503" s="19" t="s">
        <v>33</v>
      </c>
      <c r="I2503" s="19" t="s">
        <v>34</v>
      </c>
      <c r="J2503" s="19">
        <v>16</v>
      </c>
      <c r="K2503" s="19">
        <v>1.6299999999999999E-2</v>
      </c>
      <c r="L2503" s="19" t="s">
        <v>541</v>
      </c>
      <c r="M2503" s="19" t="s">
        <v>541</v>
      </c>
      <c r="N2503" s="19">
        <v>50</v>
      </c>
      <c r="O2503" s="19">
        <v>99.991654147899993</v>
      </c>
      <c r="P2503" s="19">
        <v>99.983308295800001</v>
      </c>
      <c r="Q2503" s="19">
        <v>49.9916541479</v>
      </c>
      <c r="R2503" s="19" t="s">
        <v>1075</v>
      </c>
      <c r="S2503" s="19">
        <v>1</v>
      </c>
      <c r="T2503" s="19">
        <v>1</v>
      </c>
      <c r="U2503" s="19">
        <v>49.9916541479</v>
      </c>
      <c r="AA2503" s="19">
        <v>0</v>
      </c>
    </row>
    <row r="2504" spans="1:27" x14ac:dyDescent="0.25">
      <c r="A2504" s="19" t="s">
        <v>2550</v>
      </c>
      <c r="B2504" s="19" t="s">
        <v>2543</v>
      </c>
      <c r="C2504" s="19" t="s">
        <v>2544</v>
      </c>
      <c r="D2504" s="19">
        <v>1.6287756634952399</v>
      </c>
      <c r="E2504" s="19" t="s">
        <v>55</v>
      </c>
      <c r="F2504" s="19" t="s">
        <v>56</v>
      </c>
      <c r="G2504" s="19" t="s">
        <v>32</v>
      </c>
      <c r="H2504" s="19" t="s">
        <v>33</v>
      </c>
      <c r="I2504" s="19" t="s">
        <v>34</v>
      </c>
      <c r="J2504" s="19">
        <v>14</v>
      </c>
      <c r="K2504" s="19">
        <v>1.6299999999999999E-2</v>
      </c>
      <c r="L2504" s="19" t="s">
        <v>541</v>
      </c>
      <c r="M2504" s="19" t="s">
        <v>541</v>
      </c>
      <c r="N2504" s="19">
        <v>50</v>
      </c>
      <c r="O2504" s="19">
        <v>99.924887330999994</v>
      </c>
      <c r="P2504" s="19">
        <v>99.849774662000002</v>
      </c>
      <c r="Q2504" s="19">
        <v>49.924887331000001</v>
      </c>
      <c r="R2504" s="19" t="s">
        <v>1075</v>
      </c>
      <c r="S2504" s="19">
        <v>1</v>
      </c>
      <c r="T2504" s="19">
        <v>1</v>
      </c>
      <c r="U2504" s="19">
        <v>49.924887331000001</v>
      </c>
      <c r="AA2504" s="19">
        <v>0</v>
      </c>
    </row>
    <row r="2505" spans="1:27" x14ac:dyDescent="0.25">
      <c r="A2505" s="19" t="s">
        <v>2551</v>
      </c>
      <c r="B2505" s="19" t="s">
        <v>2543</v>
      </c>
      <c r="C2505" s="19" t="s">
        <v>2544</v>
      </c>
      <c r="D2505" s="19">
        <v>1.63</v>
      </c>
      <c r="E2505" s="19" t="s">
        <v>58</v>
      </c>
      <c r="F2505" s="19" t="s">
        <v>59</v>
      </c>
      <c r="G2505" s="19" t="s">
        <v>32</v>
      </c>
      <c r="H2505" s="19" t="s">
        <v>33</v>
      </c>
      <c r="I2505" s="19" t="s">
        <v>34</v>
      </c>
      <c r="J2505" s="19">
        <v>13</v>
      </c>
      <c r="K2505" s="19">
        <v>1.6299999999999999E-2</v>
      </c>
      <c r="L2505" s="19" t="s">
        <v>541</v>
      </c>
      <c r="M2505" s="19" t="s">
        <v>541</v>
      </c>
      <c r="N2505" s="19">
        <v>50</v>
      </c>
      <c r="O2505" s="19">
        <v>100</v>
      </c>
      <c r="P2505" s="19">
        <v>100</v>
      </c>
      <c r="Q2505" s="19">
        <v>50</v>
      </c>
      <c r="R2505" s="19" t="s">
        <v>1075</v>
      </c>
      <c r="S2505" s="19">
        <v>1</v>
      </c>
      <c r="T2505" s="19">
        <v>1</v>
      </c>
      <c r="U2505" s="19">
        <v>50</v>
      </c>
      <c r="AA2505" s="19">
        <v>0</v>
      </c>
    </row>
    <row r="2506" spans="1:27" x14ac:dyDescent="0.25">
      <c r="A2506" s="19" t="s">
        <v>2552</v>
      </c>
      <c r="B2506" s="19" t="s">
        <v>2543</v>
      </c>
      <c r="C2506" s="19" t="s">
        <v>2544</v>
      </c>
      <c r="D2506" s="19">
        <v>1.8599999999999901</v>
      </c>
      <c r="E2506" s="19" t="s">
        <v>61</v>
      </c>
      <c r="F2506" s="19" t="s">
        <v>62</v>
      </c>
      <c r="G2506" s="19" t="s">
        <v>32</v>
      </c>
      <c r="H2506" s="19" t="s">
        <v>63</v>
      </c>
      <c r="I2506" s="19" t="s">
        <v>64</v>
      </c>
      <c r="J2506" s="19">
        <v>22</v>
      </c>
      <c r="K2506" s="19">
        <v>1.8599999999999998E-2</v>
      </c>
      <c r="L2506" s="19" t="s">
        <v>541</v>
      </c>
      <c r="M2506" s="19" t="s">
        <v>541</v>
      </c>
      <c r="N2506" s="19">
        <v>50</v>
      </c>
      <c r="O2506" s="19">
        <v>100</v>
      </c>
      <c r="P2506" s="19">
        <v>100</v>
      </c>
      <c r="Q2506" s="19">
        <v>50</v>
      </c>
      <c r="R2506" s="19" t="s">
        <v>1075</v>
      </c>
      <c r="S2506" s="19">
        <v>1</v>
      </c>
      <c r="T2506" s="19">
        <v>1</v>
      </c>
      <c r="U2506" s="19">
        <v>50</v>
      </c>
      <c r="AA2506" s="19">
        <v>0</v>
      </c>
    </row>
    <row r="2507" spans="1:27" x14ac:dyDescent="0.25">
      <c r="A2507" s="19" t="s">
        <v>2553</v>
      </c>
      <c r="B2507" s="19" t="s">
        <v>2543</v>
      </c>
      <c r="C2507" s="19" t="s">
        <v>2544</v>
      </c>
      <c r="D2507" s="19">
        <v>1.85817691742219</v>
      </c>
      <c r="E2507" s="19" t="s">
        <v>66</v>
      </c>
      <c r="F2507" s="19" t="s">
        <v>67</v>
      </c>
      <c r="G2507" s="19" t="s">
        <v>32</v>
      </c>
      <c r="H2507" s="19" t="s">
        <v>63</v>
      </c>
      <c r="I2507" s="19" t="s">
        <v>64</v>
      </c>
      <c r="J2507" s="19">
        <v>20</v>
      </c>
      <c r="K2507" s="19">
        <v>1.8599999999999998E-2</v>
      </c>
      <c r="L2507" s="19" t="s">
        <v>541</v>
      </c>
      <c r="M2507" s="19" t="s">
        <v>541</v>
      </c>
      <c r="N2507" s="19">
        <v>50</v>
      </c>
      <c r="O2507" s="19">
        <v>99.901984807600002</v>
      </c>
      <c r="P2507" s="19">
        <v>99.803969615300005</v>
      </c>
      <c r="Q2507" s="19">
        <v>49.901984807600002</v>
      </c>
      <c r="R2507" s="19" t="s">
        <v>1075</v>
      </c>
      <c r="S2507" s="19">
        <v>1</v>
      </c>
      <c r="T2507" s="19">
        <v>1</v>
      </c>
      <c r="U2507" s="19">
        <v>49.901984807600002</v>
      </c>
      <c r="AA2507" s="19">
        <v>0</v>
      </c>
    </row>
    <row r="2508" spans="1:27" x14ac:dyDescent="0.25">
      <c r="A2508" s="19" t="s">
        <v>2554</v>
      </c>
      <c r="B2508" s="19" t="s">
        <v>2543</v>
      </c>
      <c r="C2508" s="19" t="s">
        <v>2544</v>
      </c>
      <c r="D2508" s="19">
        <v>1.7456015682430699</v>
      </c>
      <c r="E2508" s="19" t="s">
        <v>69</v>
      </c>
      <c r="F2508" s="19" t="s">
        <v>70</v>
      </c>
      <c r="G2508" s="19" t="s">
        <v>32</v>
      </c>
      <c r="H2508" s="19" t="s">
        <v>63</v>
      </c>
      <c r="I2508" s="19" t="s">
        <v>64</v>
      </c>
      <c r="J2508" s="19">
        <v>23</v>
      </c>
      <c r="K2508" s="19">
        <v>1.8599999999999998E-2</v>
      </c>
      <c r="L2508" s="19" t="s">
        <v>541</v>
      </c>
      <c r="M2508" s="19" t="s">
        <v>541</v>
      </c>
      <c r="N2508" s="19">
        <v>50</v>
      </c>
      <c r="O2508" s="19">
        <v>93.849546679699998</v>
      </c>
      <c r="P2508" s="19">
        <v>87.699093359499997</v>
      </c>
      <c r="Q2508" s="19">
        <v>43.849546679699998</v>
      </c>
      <c r="R2508" s="19" t="s">
        <v>1075</v>
      </c>
      <c r="S2508" s="19">
        <v>1</v>
      </c>
      <c r="T2508" s="19">
        <v>1</v>
      </c>
      <c r="U2508" s="19">
        <v>43.849546679699998</v>
      </c>
      <c r="AA2508" s="19">
        <v>0</v>
      </c>
    </row>
    <row r="2509" spans="1:27" x14ac:dyDescent="0.25">
      <c r="A2509" s="19" t="s">
        <v>2555</v>
      </c>
      <c r="B2509" s="19" t="s">
        <v>2543</v>
      </c>
      <c r="C2509" s="19" t="s">
        <v>2544</v>
      </c>
      <c r="D2509" s="19">
        <v>1.8599999999999901</v>
      </c>
      <c r="E2509" s="19" t="s">
        <v>72</v>
      </c>
      <c r="F2509" s="19" t="s">
        <v>73</v>
      </c>
      <c r="G2509" s="19" t="s">
        <v>32</v>
      </c>
      <c r="H2509" s="19" t="s">
        <v>63</v>
      </c>
      <c r="I2509" s="19" t="s">
        <v>64</v>
      </c>
      <c r="J2509" s="19">
        <v>21</v>
      </c>
      <c r="K2509" s="19">
        <v>1.8599999999999998E-2</v>
      </c>
      <c r="L2509" s="19" t="s">
        <v>541</v>
      </c>
      <c r="M2509" s="19" t="s">
        <v>541</v>
      </c>
      <c r="N2509" s="19">
        <v>50</v>
      </c>
      <c r="O2509" s="19">
        <v>100</v>
      </c>
      <c r="P2509" s="19">
        <v>100</v>
      </c>
      <c r="Q2509" s="19">
        <v>50</v>
      </c>
      <c r="R2509" s="19" t="s">
        <v>1075</v>
      </c>
      <c r="S2509" s="19">
        <v>1</v>
      </c>
      <c r="T2509" s="19">
        <v>1</v>
      </c>
      <c r="U2509" s="19">
        <v>50</v>
      </c>
      <c r="AA2509" s="19">
        <v>0</v>
      </c>
    </row>
    <row r="2510" spans="1:27" x14ac:dyDescent="0.25">
      <c r="A2510" s="19" t="s">
        <v>2556</v>
      </c>
      <c r="B2510" s="19" t="s">
        <v>2543</v>
      </c>
      <c r="C2510" s="19" t="s">
        <v>2544</v>
      </c>
      <c r="D2510" s="19">
        <v>1.8575502873563201</v>
      </c>
      <c r="E2510" s="19" t="s">
        <v>75</v>
      </c>
      <c r="F2510" s="19" t="s">
        <v>76</v>
      </c>
      <c r="G2510" s="19" t="s">
        <v>32</v>
      </c>
      <c r="H2510" s="19" t="s">
        <v>63</v>
      </c>
      <c r="I2510" s="19" t="s">
        <v>64</v>
      </c>
      <c r="J2510" s="19">
        <v>24</v>
      </c>
      <c r="K2510" s="19">
        <v>1.8599999999999998E-2</v>
      </c>
      <c r="L2510" s="19" t="s">
        <v>541</v>
      </c>
      <c r="M2510" s="19" t="s">
        <v>541</v>
      </c>
      <c r="N2510" s="19">
        <v>50</v>
      </c>
      <c r="O2510" s="19">
        <v>99.868295019200005</v>
      </c>
      <c r="P2510" s="19">
        <v>99.736590038299994</v>
      </c>
      <c r="Q2510" s="19">
        <v>49.868295019199998</v>
      </c>
      <c r="R2510" s="19" t="s">
        <v>1075</v>
      </c>
      <c r="S2510" s="19">
        <v>1</v>
      </c>
      <c r="T2510" s="19">
        <v>1</v>
      </c>
      <c r="U2510" s="19">
        <v>49.868295019199998</v>
      </c>
      <c r="AA2510" s="19">
        <v>0</v>
      </c>
    </row>
    <row r="2511" spans="1:27" x14ac:dyDescent="0.25">
      <c r="A2511" s="19" t="s">
        <v>2557</v>
      </c>
      <c r="B2511" s="19" t="s">
        <v>2543</v>
      </c>
      <c r="C2511" s="19" t="s">
        <v>2544</v>
      </c>
      <c r="D2511" s="19">
        <v>1.0627806563039699</v>
      </c>
      <c r="E2511" s="19" t="s">
        <v>78</v>
      </c>
      <c r="F2511" s="19" t="s">
        <v>79</v>
      </c>
      <c r="G2511" s="19" t="s">
        <v>32</v>
      </c>
      <c r="H2511" s="19" t="s">
        <v>63</v>
      </c>
      <c r="I2511" s="19" t="s">
        <v>64</v>
      </c>
      <c r="J2511" s="19">
        <v>25</v>
      </c>
      <c r="K2511" s="19">
        <v>1.8599999999999998E-2</v>
      </c>
      <c r="L2511" s="19" t="s">
        <v>541</v>
      </c>
      <c r="M2511" s="19" t="s">
        <v>541</v>
      </c>
      <c r="N2511" s="19">
        <v>50</v>
      </c>
      <c r="O2511" s="19">
        <v>57.138744962600001</v>
      </c>
      <c r="P2511" s="19">
        <v>14.277489925199999</v>
      </c>
      <c r="Q2511" s="19">
        <v>7.1387449625799997</v>
      </c>
      <c r="R2511" s="19" t="s">
        <v>1075</v>
      </c>
      <c r="S2511" s="19">
        <v>1</v>
      </c>
      <c r="T2511" s="19">
        <v>1</v>
      </c>
      <c r="U2511" s="19">
        <v>7.1387449625799997</v>
      </c>
      <c r="AA2511" s="19">
        <v>0</v>
      </c>
    </row>
    <row r="2512" spans="1:27" x14ac:dyDescent="0.25">
      <c r="A2512" s="19" t="s">
        <v>2558</v>
      </c>
      <c r="B2512" s="19" t="s">
        <v>2543</v>
      </c>
      <c r="C2512" s="19" t="s">
        <v>2544</v>
      </c>
      <c r="D2512" s="19">
        <v>1.8599999999999901</v>
      </c>
      <c r="E2512" s="19" t="s">
        <v>82</v>
      </c>
      <c r="F2512" s="19" t="s">
        <v>83</v>
      </c>
      <c r="G2512" s="19" t="s">
        <v>32</v>
      </c>
      <c r="H2512" s="19" t="s">
        <v>63</v>
      </c>
      <c r="I2512" s="19" t="s">
        <v>64</v>
      </c>
      <c r="J2512" s="19">
        <v>26</v>
      </c>
      <c r="K2512" s="19">
        <v>1.8599999999999998E-2</v>
      </c>
      <c r="L2512" s="19" t="s">
        <v>541</v>
      </c>
      <c r="M2512" s="19" t="s">
        <v>541</v>
      </c>
      <c r="N2512" s="19">
        <v>50</v>
      </c>
      <c r="O2512" s="19">
        <v>100</v>
      </c>
      <c r="P2512" s="19">
        <v>100</v>
      </c>
      <c r="Q2512" s="19">
        <v>50</v>
      </c>
      <c r="R2512" s="19" t="s">
        <v>1075</v>
      </c>
      <c r="S2512" s="19">
        <v>1</v>
      </c>
      <c r="T2512" s="19">
        <v>1</v>
      </c>
      <c r="U2512" s="19">
        <v>50</v>
      </c>
      <c r="AA2512" s="19">
        <v>0</v>
      </c>
    </row>
    <row r="2513" spans="1:27" x14ac:dyDescent="0.25">
      <c r="A2513" s="19" t="s">
        <v>2559</v>
      </c>
      <c r="B2513" s="19" t="s">
        <v>2543</v>
      </c>
      <c r="C2513" s="19" t="s">
        <v>2544</v>
      </c>
      <c r="D2513" s="19">
        <v>2.9656946826758102</v>
      </c>
      <c r="E2513" s="19" t="s">
        <v>85</v>
      </c>
      <c r="F2513" s="19" t="s">
        <v>86</v>
      </c>
      <c r="G2513" s="19" t="s">
        <v>32</v>
      </c>
      <c r="H2513" s="19" t="s">
        <v>87</v>
      </c>
      <c r="I2513" s="19" t="s">
        <v>88</v>
      </c>
      <c r="J2513" s="19">
        <v>35</v>
      </c>
      <c r="K2513" s="19">
        <v>3.2500000000000001E-2</v>
      </c>
      <c r="L2513" s="19" t="s">
        <v>541</v>
      </c>
      <c r="M2513" s="19" t="s">
        <v>541</v>
      </c>
      <c r="N2513" s="19">
        <v>50</v>
      </c>
      <c r="O2513" s="19">
        <v>91.252144082300006</v>
      </c>
      <c r="P2513" s="19">
        <v>82.5042881647</v>
      </c>
      <c r="Q2513" s="19">
        <v>41.252144082299999</v>
      </c>
      <c r="R2513" s="19" t="s">
        <v>1075</v>
      </c>
      <c r="S2513" s="19">
        <v>1</v>
      </c>
      <c r="T2513" s="19">
        <v>1</v>
      </c>
      <c r="U2513" s="19">
        <v>41.252144082299999</v>
      </c>
      <c r="AA2513" s="19">
        <v>0</v>
      </c>
    </row>
    <row r="2514" spans="1:27" x14ac:dyDescent="0.25">
      <c r="A2514" s="19" t="s">
        <v>2560</v>
      </c>
      <c r="B2514" s="19" t="s">
        <v>2543</v>
      </c>
      <c r="C2514" s="19" t="s">
        <v>2544</v>
      </c>
      <c r="D2514" s="19">
        <v>2.8053630062021102</v>
      </c>
      <c r="E2514" s="19" t="s">
        <v>90</v>
      </c>
      <c r="F2514" s="19" t="s">
        <v>91</v>
      </c>
      <c r="G2514" s="19" t="s">
        <v>32</v>
      </c>
      <c r="H2514" s="19" t="s">
        <v>87</v>
      </c>
      <c r="I2514" s="19" t="s">
        <v>88</v>
      </c>
      <c r="J2514" s="19">
        <v>33</v>
      </c>
      <c r="K2514" s="19">
        <v>3.2500000000000001E-2</v>
      </c>
      <c r="L2514" s="19" t="s">
        <v>541</v>
      </c>
      <c r="M2514" s="19" t="s">
        <v>541</v>
      </c>
      <c r="N2514" s="19">
        <v>50</v>
      </c>
      <c r="O2514" s="19">
        <v>86.318861729299996</v>
      </c>
      <c r="P2514" s="19">
        <v>72.637723458599993</v>
      </c>
      <c r="Q2514" s="19">
        <v>36.318861729299996</v>
      </c>
      <c r="R2514" s="19" t="s">
        <v>1075</v>
      </c>
      <c r="S2514" s="19">
        <v>1</v>
      </c>
      <c r="T2514" s="19">
        <v>1</v>
      </c>
      <c r="U2514" s="19">
        <v>36.318861729299996</v>
      </c>
      <c r="AA2514" s="19">
        <v>0</v>
      </c>
    </row>
    <row r="2515" spans="1:27" x14ac:dyDescent="0.25">
      <c r="A2515" s="19" t="s">
        <v>2561</v>
      </c>
      <c r="B2515" s="19" t="s">
        <v>2543</v>
      </c>
      <c r="C2515" s="19" t="s">
        <v>2544</v>
      </c>
      <c r="D2515" s="19">
        <v>3.1898738054398401</v>
      </c>
      <c r="E2515" s="19" t="s">
        <v>93</v>
      </c>
      <c r="F2515" s="19" t="s">
        <v>94</v>
      </c>
      <c r="G2515" s="19" t="s">
        <v>32</v>
      </c>
      <c r="H2515" s="19" t="s">
        <v>87</v>
      </c>
      <c r="I2515" s="19" t="s">
        <v>88</v>
      </c>
      <c r="J2515" s="19">
        <v>34</v>
      </c>
      <c r="K2515" s="19">
        <v>3.2500000000000001E-2</v>
      </c>
      <c r="L2515" s="19" t="s">
        <v>541</v>
      </c>
      <c r="M2515" s="19" t="s">
        <v>541</v>
      </c>
      <c r="N2515" s="19">
        <v>50</v>
      </c>
      <c r="O2515" s="19">
        <v>98.149963244299997</v>
      </c>
      <c r="P2515" s="19">
        <v>96.299926488599993</v>
      </c>
      <c r="Q2515" s="19">
        <v>48.149963244299997</v>
      </c>
      <c r="R2515" s="19" t="s">
        <v>1075</v>
      </c>
      <c r="S2515" s="19">
        <v>1</v>
      </c>
      <c r="T2515" s="19">
        <v>1</v>
      </c>
      <c r="U2515" s="19">
        <v>48.149963244299997</v>
      </c>
      <c r="AA2515" s="19">
        <v>0</v>
      </c>
    </row>
    <row r="2516" spans="1:27" x14ac:dyDescent="0.25">
      <c r="A2516" s="19" t="s">
        <v>2562</v>
      </c>
      <c r="B2516" s="19" t="s">
        <v>2543</v>
      </c>
      <c r="C2516" s="19" t="s">
        <v>2544</v>
      </c>
      <c r="D2516" s="19">
        <v>3.14103557263262</v>
      </c>
      <c r="E2516" s="19" t="s">
        <v>96</v>
      </c>
      <c r="F2516" s="19" t="s">
        <v>97</v>
      </c>
      <c r="G2516" s="19" t="s">
        <v>32</v>
      </c>
      <c r="H2516" s="19" t="s">
        <v>87</v>
      </c>
      <c r="I2516" s="19" t="s">
        <v>88</v>
      </c>
      <c r="J2516" s="19">
        <v>36</v>
      </c>
      <c r="K2516" s="19">
        <v>3.2500000000000001E-2</v>
      </c>
      <c r="L2516" s="19" t="s">
        <v>541</v>
      </c>
      <c r="M2516" s="19" t="s">
        <v>541</v>
      </c>
      <c r="N2516" s="19">
        <v>50</v>
      </c>
      <c r="O2516" s="19">
        <v>96.647248388700007</v>
      </c>
      <c r="P2516" s="19">
        <v>93.294496777399999</v>
      </c>
      <c r="Q2516" s="19">
        <v>46.6472483887</v>
      </c>
      <c r="R2516" s="19" t="s">
        <v>1075</v>
      </c>
      <c r="S2516" s="19">
        <v>1</v>
      </c>
      <c r="T2516" s="19">
        <v>1</v>
      </c>
      <c r="U2516" s="19">
        <v>46.6472483887</v>
      </c>
      <c r="AA2516" s="19">
        <v>0</v>
      </c>
    </row>
    <row r="2517" spans="1:27" x14ac:dyDescent="0.25">
      <c r="A2517" s="19" t="s">
        <v>2563</v>
      </c>
      <c r="B2517" s="19" t="s">
        <v>2543</v>
      </c>
      <c r="C2517" s="19" t="s">
        <v>2544</v>
      </c>
      <c r="D2517" s="19">
        <v>3.9155713874496199</v>
      </c>
      <c r="E2517" s="19" t="s">
        <v>99</v>
      </c>
      <c r="F2517" s="19" t="s">
        <v>100</v>
      </c>
      <c r="G2517" s="19" t="s">
        <v>32</v>
      </c>
      <c r="H2517" s="19" t="s">
        <v>101</v>
      </c>
      <c r="I2517" s="19" t="s">
        <v>102</v>
      </c>
      <c r="J2517" s="19">
        <v>39</v>
      </c>
      <c r="K2517" s="19">
        <v>4.3299999999999998E-2</v>
      </c>
      <c r="L2517" s="19" t="s">
        <v>541</v>
      </c>
      <c r="M2517" s="19" t="s">
        <v>541</v>
      </c>
      <c r="N2517" s="19">
        <v>50</v>
      </c>
      <c r="O2517" s="19">
        <v>90.428900403</v>
      </c>
      <c r="P2517" s="19">
        <v>80.857800806</v>
      </c>
      <c r="Q2517" s="19">
        <v>40.428900403</v>
      </c>
      <c r="R2517" s="19" t="s">
        <v>1075</v>
      </c>
      <c r="S2517" s="19">
        <v>1</v>
      </c>
      <c r="T2517" s="19">
        <v>1</v>
      </c>
      <c r="U2517" s="19">
        <v>40.428900403</v>
      </c>
      <c r="AA2517" s="19">
        <v>0</v>
      </c>
    </row>
    <row r="2518" spans="1:27" x14ac:dyDescent="0.25">
      <c r="A2518" s="19" t="s">
        <v>2564</v>
      </c>
      <c r="B2518" s="19" t="s">
        <v>2543</v>
      </c>
      <c r="C2518" s="19" t="s">
        <v>2544</v>
      </c>
      <c r="D2518" s="19">
        <v>3.5908837075417299</v>
      </c>
      <c r="E2518" s="19" t="s">
        <v>105</v>
      </c>
      <c r="F2518" s="19" t="s">
        <v>106</v>
      </c>
      <c r="G2518" s="19" t="s">
        <v>32</v>
      </c>
      <c r="H2518" s="19" t="s">
        <v>101</v>
      </c>
      <c r="I2518" s="19" t="s">
        <v>102</v>
      </c>
      <c r="J2518" s="19">
        <v>38</v>
      </c>
      <c r="K2518" s="19">
        <v>4.3299999999999998E-2</v>
      </c>
      <c r="L2518" s="19" t="s">
        <v>541</v>
      </c>
      <c r="M2518" s="19" t="s">
        <v>541</v>
      </c>
      <c r="N2518" s="19">
        <v>50</v>
      </c>
      <c r="O2518" s="19">
        <v>82.930339666099997</v>
      </c>
      <c r="P2518" s="19">
        <v>65.860679332199993</v>
      </c>
      <c r="Q2518" s="19">
        <v>32.930339666099997</v>
      </c>
      <c r="R2518" s="19" t="s">
        <v>1075</v>
      </c>
      <c r="S2518" s="19">
        <v>1</v>
      </c>
      <c r="T2518" s="19">
        <v>1</v>
      </c>
      <c r="U2518" s="19">
        <v>32.930339666099997</v>
      </c>
      <c r="AA2518" s="19">
        <v>0</v>
      </c>
    </row>
    <row r="2519" spans="1:27" x14ac:dyDescent="0.25">
      <c r="A2519" s="19" t="s">
        <v>2565</v>
      </c>
      <c r="B2519" s="19" t="s">
        <v>2543</v>
      </c>
      <c r="C2519" s="19" t="s">
        <v>2544</v>
      </c>
      <c r="D2519" s="19">
        <v>2.9907412204950998</v>
      </c>
      <c r="E2519" s="19" t="s">
        <v>108</v>
      </c>
      <c r="F2519" s="19" t="s">
        <v>109</v>
      </c>
      <c r="G2519" s="19" t="s">
        <v>32</v>
      </c>
      <c r="H2519" s="19" t="s">
        <v>101</v>
      </c>
      <c r="I2519" s="19" t="s">
        <v>102</v>
      </c>
      <c r="J2519" s="19">
        <v>37</v>
      </c>
      <c r="K2519" s="19">
        <v>4.3299999999999998E-2</v>
      </c>
      <c r="L2519" s="19" t="s">
        <v>541</v>
      </c>
      <c r="M2519" s="19" t="s">
        <v>541</v>
      </c>
      <c r="N2519" s="19">
        <v>50</v>
      </c>
      <c r="O2519" s="19">
        <v>69.070236039099996</v>
      </c>
      <c r="P2519" s="19">
        <v>38.1404720783</v>
      </c>
      <c r="Q2519" s="19">
        <v>19.070236039099999</v>
      </c>
      <c r="R2519" s="19" t="s">
        <v>1075</v>
      </c>
      <c r="S2519" s="19">
        <v>1</v>
      </c>
      <c r="T2519" s="19">
        <v>1</v>
      </c>
      <c r="U2519" s="19">
        <v>19.070236039099999</v>
      </c>
      <c r="AA2519" s="19">
        <v>0</v>
      </c>
    </row>
    <row r="2520" spans="1:27" x14ac:dyDescent="0.25">
      <c r="A2520" s="19" t="s">
        <v>2566</v>
      </c>
      <c r="B2520" s="19" t="s">
        <v>2543</v>
      </c>
      <c r="C2520" s="19" t="s">
        <v>2544</v>
      </c>
      <c r="D2520" s="19">
        <v>1.7352504317789199</v>
      </c>
      <c r="E2520" s="19" t="s">
        <v>112</v>
      </c>
      <c r="F2520" s="19" t="s">
        <v>113</v>
      </c>
      <c r="G2520" s="19" t="s">
        <v>32</v>
      </c>
      <c r="H2520" s="19" t="s">
        <v>114</v>
      </c>
      <c r="I2520" s="19" t="s">
        <v>115</v>
      </c>
      <c r="J2520" s="19">
        <v>30</v>
      </c>
      <c r="K2520" s="19">
        <v>2.1700000000000001E-2</v>
      </c>
      <c r="L2520" s="19" t="s">
        <v>541</v>
      </c>
      <c r="M2520" s="19" t="s">
        <v>541</v>
      </c>
      <c r="N2520" s="19">
        <v>50</v>
      </c>
      <c r="O2520" s="19">
        <v>79.965457685700002</v>
      </c>
      <c r="P2520" s="19">
        <v>59.930915371300003</v>
      </c>
      <c r="Q2520" s="19">
        <v>29.965457685699999</v>
      </c>
      <c r="R2520" s="19" t="s">
        <v>1075</v>
      </c>
      <c r="S2520" s="19">
        <v>1</v>
      </c>
      <c r="T2520" s="19">
        <v>1</v>
      </c>
      <c r="U2520" s="19">
        <v>29.965457685699999</v>
      </c>
      <c r="AA2520" s="19">
        <v>0</v>
      </c>
    </row>
    <row r="2521" spans="1:27" x14ac:dyDescent="0.25">
      <c r="A2521" s="19" t="s">
        <v>2567</v>
      </c>
      <c r="B2521" s="19" t="s">
        <v>2543</v>
      </c>
      <c r="C2521" s="19" t="s">
        <v>2544</v>
      </c>
      <c r="D2521" s="19">
        <v>1.2461571675302201</v>
      </c>
      <c r="E2521" s="19" t="s">
        <v>117</v>
      </c>
      <c r="F2521" s="19" t="s">
        <v>118</v>
      </c>
      <c r="G2521" s="19" t="s">
        <v>32</v>
      </c>
      <c r="H2521" s="19" t="s">
        <v>114</v>
      </c>
      <c r="I2521" s="19" t="s">
        <v>115</v>
      </c>
      <c r="J2521" s="19">
        <v>31</v>
      </c>
      <c r="K2521" s="19">
        <v>2.1700000000000001E-2</v>
      </c>
      <c r="L2521" s="19" t="s">
        <v>541</v>
      </c>
      <c r="M2521" s="19" t="s">
        <v>541</v>
      </c>
      <c r="N2521" s="19">
        <v>50</v>
      </c>
      <c r="O2521" s="19">
        <v>57.426597581999999</v>
      </c>
      <c r="P2521" s="19">
        <v>14.853195164100001</v>
      </c>
      <c r="Q2521" s="19">
        <v>7.4265975820400003</v>
      </c>
      <c r="R2521" s="19" t="s">
        <v>1075</v>
      </c>
      <c r="S2521" s="19">
        <v>1</v>
      </c>
      <c r="T2521" s="19">
        <v>1</v>
      </c>
      <c r="U2521" s="19">
        <v>7.4265975820400003</v>
      </c>
      <c r="AA2521" s="19">
        <v>0</v>
      </c>
    </row>
    <row r="2522" spans="1:27" x14ac:dyDescent="0.25">
      <c r="A2522" s="19" t="s">
        <v>2568</v>
      </c>
      <c r="B2522" s="19" t="s">
        <v>2543</v>
      </c>
      <c r="C2522" s="19" t="s">
        <v>2544</v>
      </c>
      <c r="D2522" s="19">
        <v>1.6595758354755701</v>
      </c>
      <c r="E2522" s="19" t="s">
        <v>120</v>
      </c>
      <c r="F2522" s="19" t="s">
        <v>121</v>
      </c>
      <c r="G2522" s="19" t="s">
        <v>32</v>
      </c>
      <c r="H2522" s="19" t="s">
        <v>114</v>
      </c>
      <c r="I2522" s="19" t="s">
        <v>115</v>
      </c>
      <c r="J2522" s="19">
        <v>28</v>
      </c>
      <c r="K2522" s="19">
        <v>2.1700000000000001E-2</v>
      </c>
      <c r="L2522" s="19" t="s">
        <v>541</v>
      </c>
      <c r="M2522" s="19" t="s">
        <v>541</v>
      </c>
      <c r="N2522" s="19">
        <v>50</v>
      </c>
      <c r="O2522" s="19">
        <v>76.478149100300001</v>
      </c>
      <c r="P2522" s="19">
        <v>52.956298200500001</v>
      </c>
      <c r="Q2522" s="19">
        <v>26.478149100300001</v>
      </c>
      <c r="R2522" s="19" t="s">
        <v>1075</v>
      </c>
      <c r="S2522" s="19">
        <v>1</v>
      </c>
      <c r="T2522" s="19">
        <v>1</v>
      </c>
      <c r="U2522" s="19">
        <v>26.478149100300001</v>
      </c>
      <c r="AA2522" s="19">
        <v>0</v>
      </c>
    </row>
    <row r="2523" spans="1:27" x14ac:dyDescent="0.25">
      <c r="A2523" s="19" t="s">
        <v>2569</v>
      </c>
      <c r="B2523" s="19" t="s">
        <v>2543</v>
      </c>
      <c r="C2523" s="19" t="s">
        <v>2544</v>
      </c>
      <c r="D2523" s="19">
        <v>1.13996833621185</v>
      </c>
      <c r="E2523" s="19" t="s">
        <v>123</v>
      </c>
      <c r="F2523" s="19" t="s">
        <v>124</v>
      </c>
      <c r="G2523" s="19" t="s">
        <v>32</v>
      </c>
      <c r="H2523" s="19" t="s">
        <v>114</v>
      </c>
      <c r="I2523" s="19" t="s">
        <v>115</v>
      </c>
      <c r="J2523" s="19">
        <v>27</v>
      </c>
      <c r="K2523" s="19">
        <v>2.1700000000000001E-2</v>
      </c>
      <c r="L2523" s="19" t="s">
        <v>541</v>
      </c>
      <c r="M2523" s="19" t="s">
        <v>541</v>
      </c>
      <c r="N2523" s="19">
        <v>50</v>
      </c>
      <c r="O2523" s="19">
        <v>52.533103051200001</v>
      </c>
      <c r="P2523" s="19">
        <v>5.0662061024799998</v>
      </c>
      <c r="Q2523" s="19">
        <v>2.5331030512399999</v>
      </c>
      <c r="R2523" s="19" t="s">
        <v>1075</v>
      </c>
      <c r="S2523" s="19">
        <v>1</v>
      </c>
      <c r="T2523" s="19">
        <v>1</v>
      </c>
      <c r="U2523" s="19">
        <v>2.5331030512399999</v>
      </c>
      <c r="AA2523" s="19">
        <v>0</v>
      </c>
    </row>
    <row r="2524" spans="1:27" x14ac:dyDescent="0.25">
      <c r="A2524" s="19" t="s">
        <v>2570</v>
      </c>
      <c r="B2524" s="19" t="s">
        <v>2543</v>
      </c>
      <c r="C2524" s="19" t="s">
        <v>2544</v>
      </c>
      <c r="D2524" s="19">
        <v>1.9138975244674701</v>
      </c>
      <c r="E2524" s="19" t="s">
        <v>126</v>
      </c>
      <c r="F2524" s="19" t="s">
        <v>127</v>
      </c>
      <c r="G2524" s="19" t="s">
        <v>32</v>
      </c>
      <c r="H2524" s="19" t="s">
        <v>114</v>
      </c>
      <c r="I2524" s="19" t="s">
        <v>115</v>
      </c>
      <c r="J2524" s="19">
        <v>29</v>
      </c>
      <c r="K2524" s="19">
        <v>2.1700000000000001E-2</v>
      </c>
      <c r="L2524" s="19" t="s">
        <v>541</v>
      </c>
      <c r="M2524" s="19" t="s">
        <v>541</v>
      </c>
      <c r="N2524" s="19">
        <v>50</v>
      </c>
      <c r="O2524" s="19">
        <v>88.198042602200005</v>
      </c>
      <c r="P2524" s="19">
        <v>76.396085204399995</v>
      </c>
      <c r="Q2524" s="19">
        <v>38.198042602199997</v>
      </c>
      <c r="R2524" s="19" t="s">
        <v>1075</v>
      </c>
      <c r="S2524" s="19">
        <v>1</v>
      </c>
      <c r="T2524" s="19">
        <v>1</v>
      </c>
      <c r="U2524" s="19">
        <v>38.198042602199997</v>
      </c>
      <c r="AA2524" s="19">
        <v>0</v>
      </c>
    </row>
    <row r="2525" spans="1:27" x14ac:dyDescent="0.25">
      <c r="A2525" s="19" t="s">
        <v>2571</v>
      </c>
      <c r="B2525" s="19" t="s">
        <v>2543</v>
      </c>
      <c r="C2525" s="19" t="s">
        <v>2544</v>
      </c>
      <c r="D2525" s="19">
        <v>1.2124265975820301</v>
      </c>
      <c r="E2525" s="19" t="s">
        <v>129</v>
      </c>
      <c r="F2525" s="19" t="s">
        <v>130</v>
      </c>
      <c r="G2525" s="19" t="s">
        <v>32</v>
      </c>
      <c r="H2525" s="19" t="s">
        <v>114</v>
      </c>
      <c r="I2525" s="19" t="s">
        <v>115</v>
      </c>
      <c r="J2525" s="19">
        <v>32</v>
      </c>
      <c r="K2525" s="19">
        <v>2.1700000000000001E-2</v>
      </c>
      <c r="L2525" s="19" t="s">
        <v>541</v>
      </c>
      <c r="M2525" s="19" t="s">
        <v>541</v>
      </c>
      <c r="N2525" s="19">
        <v>50</v>
      </c>
      <c r="O2525" s="19">
        <v>55.872193437</v>
      </c>
      <c r="P2525" s="19">
        <v>11.7443868739</v>
      </c>
      <c r="Q2525" s="19">
        <v>5.87219343696</v>
      </c>
      <c r="R2525" s="19" t="s">
        <v>1075</v>
      </c>
      <c r="S2525" s="19">
        <v>1</v>
      </c>
      <c r="T2525" s="19">
        <v>1</v>
      </c>
      <c r="U2525" s="19">
        <v>5.87219343696</v>
      </c>
      <c r="AA2525" s="19">
        <v>0</v>
      </c>
    </row>
    <row r="2526" spans="1:27" x14ac:dyDescent="0.25">
      <c r="A2526" s="19" t="s">
        <v>2572</v>
      </c>
      <c r="B2526" s="19" t="s">
        <v>2543</v>
      </c>
      <c r="C2526" s="19" t="s">
        <v>2544</v>
      </c>
      <c r="D2526" s="19">
        <v>4.17</v>
      </c>
      <c r="E2526" s="19" t="s">
        <v>132</v>
      </c>
      <c r="F2526" s="19" t="s">
        <v>133</v>
      </c>
      <c r="G2526" s="19" t="s">
        <v>134</v>
      </c>
      <c r="H2526" s="19" t="s">
        <v>87</v>
      </c>
      <c r="I2526" s="19" t="s">
        <v>135</v>
      </c>
      <c r="J2526" s="19">
        <v>11</v>
      </c>
      <c r="K2526" s="19">
        <v>4.1700000000000001E-2</v>
      </c>
      <c r="L2526" s="19" t="s">
        <v>541</v>
      </c>
      <c r="M2526" s="19" t="s">
        <v>541</v>
      </c>
      <c r="N2526" s="19">
        <v>50</v>
      </c>
      <c r="O2526" s="19">
        <v>100</v>
      </c>
      <c r="P2526" s="19">
        <v>100</v>
      </c>
      <c r="Q2526" s="19">
        <v>50</v>
      </c>
      <c r="R2526" s="19" t="s">
        <v>1075</v>
      </c>
      <c r="S2526" s="19">
        <v>1</v>
      </c>
      <c r="T2526" s="19">
        <v>1</v>
      </c>
      <c r="U2526" s="19">
        <v>50</v>
      </c>
      <c r="AA2526" s="19">
        <v>0</v>
      </c>
    </row>
    <row r="2527" spans="1:27" x14ac:dyDescent="0.25">
      <c r="A2527" s="19" t="s">
        <v>2573</v>
      </c>
      <c r="B2527" s="19" t="s">
        <v>2543</v>
      </c>
      <c r="C2527" s="19" t="s">
        <v>2544</v>
      </c>
      <c r="D2527" s="19">
        <v>2.78</v>
      </c>
      <c r="E2527" s="19" t="s">
        <v>137</v>
      </c>
      <c r="F2527" s="19" t="s">
        <v>138</v>
      </c>
      <c r="G2527" s="19" t="s">
        <v>134</v>
      </c>
      <c r="H2527" s="19" t="s">
        <v>87</v>
      </c>
      <c r="I2527" s="19" t="s">
        <v>135</v>
      </c>
      <c r="J2527" s="19">
        <v>9</v>
      </c>
      <c r="K2527" s="19">
        <v>4.1700000000000001E-2</v>
      </c>
      <c r="L2527" s="19" t="s">
        <v>541</v>
      </c>
      <c r="M2527" s="19" t="s">
        <v>541</v>
      </c>
      <c r="N2527" s="19">
        <v>50</v>
      </c>
      <c r="O2527" s="19">
        <v>66.666666666699996</v>
      </c>
      <c r="P2527" s="19">
        <v>33.333333333299997</v>
      </c>
      <c r="Q2527" s="19">
        <v>16.666666666699999</v>
      </c>
      <c r="R2527" s="19" t="s">
        <v>1075</v>
      </c>
      <c r="S2527" s="19">
        <v>1</v>
      </c>
      <c r="T2527" s="19">
        <v>1</v>
      </c>
      <c r="U2527" s="19">
        <v>16.666666666699999</v>
      </c>
      <c r="AA2527" s="19">
        <v>0</v>
      </c>
    </row>
    <row r="2528" spans="1:27" x14ac:dyDescent="0.25">
      <c r="A2528" s="19" t="s">
        <v>2574</v>
      </c>
      <c r="B2528" s="19" t="s">
        <v>2543</v>
      </c>
      <c r="C2528" s="19" t="s">
        <v>2544</v>
      </c>
      <c r="D2528" s="19">
        <v>2.78</v>
      </c>
      <c r="E2528" s="19" t="s">
        <v>140</v>
      </c>
      <c r="F2528" s="19" t="s">
        <v>141</v>
      </c>
      <c r="G2528" s="19" t="s">
        <v>134</v>
      </c>
      <c r="H2528" s="19" t="s">
        <v>87</v>
      </c>
      <c r="I2528" s="19" t="s">
        <v>135</v>
      </c>
      <c r="J2528" s="19">
        <v>10</v>
      </c>
      <c r="K2528" s="19">
        <v>4.1700000000000001E-2</v>
      </c>
      <c r="L2528" s="19" t="s">
        <v>541</v>
      </c>
      <c r="M2528" s="19" t="s">
        <v>541</v>
      </c>
      <c r="N2528" s="19">
        <v>50</v>
      </c>
      <c r="O2528" s="19">
        <v>66.666666666699996</v>
      </c>
      <c r="P2528" s="19">
        <v>33.333333333299997</v>
      </c>
      <c r="Q2528" s="19">
        <v>16.666666666699999</v>
      </c>
      <c r="R2528" s="19" t="s">
        <v>1075</v>
      </c>
      <c r="S2528" s="19">
        <v>1</v>
      </c>
      <c r="T2528" s="19">
        <v>1</v>
      </c>
      <c r="U2528" s="19">
        <v>16.666666666699999</v>
      </c>
      <c r="AA2528" s="19">
        <v>0</v>
      </c>
    </row>
    <row r="2529" spans="1:27" x14ac:dyDescent="0.25">
      <c r="A2529" s="19" t="s">
        <v>2575</v>
      </c>
      <c r="B2529" s="19" t="s">
        <v>2543</v>
      </c>
      <c r="C2529" s="19" t="s">
        <v>2544</v>
      </c>
      <c r="D2529" s="19">
        <v>2.5</v>
      </c>
      <c r="E2529" s="19" t="s">
        <v>144</v>
      </c>
      <c r="F2529" s="19" t="s">
        <v>145</v>
      </c>
      <c r="G2529" s="19" t="s">
        <v>134</v>
      </c>
      <c r="H2529" s="19" t="s">
        <v>146</v>
      </c>
      <c r="I2529" s="19" t="s">
        <v>147</v>
      </c>
      <c r="J2529" s="19">
        <v>4</v>
      </c>
      <c r="K2529" s="19">
        <v>2.5000000000000001E-2</v>
      </c>
      <c r="L2529" s="19" t="s">
        <v>541</v>
      </c>
      <c r="M2529" s="19" t="s">
        <v>541</v>
      </c>
      <c r="N2529" s="19">
        <v>50</v>
      </c>
      <c r="O2529" s="19">
        <v>100</v>
      </c>
      <c r="P2529" s="19">
        <v>100</v>
      </c>
      <c r="Q2529" s="19">
        <v>50</v>
      </c>
      <c r="R2529" s="19" t="s">
        <v>1075</v>
      </c>
      <c r="S2529" s="19">
        <v>1</v>
      </c>
      <c r="T2529" s="19">
        <v>1</v>
      </c>
      <c r="U2529" s="19">
        <v>50</v>
      </c>
      <c r="AA2529" s="19">
        <v>0</v>
      </c>
    </row>
    <row r="2530" spans="1:27" x14ac:dyDescent="0.25">
      <c r="A2530" s="19" t="s">
        <v>2576</v>
      </c>
      <c r="B2530" s="19" t="s">
        <v>2543</v>
      </c>
      <c r="C2530" s="19" t="s">
        <v>2544</v>
      </c>
      <c r="D2530" s="19">
        <v>2.5</v>
      </c>
      <c r="E2530" s="19" t="s">
        <v>149</v>
      </c>
      <c r="F2530" s="19" t="s">
        <v>150</v>
      </c>
      <c r="G2530" s="19" t="s">
        <v>134</v>
      </c>
      <c r="H2530" s="19" t="s">
        <v>146</v>
      </c>
      <c r="I2530" s="19" t="s">
        <v>147</v>
      </c>
      <c r="J2530" s="19">
        <v>5</v>
      </c>
      <c r="K2530" s="19">
        <v>2.5000000000000001E-2</v>
      </c>
      <c r="L2530" s="19" t="s">
        <v>541</v>
      </c>
      <c r="M2530" s="19" t="s">
        <v>541</v>
      </c>
      <c r="N2530" s="19">
        <v>50</v>
      </c>
      <c r="O2530" s="19">
        <v>100</v>
      </c>
      <c r="P2530" s="19">
        <v>100</v>
      </c>
      <c r="Q2530" s="19">
        <v>50</v>
      </c>
      <c r="R2530" s="19" t="s">
        <v>1075</v>
      </c>
      <c r="S2530" s="19">
        <v>1</v>
      </c>
      <c r="T2530" s="19">
        <v>1</v>
      </c>
      <c r="U2530" s="19">
        <v>50</v>
      </c>
      <c r="AA2530" s="19">
        <v>0</v>
      </c>
    </row>
    <row r="2531" spans="1:27" x14ac:dyDescent="0.25">
      <c r="A2531" s="19" t="s">
        <v>2577</v>
      </c>
      <c r="B2531" s="19" t="s">
        <v>2543</v>
      </c>
      <c r="C2531" s="19" t="s">
        <v>2544</v>
      </c>
      <c r="D2531" s="19">
        <v>2.5</v>
      </c>
      <c r="E2531" s="19" t="s">
        <v>152</v>
      </c>
      <c r="F2531" s="19" t="s">
        <v>153</v>
      </c>
      <c r="G2531" s="19" t="s">
        <v>134</v>
      </c>
      <c r="H2531" s="19" t="s">
        <v>146</v>
      </c>
      <c r="I2531" s="19" t="s">
        <v>147</v>
      </c>
      <c r="J2531" s="19">
        <v>6</v>
      </c>
      <c r="K2531" s="19">
        <v>2.5000000000000001E-2</v>
      </c>
      <c r="L2531" s="19" t="s">
        <v>541</v>
      </c>
      <c r="M2531" s="19" t="s">
        <v>541</v>
      </c>
      <c r="N2531" s="19">
        <v>50</v>
      </c>
      <c r="O2531" s="19">
        <v>100</v>
      </c>
      <c r="P2531" s="19">
        <v>100</v>
      </c>
      <c r="Q2531" s="19">
        <v>50</v>
      </c>
      <c r="R2531" s="19" t="s">
        <v>1075</v>
      </c>
      <c r="S2531" s="19">
        <v>1</v>
      </c>
      <c r="T2531" s="19">
        <v>1</v>
      </c>
      <c r="U2531" s="19">
        <v>50</v>
      </c>
      <c r="AA2531" s="19">
        <v>0</v>
      </c>
    </row>
    <row r="2532" spans="1:27" x14ac:dyDescent="0.25">
      <c r="A2532" s="19" t="s">
        <v>2578</v>
      </c>
      <c r="B2532" s="19" t="s">
        <v>2543</v>
      </c>
      <c r="C2532" s="19" t="s">
        <v>2544</v>
      </c>
      <c r="D2532" s="19">
        <v>2.5</v>
      </c>
      <c r="E2532" s="19" t="s">
        <v>155</v>
      </c>
      <c r="F2532" s="19" t="s">
        <v>156</v>
      </c>
      <c r="G2532" s="19" t="s">
        <v>134</v>
      </c>
      <c r="H2532" s="19" t="s">
        <v>146</v>
      </c>
      <c r="I2532" s="19" t="s">
        <v>147</v>
      </c>
      <c r="J2532" s="19">
        <v>7</v>
      </c>
      <c r="K2532" s="19">
        <v>2.5000000000000001E-2</v>
      </c>
      <c r="L2532" s="19" t="s">
        <v>541</v>
      </c>
      <c r="M2532" s="19" t="s">
        <v>541</v>
      </c>
      <c r="N2532" s="19">
        <v>50</v>
      </c>
      <c r="O2532" s="19">
        <v>100</v>
      </c>
      <c r="P2532" s="19">
        <v>100</v>
      </c>
      <c r="Q2532" s="19">
        <v>50</v>
      </c>
      <c r="R2532" s="19" t="s">
        <v>1075</v>
      </c>
      <c r="S2532" s="19">
        <v>1</v>
      </c>
      <c r="T2532" s="19">
        <v>1</v>
      </c>
      <c r="U2532" s="19">
        <v>50</v>
      </c>
      <c r="AA2532" s="19">
        <v>0</v>
      </c>
    </row>
    <row r="2533" spans="1:27" x14ac:dyDescent="0.25">
      <c r="A2533" s="19" t="s">
        <v>2579</v>
      </c>
      <c r="B2533" s="19" t="s">
        <v>2543</v>
      </c>
      <c r="C2533" s="19" t="s">
        <v>2544</v>
      </c>
      <c r="D2533" s="19">
        <v>2.5</v>
      </c>
      <c r="E2533" s="19" t="s">
        <v>158</v>
      </c>
      <c r="F2533" s="19" t="s">
        <v>159</v>
      </c>
      <c r="G2533" s="19" t="s">
        <v>134</v>
      </c>
      <c r="H2533" s="19" t="s">
        <v>146</v>
      </c>
      <c r="I2533" s="19" t="s">
        <v>147</v>
      </c>
      <c r="J2533" s="19">
        <v>8</v>
      </c>
      <c r="K2533" s="19">
        <v>2.5000000000000001E-2</v>
      </c>
      <c r="L2533" s="19" t="s">
        <v>541</v>
      </c>
      <c r="M2533" s="19" t="s">
        <v>541</v>
      </c>
      <c r="N2533" s="19">
        <v>50</v>
      </c>
      <c r="O2533" s="19">
        <v>100</v>
      </c>
      <c r="P2533" s="19">
        <v>100</v>
      </c>
      <c r="Q2533" s="19">
        <v>50</v>
      </c>
      <c r="R2533" s="19" t="s">
        <v>1075</v>
      </c>
      <c r="S2533" s="19">
        <v>1</v>
      </c>
      <c r="T2533" s="19">
        <v>1</v>
      </c>
      <c r="U2533" s="19">
        <v>50</v>
      </c>
      <c r="AA2533" s="19">
        <v>0</v>
      </c>
    </row>
    <row r="2534" spans="1:27" x14ac:dyDescent="0.25">
      <c r="A2534" s="19" t="s">
        <v>2580</v>
      </c>
      <c r="B2534" s="19" t="s">
        <v>2543</v>
      </c>
      <c r="C2534" s="19" t="s">
        <v>2544</v>
      </c>
      <c r="D2534" s="19">
        <v>3.33</v>
      </c>
      <c r="E2534" s="19" t="s">
        <v>161</v>
      </c>
      <c r="F2534" s="19" t="s">
        <v>162</v>
      </c>
      <c r="G2534" s="19" t="s">
        <v>163</v>
      </c>
      <c r="I2534" s="19" t="s">
        <v>164</v>
      </c>
      <c r="J2534" s="19">
        <v>1</v>
      </c>
      <c r="K2534" s="19">
        <v>3.3300000000000003E-2</v>
      </c>
      <c r="L2534" s="19" t="s">
        <v>35</v>
      </c>
      <c r="M2534" s="19" t="s">
        <v>165</v>
      </c>
      <c r="N2534" s="19">
        <v>100</v>
      </c>
      <c r="O2534" s="19">
        <v>100</v>
      </c>
      <c r="P2534" s="19">
        <v>0</v>
      </c>
      <c r="Q2534" s="19">
        <v>0</v>
      </c>
      <c r="R2534" s="19" t="s">
        <v>1075</v>
      </c>
      <c r="S2534" s="19">
        <v>1</v>
      </c>
      <c r="T2534" s="19">
        <v>1</v>
      </c>
      <c r="U2534" s="19">
        <v>0</v>
      </c>
      <c r="W2534" s="19">
        <v>0</v>
      </c>
      <c r="X2534" s="19">
        <v>100</v>
      </c>
      <c r="Z2534" s="19">
        <v>0</v>
      </c>
      <c r="AA2534" s="19">
        <v>100</v>
      </c>
    </row>
    <row r="2535" spans="1:27" x14ac:dyDescent="0.25">
      <c r="A2535" s="19" t="s">
        <v>2581</v>
      </c>
      <c r="B2535" s="19" t="s">
        <v>2543</v>
      </c>
      <c r="C2535" s="19" t="s">
        <v>2544</v>
      </c>
      <c r="D2535" s="19">
        <v>3.33</v>
      </c>
      <c r="E2535" s="19" t="s">
        <v>167</v>
      </c>
      <c r="F2535" s="19" t="s">
        <v>168</v>
      </c>
      <c r="G2535" s="19" t="s">
        <v>163</v>
      </c>
      <c r="I2535" s="19" t="s">
        <v>164</v>
      </c>
      <c r="J2535" s="19">
        <v>3</v>
      </c>
      <c r="K2535" s="19">
        <v>3.3300000000000003E-2</v>
      </c>
      <c r="L2535" s="19" t="s">
        <v>35</v>
      </c>
      <c r="M2535" s="19" t="s">
        <v>165</v>
      </c>
      <c r="N2535" s="19">
        <v>100</v>
      </c>
      <c r="O2535" s="19">
        <v>100</v>
      </c>
      <c r="P2535" s="19">
        <v>0</v>
      </c>
      <c r="Q2535" s="19">
        <v>0</v>
      </c>
      <c r="R2535" s="19" t="s">
        <v>1075</v>
      </c>
      <c r="S2535" s="19">
        <v>1</v>
      </c>
      <c r="T2535" s="19">
        <v>1</v>
      </c>
      <c r="U2535" s="19">
        <v>0</v>
      </c>
      <c r="W2535" s="19">
        <v>0</v>
      </c>
      <c r="X2535" s="19">
        <v>100</v>
      </c>
      <c r="Z2535" s="19">
        <v>0</v>
      </c>
      <c r="AA2535" s="19">
        <v>100</v>
      </c>
    </row>
    <row r="2536" spans="1:27" x14ac:dyDescent="0.25">
      <c r="A2536" s="19" t="s">
        <v>2582</v>
      </c>
      <c r="B2536" s="19" t="s">
        <v>2543</v>
      </c>
      <c r="C2536" s="19" t="s">
        <v>2544</v>
      </c>
      <c r="D2536" s="19">
        <v>2.9304000000000001</v>
      </c>
      <c r="E2536" s="19" t="s">
        <v>170</v>
      </c>
      <c r="F2536" s="19" t="s">
        <v>171</v>
      </c>
      <c r="G2536" s="19" t="s">
        <v>163</v>
      </c>
      <c r="I2536" s="19" t="s">
        <v>164</v>
      </c>
      <c r="J2536" s="19">
        <v>2</v>
      </c>
      <c r="K2536" s="19">
        <v>3.3300000000000003E-2</v>
      </c>
      <c r="L2536" s="19" t="s">
        <v>35</v>
      </c>
      <c r="M2536" s="19" t="s">
        <v>165</v>
      </c>
      <c r="N2536" s="19">
        <v>88</v>
      </c>
      <c r="O2536" s="19">
        <v>88</v>
      </c>
      <c r="P2536" s="19">
        <v>0</v>
      </c>
      <c r="Q2536" s="19">
        <v>0</v>
      </c>
      <c r="R2536" s="19" t="s">
        <v>1075</v>
      </c>
      <c r="S2536" s="19">
        <v>1</v>
      </c>
      <c r="T2536" s="19">
        <v>1</v>
      </c>
      <c r="U2536" s="19">
        <v>0</v>
      </c>
      <c r="W2536" s="19">
        <v>0</v>
      </c>
      <c r="X2536" s="19">
        <v>88</v>
      </c>
      <c r="Z2536" s="19">
        <v>0</v>
      </c>
      <c r="AA2536" s="19">
        <v>88</v>
      </c>
    </row>
    <row r="2537" spans="1:27" x14ac:dyDescent="0.25">
      <c r="A2537" s="19" t="s">
        <v>1237</v>
      </c>
      <c r="B2537" s="19" t="s">
        <v>1238</v>
      </c>
      <c r="C2537" s="19">
        <v>47045</v>
      </c>
      <c r="D2537" s="19">
        <v>1.6299999999999899</v>
      </c>
      <c r="E2537" s="19" t="s">
        <v>30</v>
      </c>
      <c r="F2537" s="19" t="s">
        <v>31</v>
      </c>
      <c r="G2537" s="19" t="s">
        <v>32</v>
      </c>
      <c r="H2537" s="19" t="s">
        <v>33</v>
      </c>
      <c r="I2537" s="19" t="s">
        <v>34</v>
      </c>
      <c r="J2537" s="19">
        <v>17</v>
      </c>
      <c r="K2537" s="19">
        <v>1.6299999999999999E-2</v>
      </c>
      <c r="L2537" s="19" t="s">
        <v>541</v>
      </c>
      <c r="M2537" s="19" t="s">
        <v>541</v>
      </c>
      <c r="N2537" s="19">
        <v>50</v>
      </c>
      <c r="O2537" s="19">
        <v>100</v>
      </c>
      <c r="P2537" s="19">
        <v>100</v>
      </c>
      <c r="Q2537" s="19">
        <v>50</v>
      </c>
      <c r="R2537" s="19" t="s">
        <v>1075</v>
      </c>
      <c r="S2537" s="19">
        <v>1</v>
      </c>
      <c r="T2537" s="19">
        <v>1</v>
      </c>
      <c r="U2537" s="19">
        <v>50</v>
      </c>
      <c r="AA2537" s="19">
        <v>0</v>
      </c>
    </row>
    <row r="2538" spans="1:27" x14ac:dyDescent="0.25">
      <c r="A2538" s="19" t="s">
        <v>1239</v>
      </c>
      <c r="B2538" s="19" t="s">
        <v>1238</v>
      </c>
      <c r="C2538" s="19">
        <v>47045</v>
      </c>
      <c r="D2538" s="19">
        <v>1.63</v>
      </c>
      <c r="E2538" s="19" t="s">
        <v>38</v>
      </c>
      <c r="F2538" s="19" t="s">
        <v>39</v>
      </c>
      <c r="G2538" s="19" t="s">
        <v>32</v>
      </c>
      <c r="H2538" s="19" t="s">
        <v>33</v>
      </c>
      <c r="I2538" s="19" t="s">
        <v>34</v>
      </c>
      <c r="J2538" s="19">
        <v>19</v>
      </c>
      <c r="K2538" s="19">
        <v>1.6299999999999999E-2</v>
      </c>
      <c r="L2538" s="19" t="s">
        <v>541</v>
      </c>
      <c r="M2538" s="19" t="s">
        <v>541</v>
      </c>
      <c r="N2538" s="19">
        <v>50</v>
      </c>
      <c r="O2538" s="19">
        <v>100</v>
      </c>
      <c r="P2538" s="19">
        <v>100</v>
      </c>
      <c r="Q2538" s="19">
        <v>50</v>
      </c>
      <c r="R2538" s="19" t="s">
        <v>1075</v>
      </c>
      <c r="S2538" s="19">
        <v>1</v>
      </c>
      <c r="T2538" s="19">
        <v>1</v>
      </c>
      <c r="U2538" s="19">
        <v>50</v>
      </c>
      <c r="AA2538" s="19">
        <v>0</v>
      </c>
    </row>
    <row r="2539" spans="1:27" x14ac:dyDescent="0.25">
      <c r="A2539" s="19" t="s">
        <v>1240</v>
      </c>
      <c r="B2539" s="19" t="s">
        <v>1238</v>
      </c>
      <c r="C2539" s="19">
        <v>47045</v>
      </c>
      <c r="D2539" s="19">
        <v>1.63</v>
      </c>
      <c r="E2539" s="19" t="s">
        <v>43</v>
      </c>
      <c r="F2539" s="19" t="s">
        <v>44</v>
      </c>
      <c r="G2539" s="19" t="s">
        <v>32</v>
      </c>
      <c r="H2539" s="19" t="s">
        <v>33</v>
      </c>
      <c r="I2539" s="19" t="s">
        <v>34</v>
      </c>
      <c r="J2539" s="19">
        <v>18</v>
      </c>
      <c r="K2539" s="19">
        <v>1.6299999999999999E-2</v>
      </c>
      <c r="L2539" s="19" t="s">
        <v>541</v>
      </c>
      <c r="M2539" s="19" t="s">
        <v>541</v>
      </c>
      <c r="N2539" s="19">
        <v>50</v>
      </c>
      <c r="O2539" s="19">
        <v>100</v>
      </c>
      <c r="P2539" s="19">
        <v>100</v>
      </c>
      <c r="Q2539" s="19">
        <v>50</v>
      </c>
      <c r="R2539" s="19" t="s">
        <v>1075</v>
      </c>
      <c r="S2539" s="19">
        <v>1</v>
      </c>
      <c r="T2539" s="19">
        <v>1</v>
      </c>
      <c r="U2539" s="19">
        <v>50</v>
      </c>
      <c r="AA2539" s="19">
        <v>0</v>
      </c>
    </row>
    <row r="2540" spans="1:27" x14ac:dyDescent="0.25">
      <c r="A2540" s="19" t="s">
        <v>1241</v>
      </c>
      <c r="B2540" s="19" t="s">
        <v>1238</v>
      </c>
      <c r="C2540" s="19">
        <v>47045</v>
      </c>
      <c r="D2540" s="19">
        <v>1.4916805324459199</v>
      </c>
      <c r="E2540" s="19" t="s">
        <v>46</v>
      </c>
      <c r="F2540" s="19" t="s">
        <v>47</v>
      </c>
      <c r="G2540" s="19" t="s">
        <v>32</v>
      </c>
      <c r="H2540" s="19" t="s">
        <v>33</v>
      </c>
      <c r="I2540" s="19" t="s">
        <v>34</v>
      </c>
      <c r="J2540" s="19">
        <v>15</v>
      </c>
      <c r="K2540" s="19">
        <v>1.6299999999999999E-2</v>
      </c>
      <c r="L2540" s="19" t="s">
        <v>541</v>
      </c>
      <c r="M2540" s="19" t="s">
        <v>541</v>
      </c>
      <c r="N2540" s="19">
        <v>50</v>
      </c>
      <c r="O2540" s="19">
        <v>91.514143094800005</v>
      </c>
      <c r="P2540" s="19">
        <v>83.028286189699998</v>
      </c>
      <c r="Q2540" s="19">
        <v>41.514143094799998</v>
      </c>
      <c r="R2540" s="19" t="s">
        <v>1075</v>
      </c>
      <c r="S2540" s="19">
        <v>1</v>
      </c>
      <c r="T2540" s="19">
        <v>1</v>
      </c>
      <c r="U2540" s="19">
        <v>41.514143094799998</v>
      </c>
      <c r="AA2540" s="19">
        <v>0</v>
      </c>
    </row>
    <row r="2541" spans="1:27" x14ac:dyDescent="0.25">
      <c r="A2541" s="19" t="s">
        <v>1242</v>
      </c>
      <c r="B2541" s="19" t="s">
        <v>1238</v>
      </c>
      <c r="C2541" s="19">
        <v>47045</v>
      </c>
      <c r="D2541" s="19">
        <v>1.63</v>
      </c>
      <c r="E2541" s="19" t="s">
        <v>49</v>
      </c>
      <c r="F2541" s="19" t="s">
        <v>50</v>
      </c>
      <c r="G2541" s="19" t="s">
        <v>32</v>
      </c>
      <c r="H2541" s="19" t="s">
        <v>33</v>
      </c>
      <c r="I2541" s="19" t="s">
        <v>34</v>
      </c>
      <c r="J2541" s="19">
        <v>12</v>
      </c>
      <c r="K2541" s="19">
        <v>1.6299999999999999E-2</v>
      </c>
      <c r="L2541" s="19" t="s">
        <v>541</v>
      </c>
      <c r="M2541" s="19" t="s">
        <v>541</v>
      </c>
      <c r="N2541" s="19">
        <v>50</v>
      </c>
      <c r="O2541" s="19">
        <v>100</v>
      </c>
      <c r="P2541" s="19">
        <v>100</v>
      </c>
      <c r="Q2541" s="19">
        <v>50</v>
      </c>
      <c r="R2541" s="19" t="s">
        <v>1075</v>
      </c>
      <c r="S2541" s="19">
        <v>1</v>
      </c>
      <c r="T2541" s="19">
        <v>1</v>
      </c>
      <c r="U2541" s="19">
        <v>50</v>
      </c>
      <c r="AA2541" s="19">
        <v>0</v>
      </c>
    </row>
    <row r="2542" spans="1:27" x14ac:dyDescent="0.25">
      <c r="A2542" s="19" t="s">
        <v>1243</v>
      </c>
      <c r="B2542" s="19" t="s">
        <v>1238</v>
      </c>
      <c r="C2542" s="19">
        <v>47045</v>
      </c>
      <c r="D2542" s="19">
        <v>1.63</v>
      </c>
      <c r="E2542" s="19" t="s">
        <v>52</v>
      </c>
      <c r="F2542" s="19" t="s">
        <v>53</v>
      </c>
      <c r="G2542" s="19" t="s">
        <v>32</v>
      </c>
      <c r="H2542" s="19" t="s">
        <v>33</v>
      </c>
      <c r="I2542" s="19" t="s">
        <v>34</v>
      </c>
      <c r="J2542" s="19">
        <v>16</v>
      </c>
      <c r="K2542" s="19">
        <v>1.6299999999999999E-2</v>
      </c>
      <c r="L2542" s="19" t="s">
        <v>541</v>
      </c>
      <c r="M2542" s="19" t="s">
        <v>541</v>
      </c>
      <c r="N2542" s="19">
        <v>50</v>
      </c>
      <c r="O2542" s="19">
        <v>100</v>
      </c>
      <c r="P2542" s="19">
        <v>100</v>
      </c>
      <c r="Q2542" s="19">
        <v>50</v>
      </c>
      <c r="R2542" s="19" t="s">
        <v>1075</v>
      </c>
      <c r="S2542" s="19">
        <v>1</v>
      </c>
      <c r="T2542" s="19">
        <v>1</v>
      </c>
      <c r="U2542" s="19">
        <v>50</v>
      </c>
      <c r="AA2542" s="19">
        <v>0</v>
      </c>
    </row>
    <row r="2543" spans="1:27" x14ac:dyDescent="0.25">
      <c r="A2543" s="19" t="s">
        <v>1244</v>
      </c>
      <c r="B2543" s="19" t="s">
        <v>1238</v>
      </c>
      <c r="C2543" s="19">
        <v>47045</v>
      </c>
      <c r="D2543" s="19">
        <v>1.59135191347753</v>
      </c>
      <c r="E2543" s="19" t="s">
        <v>55</v>
      </c>
      <c r="F2543" s="19" t="s">
        <v>56</v>
      </c>
      <c r="G2543" s="19" t="s">
        <v>32</v>
      </c>
      <c r="H2543" s="19" t="s">
        <v>33</v>
      </c>
      <c r="I2543" s="19" t="s">
        <v>34</v>
      </c>
      <c r="J2543" s="19">
        <v>14</v>
      </c>
      <c r="K2543" s="19">
        <v>1.6299999999999999E-2</v>
      </c>
      <c r="L2543" s="19" t="s">
        <v>541</v>
      </c>
      <c r="M2543" s="19" t="s">
        <v>541</v>
      </c>
      <c r="N2543" s="19">
        <v>50</v>
      </c>
      <c r="O2543" s="19">
        <v>97.628951747100004</v>
      </c>
      <c r="P2543" s="19">
        <v>95.257903494199994</v>
      </c>
      <c r="Q2543" s="19">
        <v>47.628951747099997</v>
      </c>
      <c r="R2543" s="19" t="s">
        <v>1075</v>
      </c>
      <c r="S2543" s="19">
        <v>1</v>
      </c>
      <c r="T2543" s="19">
        <v>1</v>
      </c>
      <c r="U2543" s="19">
        <v>47.628951747099997</v>
      </c>
      <c r="AA2543" s="19">
        <v>0</v>
      </c>
    </row>
    <row r="2544" spans="1:27" x14ac:dyDescent="0.25">
      <c r="A2544" s="19" t="s">
        <v>1245</v>
      </c>
      <c r="B2544" s="19" t="s">
        <v>1238</v>
      </c>
      <c r="C2544" s="19">
        <v>47045</v>
      </c>
      <c r="D2544" s="19">
        <v>1.63</v>
      </c>
      <c r="E2544" s="19" t="s">
        <v>58</v>
      </c>
      <c r="F2544" s="19" t="s">
        <v>59</v>
      </c>
      <c r="G2544" s="19" t="s">
        <v>32</v>
      </c>
      <c r="H2544" s="19" t="s">
        <v>33</v>
      </c>
      <c r="I2544" s="19" t="s">
        <v>34</v>
      </c>
      <c r="J2544" s="19">
        <v>13</v>
      </c>
      <c r="K2544" s="19">
        <v>1.6299999999999999E-2</v>
      </c>
      <c r="L2544" s="19" t="s">
        <v>541</v>
      </c>
      <c r="M2544" s="19" t="s">
        <v>541</v>
      </c>
      <c r="N2544" s="19">
        <v>50</v>
      </c>
      <c r="O2544" s="19">
        <v>100</v>
      </c>
      <c r="P2544" s="19">
        <v>100</v>
      </c>
      <c r="Q2544" s="19">
        <v>50</v>
      </c>
      <c r="R2544" s="19" t="s">
        <v>1075</v>
      </c>
      <c r="S2544" s="19">
        <v>1</v>
      </c>
      <c r="T2544" s="19">
        <v>1</v>
      </c>
      <c r="U2544" s="19">
        <v>50</v>
      </c>
      <c r="AA2544" s="19">
        <v>0</v>
      </c>
    </row>
    <row r="2545" spans="1:27" x14ac:dyDescent="0.25">
      <c r="A2545" s="19" t="s">
        <v>1246</v>
      </c>
      <c r="B2545" s="19" t="s">
        <v>1238</v>
      </c>
      <c r="C2545" s="19">
        <v>47045</v>
      </c>
      <c r="D2545" s="19">
        <v>1.8599999999999901</v>
      </c>
      <c r="E2545" s="19" t="s">
        <v>61</v>
      </c>
      <c r="F2545" s="19" t="s">
        <v>62</v>
      </c>
      <c r="G2545" s="19" t="s">
        <v>32</v>
      </c>
      <c r="H2545" s="19" t="s">
        <v>63</v>
      </c>
      <c r="I2545" s="19" t="s">
        <v>64</v>
      </c>
      <c r="J2545" s="19">
        <v>22</v>
      </c>
      <c r="K2545" s="19">
        <v>1.8599999999999998E-2</v>
      </c>
      <c r="L2545" s="19" t="s">
        <v>541</v>
      </c>
      <c r="M2545" s="19" t="s">
        <v>541</v>
      </c>
      <c r="N2545" s="19">
        <v>50</v>
      </c>
      <c r="O2545" s="19">
        <v>100</v>
      </c>
      <c r="P2545" s="19">
        <v>100</v>
      </c>
      <c r="Q2545" s="19">
        <v>50</v>
      </c>
      <c r="R2545" s="19" t="s">
        <v>1075</v>
      </c>
      <c r="S2545" s="19">
        <v>1</v>
      </c>
      <c r="T2545" s="19">
        <v>1</v>
      </c>
      <c r="U2545" s="19">
        <v>50</v>
      </c>
      <c r="AA2545" s="19">
        <v>0</v>
      </c>
    </row>
    <row r="2546" spans="1:27" x14ac:dyDescent="0.25">
      <c r="A2546" s="19" t="s">
        <v>1247</v>
      </c>
      <c r="B2546" s="19" t="s">
        <v>1238</v>
      </c>
      <c r="C2546" s="19">
        <v>47045</v>
      </c>
      <c r="D2546" s="19">
        <v>1.8599999999999901</v>
      </c>
      <c r="E2546" s="19" t="s">
        <v>66</v>
      </c>
      <c r="F2546" s="19" t="s">
        <v>67</v>
      </c>
      <c r="G2546" s="19" t="s">
        <v>32</v>
      </c>
      <c r="H2546" s="19" t="s">
        <v>63</v>
      </c>
      <c r="I2546" s="19" t="s">
        <v>64</v>
      </c>
      <c r="J2546" s="19">
        <v>20</v>
      </c>
      <c r="K2546" s="19">
        <v>1.8599999999999998E-2</v>
      </c>
      <c r="L2546" s="19" t="s">
        <v>541</v>
      </c>
      <c r="M2546" s="19" t="s">
        <v>541</v>
      </c>
      <c r="N2546" s="19">
        <v>50</v>
      </c>
      <c r="O2546" s="19">
        <v>100</v>
      </c>
      <c r="P2546" s="19">
        <v>100</v>
      </c>
      <c r="Q2546" s="19">
        <v>50</v>
      </c>
      <c r="R2546" s="19" t="s">
        <v>1075</v>
      </c>
      <c r="S2546" s="19">
        <v>1</v>
      </c>
      <c r="T2546" s="19">
        <v>1</v>
      </c>
      <c r="U2546" s="19">
        <v>50</v>
      </c>
      <c r="AA2546" s="19">
        <v>0</v>
      </c>
    </row>
    <row r="2547" spans="1:27" x14ac:dyDescent="0.25">
      <c r="A2547" s="19" t="s">
        <v>1248</v>
      </c>
      <c r="B2547" s="19" t="s">
        <v>1238</v>
      </c>
      <c r="C2547" s="19">
        <v>47045</v>
      </c>
      <c r="D2547" s="19">
        <v>1.8599999999999901</v>
      </c>
      <c r="E2547" s="19" t="s">
        <v>69</v>
      </c>
      <c r="F2547" s="19" t="s">
        <v>70</v>
      </c>
      <c r="G2547" s="19" t="s">
        <v>32</v>
      </c>
      <c r="H2547" s="19" t="s">
        <v>63</v>
      </c>
      <c r="I2547" s="19" t="s">
        <v>64</v>
      </c>
      <c r="J2547" s="19">
        <v>23</v>
      </c>
      <c r="K2547" s="19">
        <v>1.8599999999999998E-2</v>
      </c>
      <c r="L2547" s="19" t="s">
        <v>541</v>
      </c>
      <c r="M2547" s="19" t="s">
        <v>541</v>
      </c>
      <c r="N2547" s="19">
        <v>50</v>
      </c>
      <c r="O2547" s="19">
        <v>100</v>
      </c>
      <c r="P2547" s="19">
        <v>100</v>
      </c>
      <c r="Q2547" s="19">
        <v>50</v>
      </c>
      <c r="R2547" s="19" t="s">
        <v>1075</v>
      </c>
      <c r="S2547" s="19">
        <v>1</v>
      </c>
      <c r="T2547" s="19">
        <v>1</v>
      </c>
      <c r="U2547" s="19">
        <v>50</v>
      </c>
      <c r="AA2547" s="19">
        <v>0</v>
      </c>
    </row>
    <row r="2548" spans="1:27" x14ac:dyDescent="0.25">
      <c r="A2548" s="19" t="s">
        <v>1249</v>
      </c>
      <c r="B2548" s="19" t="s">
        <v>1238</v>
      </c>
      <c r="C2548" s="19">
        <v>47045</v>
      </c>
      <c r="D2548" s="19">
        <v>1.8599999999999901</v>
      </c>
      <c r="E2548" s="19" t="s">
        <v>72</v>
      </c>
      <c r="F2548" s="19" t="s">
        <v>73</v>
      </c>
      <c r="G2548" s="19" t="s">
        <v>32</v>
      </c>
      <c r="H2548" s="19" t="s">
        <v>63</v>
      </c>
      <c r="I2548" s="19" t="s">
        <v>64</v>
      </c>
      <c r="J2548" s="19">
        <v>21</v>
      </c>
      <c r="K2548" s="19">
        <v>1.8599999999999998E-2</v>
      </c>
      <c r="L2548" s="19" t="s">
        <v>541</v>
      </c>
      <c r="M2548" s="19" t="s">
        <v>541</v>
      </c>
      <c r="N2548" s="19">
        <v>50</v>
      </c>
      <c r="O2548" s="19">
        <v>100</v>
      </c>
      <c r="P2548" s="19">
        <v>100</v>
      </c>
      <c r="Q2548" s="19">
        <v>50</v>
      </c>
      <c r="R2548" s="19" t="s">
        <v>1075</v>
      </c>
      <c r="S2548" s="19">
        <v>1</v>
      </c>
      <c r="T2548" s="19">
        <v>1</v>
      </c>
      <c r="U2548" s="19">
        <v>50</v>
      </c>
      <c r="AA2548" s="19">
        <v>0</v>
      </c>
    </row>
    <row r="2549" spans="1:27" x14ac:dyDescent="0.25">
      <c r="A2549" s="19" t="s">
        <v>1250</v>
      </c>
      <c r="B2549" s="19" t="s">
        <v>1238</v>
      </c>
      <c r="C2549" s="19">
        <v>47045</v>
      </c>
      <c r="D2549" s="19">
        <v>1.8599999999999901</v>
      </c>
      <c r="E2549" s="19" t="s">
        <v>75</v>
      </c>
      <c r="F2549" s="19" t="s">
        <v>76</v>
      </c>
      <c r="G2549" s="19" t="s">
        <v>32</v>
      </c>
      <c r="H2549" s="19" t="s">
        <v>63</v>
      </c>
      <c r="I2549" s="19" t="s">
        <v>64</v>
      </c>
      <c r="J2549" s="19">
        <v>24</v>
      </c>
      <c r="K2549" s="19">
        <v>1.8599999999999998E-2</v>
      </c>
      <c r="L2549" s="19" t="s">
        <v>541</v>
      </c>
      <c r="M2549" s="19" t="s">
        <v>541</v>
      </c>
      <c r="N2549" s="19">
        <v>50</v>
      </c>
      <c r="O2549" s="19">
        <v>100</v>
      </c>
      <c r="P2549" s="19">
        <v>100</v>
      </c>
      <c r="Q2549" s="19">
        <v>50</v>
      </c>
      <c r="R2549" s="19" t="s">
        <v>1075</v>
      </c>
      <c r="S2549" s="19">
        <v>1</v>
      </c>
      <c r="T2549" s="19">
        <v>1</v>
      </c>
      <c r="U2549" s="19">
        <v>50</v>
      </c>
      <c r="AA2549" s="19">
        <v>0</v>
      </c>
    </row>
    <row r="2550" spans="1:27" x14ac:dyDescent="0.25">
      <c r="A2550" s="19" t="s">
        <v>1252</v>
      </c>
      <c r="B2550" s="19" t="s">
        <v>1238</v>
      </c>
      <c r="C2550" s="19">
        <v>47045</v>
      </c>
      <c r="D2550" s="19">
        <v>1.8599999999999901</v>
      </c>
      <c r="E2550" s="19" t="s">
        <v>82</v>
      </c>
      <c r="F2550" s="19" t="s">
        <v>83</v>
      </c>
      <c r="G2550" s="19" t="s">
        <v>32</v>
      </c>
      <c r="H2550" s="19" t="s">
        <v>63</v>
      </c>
      <c r="I2550" s="19" t="s">
        <v>64</v>
      </c>
      <c r="J2550" s="19">
        <v>26</v>
      </c>
      <c r="K2550" s="19">
        <v>1.8599999999999998E-2</v>
      </c>
      <c r="L2550" s="19" t="s">
        <v>541</v>
      </c>
      <c r="M2550" s="19" t="s">
        <v>541</v>
      </c>
      <c r="N2550" s="19">
        <v>50</v>
      </c>
      <c r="O2550" s="19">
        <v>100</v>
      </c>
      <c r="P2550" s="19">
        <v>100</v>
      </c>
      <c r="Q2550" s="19">
        <v>50</v>
      </c>
      <c r="R2550" s="19" t="s">
        <v>1075</v>
      </c>
      <c r="S2550" s="19">
        <v>1</v>
      </c>
      <c r="T2550" s="19">
        <v>1</v>
      </c>
      <c r="U2550" s="19">
        <v>50</v>
      </c>
      <c r="AA2550" s="19">
        <v>0</v>
      </c>
    </row>
    <row r="2551" spans="1:27" x14ac:dyDescent="0.25">
      <c r="A2551" s="19" t="s">
        <v>1253</v>
      </c>
      <c r="B2551" s="19" t="s">
        <v>1238</v>
      </c>
      <c r="C2551" s="19">
        <v>47045</v>
      </c>
      <c r="D2551" s="19">
        <v>3.24459234608985</v>
      </c>
      <c r="E2551" s="19" t="s">
        <v>85</v>
      </c>
      <c r="F2551" s="19" t="s">
        <v>86</v>
      </c>
      <c r="G2551" s="19" t="s">
        <v>32</v>
      </c>
      <c r="H2551" s="19" t="s">
        <v>87</v>
      </c>
      <c r="I2551" s="19" t="s">
        <v>88</v>
      </c>
      <c r="J2551" s="19">
        <v>35</v>
      </c>
      <c r="K2551" s="19">
        <v>3.2500000000000001E-2</v>
      </c>
      <c r="L2551" s="19" t="s">
        <v>541</v>
      </c>
      <c r="M2551" s="19" t="s">
        <v>541</v>
      </c>
      <c r="N2551" s="19">
        <v>50</v>
      </c>
      <c r="O2551" s="19">
        <v>99.833610648900006</v>
      </c>
      <c r="P2551" s="19">
        <v>99.667221297799998</v>
      </c>
      <c r="Q2551" s="19">
        <v>49.833610648899999</v>
      </c>
      <c r="R2551" s="19" t="s">
        <v>1075</v>
      </c>
      <c r="S2551" s="19">
        <v>1</v>
      </c>
      <c r="T2551" s="19">
        <v>1</v>
      </c>
      <c r="U2551" s="19">
        <v>49.833610648899999</v>
      </c>
      <c r="AA2551" s="19">
        <v>0</v>
      </c>
    </row>
    <row r="2552" spans="1:27" x14ac:dyDescent="0.25">
      <c r="A2552" s="19" t="s">
        <v>1254</v>
      </c>
      <c r="B2552" s="19" t="s">
        <v>1238</v>
      </c>
      <c r="C2552" s="19">
        <v>47045</v>
      </c>
      <c r="D2552" s="19">
        <v>3.2472961730449201</v>
      </c>
      <c r="E2552" s="19" t="s">
        <v>93</v>
      </c>
      <c r="F2552" s="19" t="s">
        <v>94</v>
      </c>
      <c r="G2552" s="19" t="s">
        <v>32</v>
      </c>
      <c r="H2552" s="19" t="s">
        <v>87</v>
      </c>
      <c r="I2552" s="19" t="s">
        <v>88</v>
      </c>
      <c r="J2552" s="19">
        <v>34</v>
      </c>
      <c r="K2552" s="19">
        <v>3.2500000000000001E-2</v>
      </c>
      <c r="L2552" s="19" t="s">
        <v>541</v>
      </c>
      <c r="M2552" s="19" t="s">
        <v>541</v>
      </c>
      <c r="N2552" s="19">
        <v>50</v>
      </c>
      <c r="O2552" s="19">
        <v>99.916805324500004</v>
      </c>
      <c r="P2552" s="19">
        <v>99.833610648900006</v>
      </c>
      <c r="Q2552" s="19">
        <v>49.916805324499997</v>
      </c>
      <c r="R2552" s="19" t="s">
        <v>1075</v>
      </c>
      <c r="S2552" s="19">
        <v>1</v>
      </c>
      <c r="T2552" s="19">
        <v>1</v>
      </c>
      <c r="U2552" s="19">
        <v>49.916805324499997</v>
      </c>
      <c r="AA2552" s="19">
        <v>0</v>
      </c>
    </row>
    <row r="2553" spans="1:27" x14ac:dyDescent="0.25">
      <c r="A2553" s="19" t="s">
        <v>1255</v>
      </c>
      <c r="B2553" s="19" t="s">
        <v>1238</v>
      </c>
      <c r="C2553" s="19">
        <v>47045</v>
      </c>
      <c r="D2553" s="19">
        <v>4.2831697171381</v>
      </c>
      <c r="E2553" s="19" t="s">
        <v>99</v>
      </c>
      <c r="F2553" s="19" t="s">
        <v>100</v>
      </c>
      <c r="G2553" s="19" t="s">
        <v>32</v>
      </c>
      <c r="H2553" s="19" t="s">
        <v>101</v>
      </c>
      <c r="I2553" s="19" t="s">
        <v>102</v>
      </c>
      <c r="J2553" s="19">
        <v>39</v>
      </c>
      <c r="K2553" s="19">
        <v>4.3299999999999998E-2</v>
      </c>
      <c r="L2553" s="19" t="s">
        <v>541</v>
      </c>
      <c r="M2553" s="19" t="s">
        <v>541</v>
      </c>
      <c r="N2553" s="19">
        <v>50</v>
      </c>
      <c r="O2553" s="19">
        <v>98.918469217999998</v>
      </c>
      <c r="P2553" s="19">
        <v>97.836938435899995</v>
      </c>
      <c r="Q2553" s="19">
        <v>48.918469217999998</v>
      </c>
      <c r="R2553" s="19" t="s">
        <v>1075</v>
      </c>
      <c r="S2553" s="19">
        <v>1</v>
      </c>
      <c r="T2553" s="19">
        <v>1</v>
      </c>
      <c r="U2553" s="19">
        <v>48.918469217999998</v>
      </c>
      <c r="AA2553" s="19">
        <v>0</v>
      </c>
    </row>
    <row r="2554" spans="1:27" x14ac:dyDescent="0.25">
      <c r="A2554" s="19" t="s">
        <v>1256</v>
      </c>
      <c r="B2554" s="19" t="s">
        <v>1238</v>
      </c>
      <c r="C2554" s="19">
        <v>47045</v>
      </c>
      <c r="D2554" s="19">
        <v>4.2165266222961701</v>
      </c>
      <c r="E2554" s="19" t="s">
        <v>108</v>
      </c>
      <c r="F2554" s="19" t="s">
        <v>109</v>
      </c>
      <c r="G2554" s="19" t="s">
        <v>32</v>
      </c>
      <c r="H2554" s="19" t="s">
        <v>101</v>
      </c>
      <c r="I2554" s="19" t="s">
        <v>102</v>
      </c>
      <c r="J2554" s="19">
        <v>37</v>
      </c>
      <c r="K2554" s="19">
        <v>4.3299999999999998E-2</v>
      </c>
      <c r="L2554" s="19" t="s">
        <v>541</v>
      </c>
      <c r="M2554" s="19" t="s">
        <v>541</v>
      </c>
      <c r="N2554" s="19">
        <v>50</v>
      </c>
      <c r="O2554" s="19">
        <v>97.379367720499999</v>
      </c>
      <c r="P2554" s="19">
        <v>94.758735440899997</v>
      </c>
      <c r="Q2554" s="19">
        <v>47.379367720499999</v>
      </c>
      <c r="R2554" s="19" t="s">
        <v>1075</v>
      </c>
      <c r="S2554" s="19">
        <v>1</v>
      </c>
      <c r="T2554" s="19">
        <v>1</v>
      </c>
      <c r="U2554" s="19">
        <v>47.379367720499999</v>
      </c>
      <c r="AA2554" s="19">
        <v>0</v>
      </c>
    </row>
    <row r="2555" spans="1:27" x14ac:dyDescent="0.25">
      <c r="A2555" s="19" t="s">
        <v>1257</v>
      </c>
      <c r="B2555" s="19" t="s">
        <v>1238</v>
      </c>
      <c r="C2555" s="19">
        <v>47045</v>
      </c>
      <c r="D2555" s="19">
        <v>2.1230615640599</v>
      </c>
      <c r="E2555" s="19" t="s">
        <v>112</v>
      </c>
      <c r="F2555" s="19" t="s">
        <v>113</v>
      </c>
      <c r="G2555" s="19" t="s">
        <v>32</v>
      </c>
      <c r="H2555" s="19" t="s">
        <v>114</v>
      </c>
      <c r="I2555" s="19" t="s">
        <v>115</v>
      </c>
      <c r="J2555" s="19">
        <v>30</v>
      </c>
      <c r="K2555" s="19">
        <v>2.1700000000000001E-2</v>
      </c>
      <c r="L2555" s="19" t="s">
        <v>541</v>
      </c>
      <c r="M2555" s="19" t="s">
        <v>541</v>
      </c>
      <c r="N2555" s="19">
        <v>50</v>
      </c>
      <c r="O2555" s="19">
        <v>97.836938435899995</v>
      </c>
      <c r="P2555" s="19">
        <v>95.673876871900006</v>
      </c>
      <c r="Q2555" s="19">
        <v>47.836938435900002</v>
      </c>
      <c r="R2555" s="19" t="s">
        <v>1075</v>
      </c>
      <c r="S2555" s="19">
        <v>1</v>
      </c>
      <c r="T2555" s="19">
        <v>1</v>
      </c>
      <c r="U2555" s="19">
        <v>47.836938435900002</v>
      </c>
      <c r="AA2555" s="19">
        <v>0</v>
      </c>
    </row>
    <row r="2556" spans="1:27" x14ac:dyDescent="0.25">
      <c r="A2556" s="19" t="s">
        <v>1258</v>
      </c>
      <c r="B2556" s="19" t="s">
        <v>1238</v>
      </c>
      <c r="C2556" s="19">
        <v>47045</v>
      </c>
      <c r="D2556" s="19">
        <v>2.1230615640599</v>
      </c>
      <c r="E2556" s="19" t="s">
        <v>117</v>
      </c>
      <c r="F2556" s="19" t="s">
        <v>118</v>
      </c>
      <c r="G2556" s="19" t="s">
        <v>32</v>
      </c>
      <c r="H2556" s="19" t="s">
        <v>114</v>
      </c>
      <c r="I2556" s="19" t="s">
        <v>115</v>
      </c>
      <c r="J2556" s="19">
        <v>31</v>
      </c>
      <c r="K2556" s="19">
        <v>2.1700000000000001E-2</v>
      </c>
      <c r="L2556" s="19" t="s">
        <v>541</v>
      </c>
      <c r="M2556" s="19" t="s">
        <v>541</v>
      </c>
      <c r="N2556" s="19">
        <v>50</v>
      </c>
      <c r="O2556" s="19">
        <v>97.836938435899995</v>
      </c>
      <c r="P2556" s="19">
        <v>95.673876871900006</v>
      </c>
      <c r="Q2556" s="19">
        <v>47.836938435900002</v>
      </c>
      <c r="R2556" s="19" t="s">
        <v>1075</v>
      </c>
      <c r="S2556" s="19">
        <v>1</v>
      </c>
      <c r="T2556" s="19">
        <v>1</v>
      </c>
      <c r="U2556" s="19">
        <v>47.836938435900002</v>
      </c>
      <c r="AA2556" s="19">
        <v>0</v>
      </c>
    </row>
    <row r="2557" spans="1:27" x14ac:dyDescent="0.25">
      <c r="A2557" s="19" t="s">
        <v>1259</v>
      </c>
      <c r="B2557" s="19" t="s">
        <v>1238</v>
      </c>
      <c r="C2557" s="19">
        <v>47045</v>
      </c>
      <c r="D2557" s="19">
        <v>2.1274509803921502</v>
      </c>
      <c r="E2557" s="19" t="s">
        <v>120</v>
      </c>
      <c r="F2557" s="19" t="s">
        <v>121</v>
      </c>
      <c r="G2557" s="19" t="s">
        <v>32</v>
      </c>
      <c r="H2557" s="19" t="s">
        <v>114</v>
      </c>
      <c r="I2557" s="19" t="s">
        <v>115</v>
      </c>
      <c r="J2557" s="19">
        <v>28</v>
      </c>
      <c r="K2557" s="19">
        <v>2.1700000000000001E-2</v>
      </c>
      <c r="L2557" s="19" t="s">
        <v>541</v>
      </c>
      <c r="M2557" s="19" t="s">
        <v>541</v>
      </c>
      <c r="N2557" s="19">
        <v>50</v>
      </c>
      <c r="O2557" s="19">
        <v>98.039215686299997</v>
      </c>
      <c r="P2557" s="19">
        <v>96.078431372500006</v>
      </c>
      <c r="Q2557" s="19">
        <v>48.039215686299997</v>
      </c>
      <c r="R2557" s="19" t="s">
        <v>1075</v>
      </c>
      <c r="S2557" s="19">
        <v>1</v>
      </c>
      <c r="T2557" s="19">
        <v>1</v>
      </c>
      <c r="U2557" s="19">
        <v>48.039215686299997</v>
      </c>
      <c r="AA2557" s="19">
        <v>0</v>
      </c>
    </row>
    <row r="2558" spans="1:27" x14ac:dyDescent="0.25">
      <c r="A2558" s="19" t="s">
        <v>1260</v>
      </c>
      <c r="B2558" s="19" t="s">
        <v>1238</v>
      </c>
      <c r="C2558" s="19">
        <v>47045</v>
      </c>
      <c r="D2558" s="19">
        <v>1.9912728785357701</v>
      </c>
      <c r="E2558" s="19" t="s">
        <v>123</v>
      </c>
      <c r="F2558" s="19" t="s">
        <v>124</v>
      </c>
      <c r="G2558" s="19" t="s">
        <v>32</v>
      </c>
      <c r="H2558" s="19" t="s">
        <v>114</v>
      </c>
      <c r="I2558" s="19" t="s">
        <v>115</v>
      </c>
      <c r="J2558" s="19">
        <v>27</v>
      </c>
      <c r="K2558" s="19">
        <v>2.1700000000000001E-2</v>
      </c>
      <c r="L2558" s="19" t="s">
        <v>541</v>
      </c>
      <c r="M2558" s="19" t="s">
        <v>541</v>
      </c>
      <c r="N2558" s="19">
        <v>50</v>
      </c>
      <c r="O2558" s="19">
        <v>91.763727121499997</v>
      </c>
      <c r="P2558" s="19">
        <v>83.527454242900006</v>
      </c>
      <c r="Q2558" s="19">
        <v>41.763727121499997</v>
      </c>
      <c r="R2558" s="19" t="s">
        <v>1075</v>
      </c>
      <c r="S2558" s="19">
        <v>1</v>
      </c>
      <c r="T2558" s="19">
        <v>1</v>
      </c>
      <c r="U2558" s="19">
        <v>41.763727121499997</v>
      </c>
      <c r="AA2558" s="19">
        <v>0</v>
      </c>
    </row>
    <row r="2559" spans="1:27" x14ac:dyDescent="0.25">
      <c r="A2559" s="19" t="s">
        <v>1261</v>
      </c>
      <c r="B2559" s="19" t="s">
        <v>1238</v>
      </c>
      <c r="C2559" s="19">
        <v>47045</v>
      </c>
      <c r="D2559" s="19">
        <v>2.1230615640599</v>
      </c>
      <c r="E2559" s="19" t="s">
        <v>126</v>
      </c>
      <c r="F2559" s="19" t="s">
        <v>127</v>
      </c>
      <c r="G2559" s="19" t="s">
        <v>32</v>
      </c>
      <c r="H2559" s="19" t="s">
        <v>114</v>
      </c>
      <c r="I2559" s="19" t="s">
        <v>115</v>
      </c>
      <c r="J2559" s="19">
        <v>29</v>
      </c>
      <c r="K2559" s="19">
        <v>2.1700000000000001E-2</v>
      </c>
      <c r="L2559" s="19" t="s">
        <v>541</v>
      </c>
      <c r="M2559" s="19" t="s">
        <v>541</v>
      </c>
      <c r="N2559" s="19">
        <v>50</v>
      </c>
      <c r="O2559" s="19">
        <v>97.836938435899995</v>
      </c>
      <c r="P2559" s="19">
        <v>95.673876871900006</v>
      </c>
      <c r="Q2559" s="19">
        <v>47.836938435900002</v>
      </c>
      <c r="R2559" s="19" t="s">
        <v>1075</v>
      </c>
      <c r="S2559" s="19">
        <v>1</v>
      </c>
      <c r="T2559" s="19">
        <v>1</v>
      </c>
      <c r="U2559" s="19">
        <v>47.836938435900002</v>
      </c>
      <c r="AA2559" s="19">
        <v>0</v>
      </c>
    </row>
    <row r="2560" spans="1:27" x14ac:dyDescent="0.25">
      <c r="A2560" s="19" t="s">
        <v>1262</v>
      </c>
      <c r="B2560" s="19" t="s">
        <v>1238</v>
      </c>
      <c r="C2560" s="19">
        <v>47045</v>
      </c>
      <c r="D2560" s="19">
        <v>4.17</v>
      </c>
      <c r="E2560" s="19" t="s">
        <v>132</v>
      </c>
      <c r="F2560" s="19" t="s">
        <v>133</v>
      </c>
      <c r="G2560" s="19" t="s">
        <v>134</v>
      </c>
      <c r="H2560" s="19" t="s">
        <v>87</v>
      </c>
      <c r="I2560" s="19" t="s">
        <v>135</v>
      </c>
      <c r="J2560" s="19">
        <v>11</v>
      </c>
      <c r="K2560" s="19">
        <v>4.1700000000000001E-2</v>
      </c>
      <c r="L2560" s="19" t="s">
        <v>541</v>
      </c>
      <c r="M2560" s="19" t="s">
        <v>541</v>
      </c>
      <c r="N2560" s="19">
        <v>50</v>
      </c>
      <c r="O2560" s="19">
        <v>100</v>
      </c>
      <c r="P2560" s="19">
        <v>100</v>
      </c>
      <c r="Q2560" s="19">
        <v>50</v>
      </c>
      <c r="R2560" s="19" t="s">
        <v>1075</v>
      </c>
      <c r="S2560" s="19">
        <v>1</v>
      </c>
      <c r="T2560" s="19">
        <v>1</v>
      </c>
      <c r="U2560" s="19">
        <v>50</v>
      </c>
      <c r="AA2560" s="19">
        <v>0</v>
      </c>
    </row>
    <row r="2561" spans="1:27" x14ac:dyDescent="0.25">
      <c r="A2561" s="19" t="s">
        <v>1263</v>
      </c>
      <c r="B2561" s="19" t="s">
        <v>1238</v>
      </c>
      <c r="C2561" s="19">
        <v>47045</v>
      </c>
      <c r="D2561" s="19">
        <v>2.5</v>
      </c>
      <c r="E2561" s="19" t="s">
        <v>144</v>
      </c>
      <c r="F2561" s="19" t="s">
        <v>145</v>
      </c>
      <c r="G2561" s="19" t="s">
        <v>134</v>
      </c>
      <c r="H2561" s="19" t="s">
        <v>146</v>
      </c>
      <c r="I2561" s="19" t="s">
        <v>147</v>
      </c>
      <c r="J2561" s="19">
        <v>4</v>
      </c>
      <c r="K2561" s="19">
        <v>2.5000000000000001E-2</v>
      </c>
      <c r="L2561" s="19" t="s">
        <v>541</v>
      </c>
      <c r="M2561" s="19" t="s">
        <v>541</v>
      </c>
      <c r="N2561" s="19">
        <v>50</v>
      </c>
      <c r="O2561" s="19">
        <v>100</v>
      </c>
      <c r="P2561" s="19">
        <v>100</v>
      </c>
      <c r="Q2561" s="19">
        <v>50</v>
      </c>
      <c r="R2561" s="19" t="s">
        <v>1075</v>
      </c>
      <c r="S2561" s="19">
        <v>1</v>
      </c>
      <c r="T2561" s="19">
        <v>1</v>
      </c>
      <c r="U2561" s="19">
        <v>50</v>
      </c>
      <c r="AA2561" s="19">
        <v>0</v>
      </c>
    </row>
    <row r="2562" spans="1:27" x14ac:dyDescent="0.25">
      <c r="A2562" s="19" t="s">
        <v>1265</v>
      </c>
      <c r="B2562" s="19" t="s">
        <v>1238</v>
      </c>
      <c r="C2562" s="19">
        <v>47045</v>
      </c>
      <c r="D2562" s="19">
        <v>2.5</v>
      </c>
      <c r="E2562" s="19" t="s">
        <v>152</v>
      </c>
      <c r="F2562" s="19" t="s">
        <v>153</v>
      </c>
      <c r="G2562" s="19" t="s">
        <v>134</v>
      </c>
      <c r="H2562" s="19" t="s">
        <v>146</v>
      </c>
      <c r="I2562" s="19" t="s">
        <v>147</v>
      </c>
      <c r="J2562" s="19">
        <v>6</v>
      </c>
      <c r="K2562" s="19">
        <v>2.5000000000000001E-2</v>
      </c>
      <c r="L2562" s="19" t="s">
        <v>541</v>
      </c>
      <c r="M2562" s="19" t="s">
        <v>541</v>
      </c>
      <c r="N2562" s="19">
        <v>50</v>
      </c>
      <c r="O2562" s="19">
        <v>100</v>
      </c>
      <c r="P2562" s="19">
        <v>100</v>
      </c>
      <c r="Q2562" s="19">
        <v>50</v>
      </c>
      <c r="R2562" s="19" t="s">
        <v>1075</v>
      </c>
      <c r="S2562" s="19">
        <v>1</v>
      </c>
      <c r="T2562" s="19">
        <v>1</v>
      </c>
      <c r="U2562" s="19">
        <v>50</v>
      </c>
      <c r="AA2562" s="19">
        <v>0</v>
      </c>
    </row>
    <row r="2563" spans="1:27" x14ac:dyDescent="0.25">
      <c r="A2563" s="19" t="s">
        <v>1266</v>
      </c>
      <c r="B2563" s="19" t="s">
        <v>1238</v>
      </c>
      <c r="C2563" s="19">
        <v>47045</v>
      </c>
      <c r="D2563" s="19">
        <v>2.5</v>
      </c>
      <c r="E2563" s="19" t="s">
        <v>155</v>
      </c>
      <c r="F2563" s="19" t="s">
        <v>156</v>
      </c>
      <c r="G2563" s="19" t="s">
        <v>134</v>
      </c>
      <c r="H2563" s="19" t="s">
        <v>146</v>
      </c>
      <c r="I2563" s="19" t="s">
        <v>147</v>
      </c>
      <c r="J2563" s="19">
        <v>7</v>
      </c>
      <c r="K2563" s="19">
        <v>2.5000000000000001E-2</v>
      </c>
      <c r="L2563" s="19" t="s">
        <v>541</v>
      </c>
      <c r="M2563" s="19" t="s">
        <v>541</v>
      </c>
      <c r="N2563" s="19">
        <v>50</v>
      </c>
      <c r="O2563" s="19">
        <v>100</v>
      </c>
      <c r="P2563" s="19">
        <v>100</v>
      </c>
      <c r="Q2563" s="19">
        <v>50</v>
      </c>
      <c r="R2563" s="19" t="s">
        <v>1075</v>
      </c>
      <c r="S2563" s="19">
        <v>1</v>
      </c>
      <c r="T2563" s="19">
        <v>1</v>
      </c>
      <c r="U2563" s="19">
        <v>50</v>
      </c>
      <c r="AA2563" s="19">
        <v>0</v>
      </c>
    </row>
    <row r="2564" spans="1:27" x14ac:dyDescent="0.25">
      <c r="A2564" s="19" t="s">
        <v>1267</v>
      </c>
      <c r="B2564" s="19" t="s">
        <v>1238</v>
      </c>
      <c r="C2564" s="19">
        <v>47045</v>
      </c>
      <c r="D2564" s="19">
        <v>0.69499999999999995</v>
      </c>
      <c r="E2564" s="19" t="s">
        <v>137</v>
      </c>
      <c r="F2564" s="19" t="s">
        <v>138</v>
      </c>
      <c r="G2564" s="19" t="s">
        <v>134</v>
      </c>
      <c r="H2564" s="19" t="s">
        <v>87</v>
      </c>
      <c r="I2564" s="19" t="s">
        <v>135</v>
      </c>
      <c r="J2564" s="19">
        <v>9</v>
      </c>
      <c r="K2564" s="19">
        <v>4.1700000000000001E-2</v>
      </c>
      <c r="L2564" s="19" t="s">
        <v>35</v>
      </c>
      <c r="M2564" s="19" t="s">
        <v>142</v>
      </c>
      <c r="N2564" s="19">
        <v>16.666666666699999</v>
      </c>
      <c r="O2564" s="19">
        <v>16.666666666699999</v>
      </c>
      <c r="P2564" s="19">
        <v>0</v>
      </c>
      <c r="Q2564" s="19">
        <v>0</v>
      </c>
      <c r="R2564" s="19" t="s">
        <v>1075</v>
      </c>
      <c r="S2564" s="19">
        <v>1</v>
      </c>
      <c r="T2564" s="19">
        <v>1</v>
      </c>
      <c r="U2564" s="19">
        <v>0</v>
      </c>
      <c r="W2564" s="19">
        <v>0</v>
      </c>
      <c r="X2564" s="19">
        <v>1</v>
      </c>
      <c r="Y2564" s="19" t="s">
        <v>142</v>
      </c>
      <c r="Z2564" s="19">
        <v>50</v>
      </c>
      <c r="AA2564" s="19">
        <v>16.666666666699999</v>
      </c>
    </row>
    <row r="2565" spans="1:27" x14ac:dyDescent="0.25">
      <c r="A2565" s="19" t="s">
        <v>1268</v>
      </c>
      <c r="B2565" s="19" t="s">
        <v>1238</v>
      </c>
      <c r="C2565" s="19">
        <v>47045</v>
      </c>
      <c r="D2565" s="19">
        <v>0.69499999999999995</v>
      </c>
      <c r="E2565" s="19" t="s">
        <v>140</v>
      </c>
      <c r="F2565" s="19" t="s">
        <v>141</v>
      </c>
      <c r="G2565" s="19" t="s">
        <v>134</v>
      </c>
      <c r="H2565" s="19" t="s">
        <v>87</v>
      </c>
      <c r="I2565" s="19" t="s">
        <v>135</v>
      </c>
      <c r="J2565" s="19">
        <v>10</v>
      </c>
      <c r="K2565" s="19">
        <v>4.1700000000000001E-2</v>
      </c>
      <c r="L2565" s="19" t="s">
        <v>35</v>
      </c>
      <c r="M2565" s="19" t="s">
        <v>142</v>
      </c>
      <c r="N2565" s="19">
        <v>16.666666666699999</v>
      </c>
      <c r="O2565" s="19">
        <v>16.666666666699999</v>
      </c>
      <c r="P2565" s="19">
        <v>0</v>
      </c>
      <c r="Q2565" s="19">
        <v>0</v>
      </c>
      <c r="R2565" s="19" t="s">
        <v>1075</v>
      </c>
      <c r="S2565" s="19">
        <v>1</v>
      </c>
      <c r="T2565" s="19">
        <v>1</v>
      </c>
      <c r="U2565" s="19">
        <v>0</v>
      </c>
      <c r="W2565" s="19">
        <v>0</v>
      </c>
      <c r="X2565" s="19">
        <v>1</v>
      </c>
      <c r="Y2565" s="19" t="s">
        <v>142</v>
      </c>
      <c r="Z2565" s="19">
        <v>50</v>
      </c>
      <c r="AA2565" s="19">
        <v>16.666666666699999</v>
      </c>
    </row>
    <row r="2566" spans="1:27" x14ac:dyDescent="0.25">
      <c r="A2566" s="19" t="s">
        <v>1264</v>
      </c>
      <c r="B2566" s="19" t="s">
        <v>1238</v>
      </c>
      <c r="C2566" s="19">
        <v>47045</v>
      </c>
      <c r="D2566" s="19">
        <v>1.25</v>
      </c>
      <c r="E2566" s="19" t="s">
        <v>149</v>
      </c>
      <c r="F2566" s="19" t="s">
        <v>150</v>
      </c>
      <c r="G2566" s="19" t="s">
        <v>134</v>
      </c>
      <c r="H2566" s="19" t="s">
        <v>146</v>
      </c>
      <c r="I2566" s="19" t="s">
        <v>147</v>
      </c>
      <c r="J2566" s="19">
        <v>5</v>
      </c>
      <c r="K2566" s="19">
        <v>2.5000000000000001E-2</v>
      </c>
      <c r="L2566" s="19" t="s">
        <v>35</v>
      </c>
      <c r="M2566" s="19" t="s">
        <v>103</v>
      </c>
      <c r="N2566" s="19">
        <v>50</v>
      </c>
      <c r="O2566" s="19">
        <v>50</v>
      </c>
      <c r="P2566" s="19">
        <v>0</v>
      </c>
      <c r="Q2566" s="19">
        <v>0</v>
      </c>
      <c r="R2566" s="19" t="s">
        <v>1075</v>
      </c>
      <c r="S2566" s="19">
        <v>1</v>
      </c>
      <c r="T2566" s="19">
        <v>1</v>
      </c>
      <c r="U2566" s="19">
        <v>0</v>
      </c>
      <c r="V2566" s="19" t="s">
        <v>41</v>
      </c>
      <c r="W2566" s="19">
        <v>1</v>
      </c>
      <c r="Y2566" s="19" t="s">
        <v>103</v>
      </c>
      <c r="Z2566" s="19">
        <v>50</v>
      </c>
      <c r="AA2566" s="19">
        <v>50</v>
      </c>
    </row>
    <row r="2567" spans="1:27" x14ac:dyDescent="0.25">
      <c r="A2567" s="19" t="s">
        <v>1269</v>
      </c>
      <c r="B2567" s="19" t="s">
        <v>1238</v>
      </c>
      <c r="C2567" s="19">
        <v>47045</v>
      </c>
      <c r="D2567" s="19">
        <v>0</v>
      </c>
      <c r="E2567" s="19" t="s">
        <v>158</v>
      </c>
      <c r="F2567" s="19" t="s">
        <v>159</v>
      </c>
      <c r="G2567" s="19" t="s">
        <v>134</v>
      </c>
      <c r="H2567" s="19" t="s">
        <v>146</v>
      </c>
      <c r="I2567" s="19" t="s">
        <v>147</v>
      </c>
      <c r="J2567" s="19">
        <v>8</v>
      </c>
      <c r="K2567" s="19">
        <v>2.5000000000000001E-2</v>
      </c>
      <c r="L2567" s="19" t="s">
        <v>35</v>
      </c>
      <c r="M2567" s="19" t="s">
        <v>103</v>
      </c>
      <c r="N2567" s="19">
        <v>0</v>
      </c>
      <c r="O2567" s="19">
        <v>0</v>
      </c>
      <c r="P2567" s="19">
        <v>0</v>
      </c>
      <c r="Q2567" s="19">
        <v>0</v>
      </c>
      <c r="R2567" s="19" t="s">
        <v>1075</v>
      </c>
      <c r="S2567" s="19">
        <v>1</v>
      </c>
      <c r="T2567" s="19">
        <v>1</v>
      </c>
      <c r="U2567" s="19">
        <v>0</v>
      </c>
      <c r="V2567" s="19" t="s">
        <v>36</v>
      </c>
      <c r="W2567" s="19">
        <v>0</v>
      </c>
      <c r="Y2567" s="19" t="s">
        <v>103</v>
      </c>
      <c r="Z2567" s="19">
        <v>50</v>
      </c>
      <c r="AA2567" s="19">
        <v>0</v>
      </c>
    </row>
    <row r="2568" spans="1:27" x14ac:dyDescent="0.25">
      <c r="A2568" s="19" t="s">
        <v>1251</v>
      </c>
      <c r="B2568" s="19" t="s">
        <v>1238</v>
      </c>
      <c r="C2568" s="19">
        <v>47045</v>
      </c>
      <c r="D2568" s="19">
        <v>0</v>
      </c>
      <c r="E2568" s="19" t="s">
        <v>78</v>
      </c>
      <c r="F2568" s="19" t="s">
        <v>79</v>
      </c>
      <c r="G2568" s="19" t="s">
        <v>32</v>
      </c>
      <c r="H2568" s="19" t="s">
        <v>63</v>
      </c>
      <c r="I2568" s="19" t="s">
        <v>64</v>
      </c>
      <c r="J2568" s="19">
        <v>25</v>
      </c>
      <c r="K2568" s="19">
        <v>1.8599999999999998E-2</v>
      </c>
      <c r="L2568" s="19" t="s">
        <v>35</v>
      </c>
      <c r="M2568" s="19" t="s">
        <v>110</v>
      </c>
      <c r="N2568" s="19">
        <v>0</v>
      </c>
      <c r="O2568" s="19">
        <v>0</v>
      </c>
      <c r="P2568" s="19">
        <v>0</v>
      </c>
      <c r="Q2568" s="19">
        <v>0</v>
      </c>
      <c r="R2568" s="19" t="s">
        <v>1075</v>
      </c>
      <c r="S2568" s="19">
        <v>1</v>
      </c>
      <c r="T2568" s="19">
        <v>1</v>
      </c>
      <c r="U2568" s="19">
        <v>0</v>
      </c>
      <c r="V2568" s="19" t="s">
        <v>80</v>
      </c>
      <c r="W2568" s="19">
        <v>0</v>
      </c>
      <c r="Y2568" s="19" t="s">
        <v>110</v>
      </c>
      <c r="Z2568" s="19">
        <v>16.664999999999999</v>
      </c>
      <c r="AA2568" s="19">
        <v>0</v>
      </c>
    </row>
    <row r="2569" spans="1:27" x14ac:dyDescent="0.25">
      <c r="A2569" s="19" t="s">
        <v>1270</v>
      </c>
      <c r="B2569" s="19" t="s">
        <v>1238</v>
      </c>
      <c r="C2569" s="19">
        <v>47045</v>
      </c>
      <c r="D2569" s="19">
        <v>0.54161249999999905</v>
      </c>
      <c r="E2569" s="19" t="s">
        <v>90</v>
      </c>
      <c r="F2569" s="19" t="s">
        <v>91</v>
      </c>
      <c r="G2569" s="19" t="s">
        <v>32</v>
      </c>
      <c r="H2569" s="19" t="s">
        <v>87</v>
      </c>
      <c r="I2569" s="19" t="s">
        <v>88</v>
      </c>
      <c r="J2569" s="19">
        <v>33</v>
      </c>
      <c r="K2569" s="19">
        <v>3.2500000000000001E-2</v>
      </c>
      <c r="L2569" s="19" t="s">
        <v>35</v>
      </c>
      <c r="M2569" s="19" t="s">
        <v>110</v>
      </c>
      <c r="N2569" s="19">
        <v>16.664999999999999</v>
      </c>
      <c r="O2569" s="19">
        <v>16.664999999999999</v>
      </c>
      <c r="P2569" s="19">
        <v>0</v>
      </c>
      <c r="Q2569" s="19">
        <v>0</v>
      </c>
      <c r="R2569" s="19" t="s">
        <v>1075</v>
      </c>
      <c r="S2569" s="19">
        <v>1</v>
      </c>
      <c r="T2569" s="19">
        <v>1</v>
      </c>
      <c r="U2569" s="19">
        <v>0</v>
      </c>
      <c r="V2569" s="19" t="s">
        <v>41</v>
      </c>
      <c r="W2569" s="19">
        <v>1</v>
      </c>
      <c r="Y2569" s="19" t="s">
        <v>110</v>
      </c>
      <c r="Z2569" s="19">
        <v>16.664999999999999</v>
      </c>
      <c r="AA2569" s="19">
        <v>16.664999999999999</v>
      </c>
    </row>
    <row r="2570" spans="1:27" x14ac:dyDescent="0.25">
      <c r="A2570" s="19" t="s">
        <v>1271</v>
      </c>
      <c r="B2570" s="19" t="s">
        <v>1238</v>
      </c>
      <c r="C2570" s="19">
        <v>47045</v>
      </c>
      <c r="D2570" s="19">
        <v>0</v>
      </c>
      <c r="E2570" s="19" t="s">
        <v>96</v>
      </c>
      <c r="F2570" s="19" t="s">
        <v>97</v>
      </c>
      <c r="G2570" s="19" t="s">
        <v>32</v>
      </c>
      <c r="H2570" s="19" t="s">
        <v>87</v>
      </c>
      <c r="I2570" s="19" t="s">
        <v>88</v>
      </c>
      <c r="J2570" s="19">
        <v>36</v>
      </c>
      <c r="K2570" s="19">
        <v>3.2500000000000001E-2</v>
      </c>
      <c r="L2570" s="19" t="s">
        <v>35</v>
      </c>
      <c r="N2570" s="19">
        <v>0</v>
      </c>
      <c r="O2570" s="19">
        <v>0</v>
      </c>
      <c r="P2570" s="19">
        <v>0</v>
      </c>
      <c r="Q2570" s="19">
        <v>0</v>
      </c>
      <c r="R2570" s="19" t="s">
        <v>1075</v>
      </c>
      <c r="S2570" s="19">
        <v>1</v>
      </c>
      <c r="T2570" s="19">
        <v>1</v>
      </c>
      <c r="U2570" s="19">
        <v>0</v>
      </c>
      <c r="V2570" s="19" t="s">
        <v>36</v>
      </c>
      <c r="W2570" s="19">
        <v>0</v>
      </c>
      <c r="Z2570" s="19">
        <v>0</v>
      </c>
      <c r="AA2570" s="19">
        <v>0</v>
      </c>
    </row>
    <row r="2571" spans="1:27" x14ac:dyDescent="0.25">
      <c r="A2571" s="19" t="s">
        <v>1272</v>
      </c>
      <c r="B2571" s="19" t="s">
        <v>1238</v>
      </c>
      <c r="C2571" s="19">
        <v>47045</v>
      </c>
      <c r="D2571" s="19">
        <v>2.165</v>
      </c>
      <c r="E2571" s="19" t="s">
        <v>105</v>
      </c>
      <c r="F2571" s="19" t="s">
        <v>106</v>
      </c>
      <c r="G2571" s="19" t="s">
        <v>32</v>
      </c>
      <c r="H2571" s="19" t="s">
        <v>101</v>
      </c>
      <c r="I2571" s="19" t="s">
        <v>102</v>
      </c>
      <c r="J2571" s="19">
        <v>38</v>
      </c>
      <c r="K2571" s="19">
        <v>4.3299999999999998E-2</v>
      </c>
      <c r="L2571" s="19" t="s">
        <v>35</v>
      </c>
      <c r="M2571" s="19" t="s">
        <v>103</v>
      </c>
      <c r="N2571" s="19">
        <v>50</v>
      </c>
      <c r="O2571" s="19">
        <v>50</v>
      </c>
      <c r="P2571" s="19">
        <v>0</v>
      </c>
      <c r="Q2571" s="19">
        <v>0</v>
      </c>
      <c r="R2571" s="19" t="s">
        <v>1075</v>
      </c>
      <c r="S2571" s="19">
        <v>1</v>
      </c>
      <c r="T2571" s="19">
        <v>1</v>
      </c>
      <c r="U2571" s="19">
        <v>0</v>
      </c>
      <c r="V2571" s="19" t="s">
        <v>41</v>
      </c>
      <c r="W2571" s="19">
        <v>1</v>
      </c>
      <c r="Y2571" s="19" t="s">
        <v>103</v>
      </c>
      <c r="Z2571" s="19">
        <v>50</v>
      </c>
      <c r="AA2571" s="19">
        <v>50</v>
      </c>
    </row>
    <row r="2572" spans="1:27" x14ac:dyDescent="0.25">
      <c r="A2572" s="19" t="s">
        <v>1273</v>
      </c>
      <c r="B2572" s="19" t="s">
        <v>1238</v>
      </c>
      <c r="C2572" s="19">
        <v>47045</v>
      </c>
      <c r="D2572" s="19">
        <v>1.085</v>
      </c>
      <c r="E2572" s="19" t="s">
        <v>129</v>
      </c>
      <c r="F2572" s="19" t="s">
        <v>130</v>
      </c>
      <c r="G2572" s="19" t="s">
        <v>32</v>
      </c>
      <c r="H2572" s="19" t="s">
        <v>114</v>
      </c>
      <c r="I2572" s="19" t="s">
        <v>115</v>
      </c>
      <c r="J2572" s="19">
        <v>32</v>
      </c>
      <c r="K2572" s="19">
        <v>2.1700000000000001E-2</v>
      </c>
      <c r="L2572" s="19" t="s">
        <v>35</v>
      </c>
      <c r="M2572" s="19" t="s">
        <v>103</v>
      </c>
      <c r="N2572" s="19">
        <v>50</v>
      </c>
      <c r="O2572" s="19">
        <v>50</v>
      </c>
      <c r="P2572" s="19">
        <v>0</v>
      </c>
      <c r="Q2572" s="19">
        <v>0</v>
      </c>
      <c r="R2572" s="19" t="s">
        <v>1075</v>
      </c>
      <c r="S2572" s="19">
        <v>1</v>
      </c>
      <c r="T2572" s="19">
        <v>1</v>
      </c>
      <c r="U2572" s="19">
        <v>0</v>
      </c>
      <c r="V2572" s="19" t="s">
        <v>41</v>
      </c>
      <c r="W2572" s="19">
        <v>1</v>
      </c>
      <c r="Y2572" s="19" t="s">
        <v>103</v>
      </c>
      <c r="Z2572" s="19">
        <v>50</v>
      </c>
      <c r="AA2572" s="19">
        <v>50</v>
      </c>
    </row>
    <row r="2573" spans="1:27" x14ac:dyDescent="0.25">
      <c r="A2573" s="19" t="s">
        <v>1274</v>
      </c>
      <c r="B2573" s="19" t="s">
        <v>1238</v>
      </c>
      <c r="C2573" s="19">
        <v>47045</v>
      </c>
      <c r="D2573" s="19">
        <v>1.1098889999999999</v>
      </c>
      <c r="E2573" s="19" t="s">
        <v>161</v>
      </c>
      <c r="F2573" s="19" t="s">
        <v>162</v>
      </c>
      <c r="G2573" s="19" t="s">
        <v>163</v>
      </c>
      <c r="I2573" s="19" t="s">
        <v>164</v>
      </c>
      <c r="J2573" s="19">
        <v>1</v>
      </c>
      <c r="K2573" s="19">
        <v>3.3300000000000003E-2</v>
      </c>
      <c r="L2573" s="19" t="s">
        <v>35</v>
      </c>
      <c r="M2573" s="19" t="s">
        <v>165</v>
      </c>
      <c r="N2573" s="19">
        <v>33.33</v>
      </c>
      <c r="O2573" s="19">
        <v>33.33</v>
      </c>
      <c r="P2573" s="19">
        <v>0</v>
      </c>
      <c r="Q2573" s="19">
        <v>0</v>
      </c>
      <c r="R2573" s="19" t="s">
        <v>1075</v>
      </c>
      <c r="S2573" s="19">
        <v>1</v>
      </c>
      <c r="T2573" s="19">
        <v>1</v>
      </c>
      <c r="U2573" s="19">
        <v>0</v>
      </c>
      <c r="W2573" s="19">
        <v>0</v>
      </c>
      <c r="X2573" s="19">
        <v>33.33</v>
      </c>
      <c r="Z2573" s="19">
        <v>0</v>
      </c>
      <c r="AA2573" s="19">
        <v>33.33</v>
      </c>
    </row>
    <row r="2574" spans="1:27" x14ac:dyDescent="0.25">
      <c r="A2574" s="19" t="s">
        <v>1275</v>
      </c>
      <c r="B2574" s="19" t="s">
        <v>1238</v>
      </c>
      <c r="C2574" s="19">
        <v>47045</v>
      </c>
      <c r="D2574" s="19">
        <v>2.2197779999999998</v>
      </c>
      <c r="E2574" s="19" t="s">
        <v>167</v>
      </c>
      <c r="F2574" s="19" t="s">
        <v>168</v>
      </c>
      <c r="G2574" s="19" t="s">
        <v>163</v>
      </c>
      <c r="I2574" s="19" t="s">
        <v>164</v>
      </c>
      <c r="J2574" s="19">
        <v>3</v>
      </c>
      <c r="K2574" s="19">
        <v>3.3300000000000003E-2</v>
      </c>
      <c r="L2574" s="19" t="s">
        <v>35</v>
      </c>
      <c r="M2574" s="19" t="s">
        <v>165</v>
      </c>
      <c r="N2574" s="19">
        <v>66.66</v>
      </c>
      <c r="O2574" s="19">
        <v>66.66</v>
      </c>
      <c r="P2574" s="19">
        <v>0</v>
      </c>
      <c r="Q2574" s="19">
        <v>0</v>
      </c>
      <c r="R2574" s="19" t="s">
        <v>1075</v>
      </c>
      <c r="S2574" s="19">
        <v>1</v>
      </c>
      <c r="T2574" s="19">
        <v>1</v>
      </c>
      <c r="U2574" s="19">
        <v>0</v>
      </c>
      <c r="W2574" s="19">
        <v>0</v>
      </c>
      <c r="X2574" s="19">
        <v>66.66</v>
      </c>
      <c r="Z2574" s="19">
        <v>0</v>
      </c>
      <c r="AA2574" s="19">
        <v>66.66</v>
      </c>
    </row>
    <row r="2575" spans="1:27" x14ac:dyDescent="0.25">
      <c r="A2575" s="19" t="s">
        <v>1276</v>
      </c>
      <c r="B2575" s="19" t="s">
        <v>1238</v>
      </c>
      <c r="C2575" s="19">
        <v>47045</v>
      </c>
      <c r="D2575" s="19">
        <v>2.3643000000000001</v>
      </c>
      <c r="E2575" s="19" t="s">
        <v>170</v>
      </c>
      <c r="F2575" s="19" t="s">
        <v>171</v>
      </c>
      <c r="G2575" s="19" t="s">
        <v>163</v>
      </c>
      <c r="I2575" s="19" t="s">
        <v>164</v>
      </c>
      <c r="J2575" s="19">
        <v>2</v>
      </c>
      <c r="K2575" s="19">
        <v>3.3300000000000003E-2</v>
      </c>
      <c r="L2575" s="19" t="s">
        <v>35</v>
      </c>
      <c r="M2575" s="19" t="s">
        <v>165</v>
      </c>
      <c r="N2575" s="19">
        <v>71</v>
      </c>
      <c r="O2575" s="19">
        <v>71</v>
      </c>
      <c r="P2575" s="19">
        <v>0</v>
      </c>
      <c r="Q2575" s="19">
        <v>0</v>
      </c>
      <c r="R2575" s="19" t="s">
        <v>1075</v>
      </c>
      <c r="S2575" s="19">
        <v>1</v>
      </c>
      <c r="T2575" s="19">
        <v>1</v>
      </c>
      <c r="U2575" s="19">
        <v>0</v>
      </c>
      <c r="W2575" s="19">
        <v>0</v>
      </c>
      <c r="X2575" s="19">
        <v>71</v>
      </c>
      <c r="Z2575" s="19">
        <v>0</v>
      </c>
      <c r="AA2575" s="19">
        <v>71</v>
      </c>
    </row>
    <row r="2576" spans="1:27" x14ac:dyDescent="0.25">
      <c r="A2576" s="19" t="s">
        <v>2298</v>
      </c>
      <c r="B2576" s="19" t="s">
        <v>2299</v>
      </c>
      <c r="C2576" s="19" t="s">
        <v>2300</v>
      </c>
      <c r="D2576" s="19">
        <v>2.78</v>
      </c>
      <c r="E2576" s="19" t="s">
        <v>137</v>
      </c>
      <c r="F2576" s="19" t="s">
        <v>138</v>
      </c>
      <c r="G2576" s="19" t="s">
        <v>134</v>
      </c>
      <c r="H2576" s="19" t="s">
        <v>87</v>
      </c>
      <c r="I2576" s="19" t="s">
        <v>135</v>
      </c>
      <c r="J2576" s="19">
        <v>9</v>
      </c>
      <c r="K2576" s="19">
        <v>4.1700000000000001E-2</v>
      </c>
      <c r="L2576" s="19" t="s">
        <v>541</v>
      </c>
      <c r="M2576" s="19" t="s">
        <v>541</v>
      </c>
      <c r="N2576" s="19">
        <v>50</v>
      </c>
      <c r="O2576" s="19">
        <v>66.666666666699996</v>
      </c>
      <c r="P2576" s="19">
        <v>33.333333333299997</v>
      </c>
      <c r="Q2576" s="19">
        <v>16.666666666699999</v>
      </c>
      <c r="R2576" s="19" t="s">
        <v>870</v>
      </c>
      <c r="S2576" s="19">
        <v>0.9</v>
      </c>
      <c r="T2576" s="19">
        <v>1</v>
      </c>
      <c r="U2576" s="19">
        <v>16.666666666699999</v>
      </c>
      <c r="AA2576" s="19">
        <v>0</v>
      </c>
    </row>
    <row r="2577" spans="1:27" x14ac:dyDescent="0.25">
      <c r="A2577" s="19" t="s">
        <v>2301</v>
      </c>
      <c r="B2577" s="19" t="s">
        <v>2299</v>
      </c>
      <c r="C2577" s="19" t="s">
        <v>2300</v>
      </c>
      <c r="D2577" s="19">
        <v>2.5</v>
      </c>
      <c r="E2577" s="19" t="s">
        <v>144</v>
      </c>
      <c r="F2577" s="19" t="s">
        <v>145</v>
      </c>
      <c r="G2577" s="19" t="s">
        <v>134</v>
      </c>
      <c r="H2577" s="19" t="s">
        <v>146</v>
      </c>
      <c r="I2577" s="19" t="s">
        <v>147</v>
      </c>
      <c r="J2577" s="19">
        <v>4</v>
      </c>
      <c r="K2577" s="19">
        <v>2.5000000000000001E-2</v>
      </c>
      <c r="L2577" s="19" t="s">
        <v>541</v>
      </c>
      <c r="M2577" s="19" t="s">
        <v>541</v>
      </c>
      <c r="N2577" s="19">
        <v>50</v>
      </c>
      <c r="O2577" s="19">
        <v>100</v>
      </c>
      <c r="P2577" s="19">
        <v>100</v>
      </c>
      <c r="Q2577" s="19">
        <v>50</v>
      </c>
      <c r="R2577" s="19" t="s">
        <v>870</v>
      </c>
      <c r="S2577" s="19">
        <v>0.9</v>
      </c>
      <c r="T2577" s="19">
        <v>1</v>
      </c>
      <c r="U2577" s="19">
        <v>50</v>
      </c>
      <c r="AA2577" s="19">
        <v>0</v>
      </c>
    </row>
    <row r="2578" spans="1:27" x14ac:dyDescent="0.25">
      <c r="A2578" s="19" t="s">
        <v>2302</v>
      </c>
      <c r="B2578" s="19" t="s">
        <v>2299</v>
      </c>
      <c r="C2578" s="19" t="s">
        <v>2300</v>
      </c>
      <c r="D2578" s="19">
        <v>1.4515288135593201</v>
      </c>
      <c r="E2578" s="19" t="s">
        <v>30</v>
      </c>
      <c r="F2578" s="19" t="s">
        <v>31</v>
      </c>
      <c r="G2578" s="19" t="s">
        <v>32</v>
      </c>
      <c r="H2578" s="19" t="s">
        <v>33</v>
      </c>
      <c r="I2578" s="19" t="s">
        <v>34</v>
      </c>
      <c r="J2578" s="19">
        <v>17</v>
      </c>
      <c r="K2578" s="19">
        <v>1.6299999999999999E-2</v>
      </c>
      <c r="L2578" s="19" t="s">
        <v>541</v>
      </c>
      <c r="M2578" s="19" t="s">
        <v>541</v>
      </c>
      <c r="N2578" s="19">
        <v>50</v>
      </c>
      <c r="O2578" s="19">
        <v>89.0508474576</v>
      </c>
      <c r="P2578" s="19">
        <v>86.779661016899993</v>
      </c>
      <c r="Q2578" s="19">
        <v>43.389830508499998</v>
      </c>
      <c r="R2578" s="19" t="s">
        <v>870</v>
      </c>
      <c r="S2578" s="19">
        <v>0.9</v>
      </c>
      <c r="T2578" s="19">
        <v>0.9</v>
      </c>
      <c r="U2578" s="19">
        <v>39.0508474576</v>
      </c>
      <c r="AA2578" s="19">
        <v>0</v>
      </c>
    </row>
    <row r="2579" spans="1:27" x14ac:dyDescent="0.25">
      <c r="A2579" s="19" t="s">
        <v>2303</v>
      </c>
      <c r="B2579" s="19" t="s">
        <v>2299</v>
      </c>
      <c r="C2579" s="19" t="s">
        <v>2300</v>
      </c>
      <c r="D2579" s="19">
        <v>1.54849999999999</v>
      </c>
      <c r="E2579" s="19" t="s">
        <v>38</v>
      </c>
      <c r="F2579" s="19" t="s">
        <v>39</v>
      </c>
      <c r="G2579" s="19" t="s">
        <v>32</v>
      </c>
      <c r="H2579" s="19" t="s">
        <v>33</v>
      </c>
      <c r="I2579" s="19" t="s">
        <v>34</v>
      </c>
      <c r="J2579" s="19">
        <v>19</v>
      </c>
      <c r="K2579" s="19">
        <v>1.6299999999999999E-2</v>
      </c>
      <c r="L2579" s="19" t="s">
        <v>541</v>
      </c>
      <c r="M2579" s="19" t="s">
        <v>541</v>
      </c>
      <c r="N2579" s="19">
        <v>50</v>
      </c>
      <c r="O2579" s="19">
        <v>95</v>
      </c>
      <c r="P2579" s="19">
        <v>100</v>
      </c>
      <c r="Q2579" s="19">
        <v>50</v>
      </c>
      <c r="R2579" s="19" t="s">
        <v>870</v>
      </c>
      <c r="S2579" s="19">
        <v>0.9</v>
      </c>
      <c r="T2579" s="19">
        <v>0.9</v>
      </c>
      <c r="U2579" s="19">
        <v>45</v>
      </c>
      <c r="AA2579" s="19">
        <v>0</v>
      </c>
    </row>
    <row r="2580" spans="1:27" x14ac:dyDescent="0.25">
      <c r="A2580" s="19" t="s">
        <v>2304</v>
      </c>
      <c r="B2580" s="19" t="s">
        <v>2299</v>
      </c>
      <c r="C2580" s="19" t="s">
        <v>2300</v>
      </c>
      <c r="D2580" s="19">
        <v>1.54849999999999</v>
      </c>
      <c r="E2580" s="19" t="s">
        <v>43</v>
      </c>
      <c r="F2580" s="19" t="s">
        <v>44</v>
      </c>
      <c r="G2580" s="19" t="s">
        <v>32</v>
      </c>
      <c r="H2580" s="19" t="s">
        <v>33</v>
      </c>
      <c r="I2580" s="19" t="s">
        <v>34</v>
      </c>
      <c r="J2580" s="19">
        <v>18</v>
      </c>
      <c r="K2580" s="19">
        <v>1.6299999999999999E-2</v>
      </c>
      <c r="L2580" s="19" t="s">
        <v>541</v>
      </c>
      <c r="M2580" s="19" t="s">
        <v>541</v>
      </c>
      <c r="N2580" s="19">
        <v>50</v>
      </c>
      <c r="O2580" s="19">
        <v>95</v>
      </c>
      <c r="P2580" s="19">
        <v>100</v>
      </c>
      <c r="Q2580" s="19">
        <v>50</v>
      </c>
      <c r="R2580" s="19" t="s">
        <v>870</v>
      </c>
      <c r="S2580" s="19">
        <v>0.9</v>
      </c>
      <c r="T2580" s="19">
        <v>0.9</v>
      </c>
      <c r="U2580" s="19">
        <v>45</v>
      </c>
      <c r="AA2580" s="19">
        <v>0</v>
      </c>
    </row>
    <row r="2581" spans="1:27" x14ac:dyDescent="0.25">
      <c r="A2581" s="19" t="s">
        <v>2305</v>
      </c>
      <c r="B2581" s="19" t="s">
        <v>2299</v>
      </c>
      <c r="C2581" s="19" t="s">
        <v>2300</v>
      </c>
      <c r="D2581" s="19">
        <v>1.5476208047945199</v>
      </c>
      <c r="E2581" s="19" t="s">
        <v>46</v>
      </c>
      <c r="F2581" s="19" t="s">
        <v>47</v>
      </c>
      <c r="G2581" s="19" t="s">
        <v>32</v>
      </c>
      <c r="H2581" s="19" t="s">
        <v>33</v>
      </c>
      <c r="I2581" s="19" t="s">
        <v>34</v>
      </c>
      <c r="J2581" s="19">
        <v>15</v>
      </c>
      <c r="K2581" s="19">
        <v>1.6299999999999999E-2</v>
      </c>
      <c r="L2581" s="19" t="s">
        <v>541</v>
      </c>
      <c r="M2581" s="19" t="s">
        <v>541</v>
      </c>
      <c r="N2581" s="19">
        <v>50</v>
      </c>
      <c r="O2581" s="19">
        <v>94.946061643799993</v>
      </c>
      <c r="P2581" s="19">
        <v>99.880136986300002</v>
      </c>
      <c r="Q2581" s="19">
        <v>49.940068493200002</v>
      </c>
      <c r="R2581" s="19" t="s">
        <v>870</v>
      </c>
      <c r="S2581" s="19">
        <v>0.9</v>
      </c>
      <c r="T2581" s="19">
        <v>0.9</v>
      </c>
      <c r="U2581" s="19">
        <v>44.9460616438</v>
      </c>
      <c r="AA2581" s="19">
        <v>0</v>
      </c>
    </row>
    <row r="2582" spans="1:27" x14ac:dyDescent="0.25">
      <c r="A2582" s="19" t="s">
        <v>2306</v>
      </c>
      <c r="B2582" s="19" t="s">
        <v>2299</v>
      </c>
      <c r="C2582" s="19" t="s">
        <v>2300</v>
      </c>
      <c r="D2582" s="19">
        <v>1.54849999999999</v>
      </c>
      <c r="E2582" s="19" t="s">
        <v>52</v>
      </c>
      <c r="F2582" s="19" t="s">
        <v>53</v>
      </c>
      <c r="G2582" s="19" t="s">
        <v>32</v>
      </c>
      <c r="H2582" s="19" t="s">
        <v>33</v>
      </c>
      <c r="I2582" s="19" t="s">
        <v>34</v>
      </c>
      <c r="J2582" s="19">
        <v>16</v>
      </c>
      <c r="K2582" s="19">
        <v>1.6299999999999999E-2</v>
      </c>
      <c r="L2582" s="19" t="s">
        <v>541</v>
      </c>
      <c r="M2582" s="19" t="s">
        <v>541</v>
      </c>
      <c r="N2582" s="19">
        <v>50</v>
      </c>
      <c r="O2582" s="19">
        <v>95</v>
      </c>
      <c r="P2582" s="19">
        <v>100</v>
      </c>
      <c r="Q2582" s="19">
        <v>50</v>
      </c>
      <c r="R2582" s="19" t="s">
        <v>870</v>
      </c>
      <c r="S2582" s="19">
        <v>0.9</v>
      </c>
      <c r="T2582" s="19">
        <v>0.9</v>
      </c>
      <c r="U2582" s="19">
        <v>45</v>
      </c>
      <c r="AA2582" s="19">
        <v>0</v>
      </c>
    </row>
    <row r="2583" spans="1:27" x14ac:dyDescent="0.25">
      <c r="A2583" s="19" t="s">
        <v>2307</v>
      </c>
      <c r="B2583" s="19" t="s">
        <v>2299</v>
      </c>
      <c r="C2583" s="19" t="s">
        <v>2300</v>
      </c>
      <c r="D2583" s="19">
        <v>1.54586241438356</v>
      </c>
      <c r="E2583" s="19" t="s">
        <v>55</v>
      </c>
      <c r="F2583" s="19" t="s">
        <v>56</v>
      </c>
      <c r="G2583" s="19" t="s">
        <v>32</v>
      </c>
      <c r="H2583" s="19" t="s">
        <v>33</v>
      </c>
      <c r="I2583" s="19" t="s">
        <v>34</v>
      </c>
      <c r="J2583" s="19">
        <v>14</v>
      </c>
      <c r="K2583" s="19">
        <v>1.6299999999999999E-2</v>
      </c>
      <c r="L2583" s="19" t="s">
        <v>541</v>
      </c>
      <c r="M2583" s="19" t="s">
        <v>541</v>
      </c>
      <c r="N2583" s="19">
        <v>50</v>
      </c>
      <c r="O2583" s="19">
        <v>94.838184931499995</v>
      </c>
      <c r="P2583" s="19">
        <v>99.640410958900006</v>
      </c>
      <c r="Q2583" s="19">
        <v>49.820205479499997</v>
      </c>
      <c r="R2583" s="19" t="s">
        <v>870</v>
      </c>
      <c r="S2583" s="19">
        <v>0.9</v>
      </c>
      <c r="T2583" s="19">
        <v>0.9</v>
      </c>
      <c r="U2583" s="19">
        <v>44.838184931500003</v>
      </c>
      <c r="AA2583" s="19">
        <v>0</v>
      </c>
    </row>
    <row r="2584" spans="1:27" x14ac:dyDescent="0.25">
      <c r="A2584" s="19" t="s">
        <v>2308</v>
      </c>
      <c r="B2584" s="19" t="s">
        <v>2299</v>
      </c>
      <c r="C2584" s="19" t="s">
        <v>2300</v>
      </c>
      <c r="D2584" s="19">
        <v>1.54849999999999</v>
      </c>
      <c r="E2584" s="19" t="s">
        <v>58</v>
      </c>
      <c r="F2584" s="19" t="s">
        <v>59</v>
      </c>
      <c r="G2584" s="19" t="s">
        <v>32</v>
      </c>
      <c r="H2584" s="19" t="s">
        <v>33</v>
      </c>
      <c r="I2584" s="19" t="s">
        <v>34</v>
      </c>
      <c r="J2584" s="19">
        <v>13</v>
      </c>
      <c r="K2584" s="19">
        <v>1.6299999999999999E-2</v>
      </c>
      <c r="L2584" s="19" t="s">
        <v>541</v>
      </c>
      <c r="M2584" s="19" t="s">
        <v>541</v>
      </c>
      <c r="N2584" s="19">
        <v>50</v>
      </c>
      <c r="O2584" s="19">
        <v>95</v>
      </c>
      <c r="P2584" s="19">
        <v>100</v>
      </c>
      <c r="Q2584" s="19">
        <v>50</v>
      </c>
      <c r="R2584" s="19" t="s">
        <v>870</v>
      </c>
      <c r="S2584" s="19">
        <v>0.9</v>
      </c>
      <c r="T2584" s="19">
        <v>0.9</v>
      </c>
      <c r="U2584" s="19">
        <v>45</v>
      </c>
      <c r="AA2584" s="19">
        <v>0</v>
      </c>
    </row>
    <row r="2585" spans="1:27" x14ac:dyDescent="0.25">
      <c r="A2585" s="19" t="s">
        <v>2309</v>
      </c>
      <c r="B2585" s="19" t="s">
        <v>2299</v>
      </c>
      <c r="C2585" s="19" t="s">
        <v>2300</v>
      </c>
      <c r="D2585" s="19">
        <v>1.7669999999999999</v>
      </c>
      <c r="E2585" s="19" t="s">
        <v>61</v>
      </c>
      <c r="F2585" s="19" t="s">
        <v>62</v>
      </c>
      <c r="G2585" s="19" t="s">
        <v>32</v>
      </c>
      <c r="H2585" s="19" t="s">
        <v>63</v>
      </c>
      <c r="I2585" s="19" t="s">
        <v>64</v>
      </c>
      <c r="J2585" s="19">
        <v>22</v>
      </c>
      <c r="K2585" s="19">
        <v>1.8599999999999998E-2</v>
      </c>
      <c r="L2585" s="19" t="s">
        <v>541</v>
      </c>
      <c r="M2585" s="19" t="s">
        <v>541</v>
      </c>
      <c r="N2585" s="19">
        <v>50</v>
      </c>
      <c r="O2585" s="19">
        <v>95</v>
      </c>
      <c r="P2585" s="19">
        <v>100</v>
      </c>
      <c r="Q2585" s="19">
        <v>50</v>
      </c>
      <c r="R2585" s="19" t="s">
        <v>870</v>
      </c>
      <c r="S2585" s="19">
        <v>0.9</v>
      </c>
      <c r="T2585" s="19">
        <v>0.9</v>
      </c>
      <c r="U2585" s="19">
        <v>45</v>
      </c>
      <c r="AA2585" s="19">
        <v>0</v>
      </c>
    </row>
    <row r="2586" spans="1:27" x14ac:dyDescent="0.25">
      <c r="A2586" s="19" t="s">
        <v>2310</v>
      </c>
      <c r="B2586" s="19" t="s">
        <v>2299</v>
      </c>
      <c r="C2586" s="19" t="s">
        <v>2300</v>
      </c>
      <c r="D2586" s="19">
        <v>1.7669999999999999</v>
      </c>
      <c r="E2586" s="19" t="s">
        <v>69</v>
      </c>
      <c r="F2586" s="19" t="s">
        <v>70</v>
      </c>
      <c r="G2586" s="19" t="s">
        <v>32</v>
      </c>
      <c r="H2586" s="19" t="s">
        <v>63</v>
      </c>
      <c r="I2586" s="19" t="s">
        <v>64</v>
      </c>
      <c r="J2586" s="19">
        <v>23</v>
      </c>
      <c r="K2586" s="19">
        <v>1.8599999999999998E-2</v>
      </c>
      <c r="L2586" s="19" t="s">
        <v>541</v>
      </c>
      <c r="M2586" s="19" t="s">
        <v>541</v>
      </c>
      <c r="N2586" s="19">
        <v>50</v>
      </c>
      <c r="O2586" s="19">
        <v>95</v>
      </c>
      <c r="P2586" s="19">
        <v>100</v>
      </c>
      <c r="Q2586" s="19">
        <v>50</v>
      </c>
      <c r="R2586" s="19" t="s">
        <v>870</v>
      </c>
      <c r="S2586" s="19">
        <v>0.9</v>
      </c>
      <c r="T2586" s="19">
        <v>0.9</v>
      </c>
      <c r="U2586" s="19">
        <v>45</v>
      </c>
      <c r="AA2586" s="19">
        <v>0</v>
      </c>
    </row>
    <row r="2587" spans="1:27" x14ac:dyDescent="0.25">
      <c r="A2587" s="19" t="s">
        <v>2311</v>
      </c>
      <c r="B2587" s="19" t="s">
        <v>2299</v>
      </c>
      <c r="C2587" s="19" t="s">
        <v>2300</v>
      </c>
      <c r="D2587" s="19">
        <v>1.7669999999999999</v>
      </c>
      <c r="E2587" s="19" t="s">
        <v>72</v>
      </c>
      <c r="F2587" s="19" t="s">
        <v>73</v>
      </c>
      <c r="G2587" s="19" t="s">
        <v>32</v>
      </c>
      <c r="H2587" s="19" t="s">
        <v>63</v>
      </c>
      <c r="I2587" s="19" t="s">
        <v>64</v>
      </c>
      <c r="J2587" s="19">
        <v>21</v>
      </c>
      <c r="K2587" s="19">
        <v>1.8599999999999998E-2</v>
      </c>
      <c r="L2587" s="19" t="s">
        <v>541</v>
      </c>
      <c r="M2587" s="19" t="s">
        <v>541</v>
      </c>
      <c r="N2587" s="19">
        <v>50</v>
      </c>
      <c r="O2587" s="19">
        <v>95</v>
      </c>
      <c r="P2587" s="19">
        <v>100</v>
      </c>
      <c r="Q2587" s="19">
        <v>50</v>
      </c>
      <c r="R2587" s="19" t="s">
        <v>870</v>
      </c>
      <c r="S2587" s="19">
        <v>0.9</v>
      </c>
      <c r="T2587" s="19">
        <v>0.9</v>
      </c>
      <c r="U2587" s="19">
        <v>45</v>
      </c>
      <c r="AA2587" s="19">
        <v>0</v>
      </c>
    </row>
    <row r="2588" spans="1:27" x14ac:dyDescent="0.25">
      <c r="A2588" s="19" t="s">
        <v>2312</v>
      </c>
      <c r="B2588" s="19" t="s">
        <v>2299</v>
      </c>
      <c r="C2588" s="19" t="s">
        <v>2300</v>
      </c>
      <c r="D2588" s="19">
        <v>1.7662833904109501</v>
      </c>
      <c r="E2588" s="19" t="s">
        <v>75</v>
      </c>
      <c r="F2588" s="19" t="s">
        <v>76</v>
      </c>
      <c r="G2588" s="19" t="s">
        <v>32</v>
      </c>
      <c r="H2588" s="19" t="s">
        <v>63</v>
      </c>
      <c r="I2588" s="19" t="s">
        <v>64</v>
      </c>
      <c r="J2588" s="19">
        <v>24</v>
      </c>
      <c r="K2588" s="19">
        <v>1.8599999999999998E-2</v>
      </c>
      <c r="L2588" s="19" t="s">
        <v>541</v>
      </c>
      <c r="M2588" s="19" t="s">
        <v>541</v>
      </c>
      <c r="N2588" s="19">
        <v>50</v>
      </c>
      <c r="O2588" s="19">
        <v>94.961472602699999</v>
      </c>
      <c r="P2588" s="19">
        <v>99.914383561600005</v>
      </c>
      <c r="Q2588" s="19">
        <v>49.957191780800002</v>
      </c>
      <c r="R2588" s="19" t="s">
        <v>870</v>
      </c>
      <c r="S2588" s="19">
        <v>0.9</v>
      </c>
      <c r="T2588" s="19">
        <v>0.9</v>
      </c>
      <c r="U2588" s="19">
        <v>44.961472602699999</v>
      </c>
      <c r="AA2588" s="19">
        <v>0</v>
      </c>
    </row>
    <row r="2589" spans="1:27" x14ac:dyDescent="0.25">
      <c r="A2589" s="19" t="s">
        <v>2313</v>
      </c>
      <c r="B2589" s="19" t="s">
        <v>2299</v>
      </c>
      <c r="C2589" s="19" t="s">
        <v>2300</v>
      </c>
      <c r="D2589" s="19">
        <v>3.0824914383561599</v>
      </c>
      <c r="E2589" s="19" t="s">
        <v>85</v>
      </c>
      <c r="F2589" s="19" t="s">
        <v>86</v>
      </c>
      <c r="G2589" s="19" t="s">
        <v>32</v>
      </c>
      <c r="H2589" s="19" t="s">
        <v>87</v>
      </c>
      <c r="I2589" s="19" t="s">
        <v>88</v>
      </c>
      <c r="J2589" s="19">
        <v>35</v>
      </c>
      <c r="K2589" s="19">
        <v>3.2500000000000001E-2</v>
      </c>
      <c r="L2589" s="19" t="s">
        <v>541</v>
      </c>
      <c r="M2589" s="19" t="s">
        <v>541</v>
      </c>
      <c r="N2589" s="19">
        <v>50</v>
      </c>
      <c r="O2589" s="19">
        <v>94.845890410999999</v>
      </c>
      <c r="P2589" s="19">
        <v>99.657534246599994</v>
      </c>
      <c r="Q2589" s="19">
        <v>49.828767123299997</v>
      </c>
      <c r="R2589" s="19" t="s">
        <v>870</v>
      </c>
      <c r="S2589" s="19">
        <v>0.9</v>
      </c>
      <c r="T2589" s="19">
        <v>0.9</v>
      </c>
      <c r="U2589" s="19">
        <v>44.845890410999999</v>
      </c>
      <c r="AA2589" s="19">
        <v>0</v>
      </c>
    </row>
    <row r="2590" spans="1:27" x14ac:dyDescent="0.25">
      <c r="A2590" s="19" t="s">
        <v>2314</v>
      </c>
      <c r="B2590" s="19" t="s">
        <v>2299</v>
      </c>
      <c r="C2590" s="19" t="s">
        <v>2300</v>
      </c>
      <c r="D2590" s="19">
        <v>2.5</v>
      </c>
      <c r="E2590" s="19" t="s">
        <v>149</v>
      </c>
      <c r="F2590" s="19" t="s">
        <v>150</v>
      </c>
      <c r="G2590" s="19" t="s">
        <v>134</v>
      </c>
      <c r="H2590" s="19" t="s">
        <v>146</v>
      </c>
      <c r="I2590" s="19" t="s">
        <v>147</v>
      </c>
      <c r="J2590" s="19">
        <v>5</v>
      </c>
      <c r="K2590" s="19">
        <v>2.5000000000000001E-2</v>
      </c>
      <c r="L2590" s="19" t="s">
        <v>541</v>
      </c>
      <c r="M2590" s="19" t="s">
        <v>541</v>
      </c>
      <c r="N2590" s="19">
        <v>50</v>
      </c>
      <c r="O2590" s="19">
        <v>100</v>
      </c>
      <c r="P2590" s="19">
        <v>100</v>
      </c>
      <c r="Q2590" s="19">
        <v>50</v>
      </c>
      <c r="R2590" s="19" t="s">
        <v>870</v>
      </c>
      <c r="S2590" s="19">
        <v>0.9</v>
      </c>
      <c r="T2590" s="19">
        <v>1</v>
      </c>
      <c r="U2590" s="19">
        <v>50</v>
      </c>
      <c r="AA2590" s="19">
        <v>0</v>
      </c>
    </row>
    <row r="2591" spans="1:27" x14ac:dyDescent="0.25">
      <c r="A2591" s="19" t="s">
        <v>2315</v>
      </c>
      <c r="B2591" s="19" t="s">
        <v>2299</v>
      </c>
      <c r="C2591" s="19" t="s">
        <v>2300</v>
      </c>
      <c r="D2591" s="19">
        <v>2.5</v>
      </c>
      <c r="E2591" s="19" t="s">
        <v>155</v>
      </c>
      <c r="F2591" s="19" t="s">
        <v>156</v>
      </c>
      <c r="G2591" s="19" t="s">
        <v>134</v>
      </c>
      <c r="H2591" s="19" t="s">
        <v>146</v>
      </c>
      <c r="I2591" s="19" t="s">
        <v>147</v>
      </c>
      <c r="J2591" s="19">
        <v>7</v>
      </c>
      <c r="K2591" s="19">
        <v>2.5000000000000001E-2</v>
      </c>
      <c r="L2591" s="19" t="s">
        <v>541</v>
      </c>
      <c r="M2591" s="19" t="s">
        <v>541</v>
      </c>
      <c r="N2591" s="19">
        <v>50</v>
      </c>
      <c r="O2591" s="19">
        <v>100</v>
      </c>
      <c r="P2591" s="19">
        <v>100</v>
      </c>
      <c r="Q2591" s="19">
        <v>50</v>
      </c>
      <c r="R2591" s="19" t="s">
        <v>870</v>
      </c>
      <c r="S2591" s="19">
        <v>0.9</v>
      </c>
      <c r="T2591" s="19">
        <v>1</v>
      </c>
      <c r="U2591" s="19">
        <v>50</v>
      </c>
      <c r="AA2591" s="19">
        <v>0</v>
      </c>
    </row>
    <row r="2592" spans="1:27" x14ac:dyDescent="0.25">
      <c r="A2592" s="19" t="s">
        <v>2316</v>
      </c>
      <c r="B2592" s="19" t="s">
        <v>2299</v>
      </c>
      <c r="C2592" s="19" t="s">
        <v>2300</v>
      </c>
      <c r="D2592" s="19">
        <v>2.5</v>
      </c>
      <c r="E2592" s="19" t="s">
        <v>152</v>
      </c>
      <c r="F2592" s="19" t="s">
        <v>153</v>
      </c>
      <c r="G2592" s="19" t="s">
        <v>134</v>
      </c>
      <c r="H2592" s="19" t="s">
        <v>146</v>
      </c>
      <c r="I2592" s="19" t="s">
        <v>147</v>
      </c>
      <c r="J2592" s="19">
        <v>6</v>
      </c>
      <c r="K2592" s="19">
        <v>2.5000000000000001E-2</v>
      </c>
      <c r="L2592" s="19" t="s">
        <v>541</v>
      </c>
      <c r="M2592" s="19" t="s">
        <v>541</v>
      </c>
      <c r="N2592" s="19">
        <v>50</v>
      </c>
      <c r="O2592" s="19">
        <v>100</v>
      </c>
      <c r="P2592" s="19">
        <v>100</v>
      </c>
      <c r="Q2592" s="19">
        <v>50</v>
      </c>
      <c r="R2592" s="19" t="s">
        <v>870</v>
      </c>
      <c r="S2592" s="19">
        <v>0.9</v>
      </c>
      <c r="T2592" s="19">
        <v>1</v>
      </c>
      <c r="U2592" s="19">
        <v>50</v>
      </c>
      <c r="AA2592" s="19">
        <v>0</v>
      </c>
    </row>
    <row r="2593" spans="1:27" x14ac:dyDescent="0.25">
      <c r="A2593" s="19" t="s">
        <v>2317</v>
      </c>
      <c r="B2593" s="19" t="s">
        <v>2299</v>
      </c>
      <c r="C2593" s="19" t="s">
        <v>2300</v>
      </c>
      <c r="D2593" s="19">
        <v>2.085</v>
      </c>
      <c r="E2593" s="19" t="s">
        <v>132</v>
      </c>
      <c r="F2593" s="19" t="s">
        <v>133</v>
      </c>
      <c r="G2593" s="19" t="s">
        <v>134</v>
      </c>
      <c r="H2593" s="19" t="s">
        <v>87</v>
      </c>
      <c r="I2593" s="19" t="s">
        <v>135</v>
      </c>
      <c r="J2593" s="19">
        <v>11</v>
      </c>
      <c r="K2593" s="19">
        <v>4.1700000000000001E-2</v>
      </c>
      <c r="L2593" s="19" t="s">
        <v>35</v>
      </c>
      <c r="M2593" s="19" t="s">
        <v>103</v>
      </c>
      <c r="N2593" s="19">
        <v>50</v>
      </c>
      <c r="O2593" s="19">
        <v>50</v>
      </c>
      <c r="P2593" s="19">
        <v>0</v>
      </c>
      <c r="Q2593" s="19">
        <v>0</v>
      </c>
      <c r="R2593" s="19" t="s">
        <v>870</v>
      </c>
      <c r="S2593" s="19">
        <v>0.9</v>
      </c>
      <c r="T2593" s="19">
        <v>1</v>
      </c>
      <c r="U2593" s="19">
        <v>0</v>
      </c>
      <c r="V2593" s="19" t="s">
        <v>41</v>
      </c>
      <c r="W2593" s="19">
        <v>1</v>
      </c>
      <c r="Y2593" s="19" t="s">
        <v>103</v>
      </c>
      <c r="Z2593" s="19">
        <v>50</v>
      </c>
      <c r="AA2593" s="19">
        <v>50</v>
      </c>
    </row>
    <row r="2594" spans="1:27" x14ac:dyDescent="0.25">
      <c r="A2594" s="19" t="s">
        <v>2318</v>
      </c>
      <c r="B2594" s="19" t="s">
        <v>2299</v>
      </c>
      <c r="C2594" s="19" t="s">
        <v>2300</v>
      </c>
      <c r="D2594" s="19">
        <v>0.463287</v>
      </c>
      <c r="E2594" s="19" t="s">
        <v>140</v>
      </c>
      <c r="F2594" s="19" t="s">
        <v>141</v>
      </c>
      <c r="G2594" s="19" t="s">
        <v>134</v>
      </c>
      <c r="H2594" s="19" t="s">
        <v>87</v>
      </c>
      <c r="I2594" s="19" t="s">
        <v>135</v>
      </c>
      <c r="J2594" s="19">
        <v>10</v>
      </c>
      <c r="K2594" s="19">
        <v>4.1700000000000001E-2</v>
      </c>
      <c r="L2594" s="19" t="s">
        <v>35</v>
      </c>
      <c r="M2594" s="19" t="s">
        <v>40</v>
      </c>
      <c r="N2594" s="19">
        <v>11.11</v>
      </c>
      <c r="O2594" s="19">
        <v>11.11</v>
      </c>
      <c r="P2594" s="19">
        <v>0</v>
      </c>
      <c r="Q2594" s="19">
        <v>0</v>
      </c>
      <c r="R2594" s="19" t="s">
        <v>870</v>
      </c>
      <c r="S2594" s="19">
        <v>0.9</v>
      </c>
      <c r="T2594" s="19">
        <v>1</v>
      </c>
      <c r="U2594" s="19">
        <v>0</v>
      </c>
      <c r="W2594" s="19">
        <v>0</v>
      </c>
      <c r="X2594" s="19">
        <v>1</v>
      </c>
      <c r="Y2594" s="19" t="s">
        <v>40</v>
      </c>
      <c r="Z2594" s="19">
        <v>33.33</v>
      </c>
      <c r="AA2594" s="19">
        <v>11.11</v>
      </c>
    </row>
    <row r="2595" spans="1:27" x14ac:dyDescent="0.25">
      <c r="A2595" s="19" t="s">
        <v>2319</v>
      </c>
      <c r="B2595" s="19" t="s">
        <v>2299</v>
      </c>
      <c r="C2595" s="19" t="s">
        <v>2300</v>
      </c>
      <c r="D2595" s="19">
        <v>1.25</v>
      </c>
      <c r="E2595" s="19" t="s">
        <v>158</v>
      </c>
      <c r="F2595" s="19" t="s">
        <v>159</v>
      </c>
      <c r="G2595" s="19" t="s">
        <v>134</v>
      </c>
      <c r="H2595" s="19" t="s">
        <v>146</v>
      </c>
      <c r="I2595" s="19" t="s">
        <v>147</v>
      </c>
      <c r="J2595" s="19">
        <v>8</v>
      </c>
      <c r="K2595" s="19">
        <v>2.5000000000000001E-2</v>
      </c>
      <c r="L2595" s="19" t="s">
        <v>35</v>
      </c>
      <c r="M2595" s="19" t="s">
        <v>103</v>
      </c>
      <c r="N2595" s="19">
        <v>50</v>
      </c>
      <c r="O2595" s="19">
        <v>50</v>
      </c>
      <c r="P2595" s="19">
        <v>0</v>
      </c>
      <c r="Q2595" s="19">
        <v>0</v>
      </c>
      <c r="R2595" s="19" t="s">
        <v>870</v>
      </c>
      <c r="S2595" s="19">
        <v>0.9</v>
      </c>
      <c r="T2595" s="19">
        <v>1</v>
      </c>
      <c r="U2595" s="19">
        <v>0</v>
      </c>
      <c r="V2595" s="19" t="s">
        <v>41</v>
      </c>
      <c r="W2595" s="19">
        <v>1</v>
      </c>
      <c r="Y2595" s="19" t="s">
        <v>103</v>
      </c>
      <c r="Z2595" s="19">
        <v>50</v>
      </c>
      <c r="AA2595" s="19">
        <v>50</v>
      </c>
    </row>
    <row r="2596" spans="1:27" x14ac:dyDescent="0.25">
      <c r="A2596" s="19" t="s">
        <v>2320</v>
      </c>
      <c r="B2596" s="19" t="s">
        <v>2299</v>
      </c>
      <c r="C2596" s="19" t="s">
        <v>2300</v>
      </c>
      <c r="D2596" s="19">
        <v>0</v>
      </c>
      <c r="E2596" s="19" t="s">
        <v>49</v>
      </c>
      <c r="F2596" s="19" t="s">
        <v>50</v>
      </c>
      <c r="G2596" s="19" t="s">
        <v>32</v>
      </c>
      <c r="H2596" s="19" t="s">
        <v>33</v>
      </c>
      <c r="I2596" s="19" t="s">
        <v>34</v>
      </c>
      <c r="J2596" s="19">
        <v>12</v>
      </c>
      <c r="K2596" s="19">
        <v>1.6299999999999999E-2</v>
      </c>
      <c r="L2596" s="19" t="s">
        <v>35</v>
      </c>
      <c r="N2596" s="19">
        <v>0</v>
      </c>
      <c r="O2596" s="19">
        <v>0</v>
      </c>
      <c r="P2596" s="19">
        <v>0</v>
      </c>
      <c r="Q2596" s="19">
        <v>0</v>
      </c>
      <c r="R2596" s="19" t="s">
        <v>870</v>
      </c>
      <c r="S2596" s="19">
        <v>0.9</v>
      </c>
      <c r="T2596" s="19">
        <v>1</v>
      </c>
      <c r="U2596" s="19">
        <v>0</v>
      </c>
      <c r="V2596" s="19" t="s">
        <v>36</v>
      </c>
      <c r="W2596" s="19">
        <v>0</v>
      </c>
      <c r="Z2596" s="19">
        <v>0</v>
      </c>
      <c r="AA2596" s="19">
        <v>0</v>
      </c>
    </row>
    <row r="2597" spans="1:27" x14ac:dyDescent="0.25">
      <c r="A2597" s="19" t="s">
        <v>2321</v>
      </c>
      <c r="B2597" s="19" t="s">
        <v>2299</v>
      </c>
      <c r="C2597" s="19" t="s">
        <v>2300</v>
      </c>
      <c r="D2597" s="19">
        <v>0</v>
      </c>
      <c r="E2597" s="19" t="s">
        <v>66</v>
      </c>
      <c r="F2597" s="19" t="s">
        <v>67</v>
      </c>
      <c r="G2597" s="19" t="s">
        <v>32</v>
      </c>
      <c r="H2597" s="19" t="s">
        <v>63</v>
      </c>
      <c r="I2597" s="19" t="s">
        <v>64</v>
      </c>
      <c r="J2597" s="19">
        <v>20</v>
      </c>
      <c r="K2597" s="19">
        <v>1.8599999999999998E-2</v>
      </c>
      <c r="L2597" s="19" t="s">
        <v>35</v>
      </c>
      <c r="N2597" s="19">
        <v>0</v>
      </c>
      <c r="O2597" s="19">
        <v>0</v>
      </c>
      <c r="P2597" s="19">
        <v>0</v>
      </c>
      <c r="Q2597" s="19">
        <v>0</v>
      </c>
      <c r="R2597" s="19" t="s">
        <v>870</v>
      </c>
      <c r="S2597" s="19">
        <v>0.9</v>
      </c>
      <c r="T2597" s="19">
        <v>1</v>
      </c>
      <c r="U2597" s="19">
        <v>0</v>
      </c>
      <c r="V2597" s="19" t="s">
        <v>36</v>
      </c>
      <c r="W2597" s="19">
        <v>0</v>
      </c>
      <c r="Z2597" s="19">
        <v>0</v>
      </c>
      <c r="AA2597" s="19">
        <v>0</v>
      </c>
    </row>
    <row r="2598" spans="1:27" x14ac:dyDescent="0.25">
      <c r="A2598" s="19" t="s">
        <v>2322</v>
      </c>
      <c r="B2598" s="19" t="s">
        <v>2299</v>
      </c>
      <c r="C2598" s="19" t="s">
        <v>2300</v>
      </c>
      <c r="D2598" s="19">
        <v>0</v>
      </c>
      <c r="E2598" s="19" t="s">
        <v>78</v>
      </c>
      <c r="F2598" s="19" t="s">
        <v>79</v>
      </c>
      <c r="G2598" s="19" t="s">
        <v>32</v>
      </c>
      <c r="H2598" s="19" t="s">
        <v>63</v>
      </c>
      <c r="I2598" s="19" t="s">
        <v>64</v>
      </c>
      <c r="J2598" s="19">
        <v>25</v>
      </c>
      <c r="K2598" s="19">
        <v>1.8599999999999998E-2</v>
      </c>
      <c r="L2598" s="19" t="s">
        <v>35</v>
      </c>
      <c r="M2598" s="19" t="s">
        <v>40</v>
      </c>
      <c r="N2598" s="19">
        <v>0</v>
      </c>
      <c r="O2598" s="19">
        <v>0</v>
      </c>
      <c r="P2598" s="19">
        <v>0</v>
      </c>
      <c r="Q2598" s="19">
        <v>0</v>
      </c>
      <c r="R2598" s="19" t="s">
        <v>870</v>
      </c>
      <c r="S2598" s="19">
        <v>0.9</v>
      </c>
      <c r="T2598" s="19">
        <v>1</v>
      </c>
      <c r="U2598" s="19">
        <v>0</v>
      </c>
      <c r="V2598" s="19" t="s">
        <v>80</v>
      </c>
      <c r="W2598" s="19">
        <v>0</v>
      </c>
      <c r="Y2598" s="19" t="s">
        <v>40</v>
      </c>
      <c r="Z2598" s="19">
        <v>33.33</v>
      </c>
      <c r="AA2598" s="19">
        <v>0</v>
      </c>
    </row>
    <row r="2599" spans="1:27" x14ac:dyDescent="0.25">
      <c r="A2599" s="19" t="s">
        <v>2323</v>
      </c>
      <c r="B2599" s="19" t="s">
        <v>2299</v>
      </c>
      <c r="C2599" s="19" t="s">
        <v>2300</v>
      </c>
      <c r="D2599" s="19">
        <v>0.61993799999999899</v>
      </c>
      <c r="E2599" s="19" t="s">
        <v>82</v>
      </c>
      <c r="F2599" s="19" t="s">
        <v>83</v>
      </c>
      <c r="G2599" s="19" t="s">
        <v>32</v>
      </c>
      <c r="H2599" s="19" t="s">
        <v>63</v>
      </c>
      <c r="I2599" s="19" t="s">
        <v>64</v>
      </c>
      <c r="J2599" s="19">
        <v>26</v>
      </c>
      <c r="K2599" s="19">
        <v>1.8599999999999998E-2</v>
      </c>
      <c r="L2599" s="19" t="s">
        <v>35</v>
      </c>
      <c r="M2599" s="19" t="s">
        <v>40</v>
      </c>
      <c r="N2599" s="19">
        <v>33.33</v>
      </c>
      <c r="O2599" s="19">
        <v>33.33</v>
      </c>
      <c r="P2599" s="19">
        <v>0</v>
      </c>
      <c r="Q2599" s="19">
        <v>0</v>
      </c>
      <c r="R2599" s="19" t="s">
        <v>870</v>
      </c>
      <c r="S2599" s="19">
        <v>0.9</v>
      </c>
      <c r="T2599" s="19">
        <v>1</v>
      </c>
      <c r="U2599" s="19">
        <v>0</v>
      </c>
      <c r="V2599" s="19" t="s">
        <v>41</v>
      </c>
      <c r="W2599" s="19">
        <v>1</v>
      </c>
      <c r="Y2599" s="19" t="s">
        <v>40</v>
      </c>
      <c r="Z2599" s="19">
        <v>33.33</v>
      </c>
      <c r="AA2599" s="19">
        <v>33.33</v>
      </c>
    </row>
    <row r="2600" spans="1:27" x14ac:dyDescent="0.25">
      <c r="A2600" s="19" t="s">
        <v>2324</v>
      </c>
      <c r="B2600" s="19" t="s">
        <v>2299</v>
      </c>
      <c r="C2600" s="19" t="s">
        <v>2300</v>
      </c>
      <c r="D2600" s="19">
        <v>0</v>
      </c>
      <c r="E2600" s="19" t="s">
        <v>90</v>
      </c>
      <c r="F2600" s="19" t="s">
        <v>91</v>
      </c>
      <c r="G2600" s="19" t="s">
        <v>32</v>
      </c>
      <c r="H2600" s="19" t="s">
        <v>87</v>
      </c>
      <c r="I2600" s="19" t="s">
        <v>88</v>
      </c>
      <c r="J2600" s="19">
        <v>33</v>
      </c>
      <c r="K2600" s="19">
        <v>3.2500000000000001E-2</v>
      </c>
      <c r="L2600" s="19" t="s">
        <v>35</v>
      </c>
      <c r="N2600" s="19">
        <v>0</v>
      </c>
      <c r="O2600" s="19">
        <v>0</v>
      </c>
      <c r="P2600" s="19">
        <v>0</v>
      </c>
      <c r="Q2600" s="19">
        <v>0</v>
      </c>
      <c r="R2600" s="19" t="s">
        <v>870</v>
      </c>
      <c r="S2600" s="19">
        <v>0.9</v>
      </c>
      <c r="T2600" s="19">
        <v>1</v>
      </c>
      <c r="U2600" s="19">
        <v>0</v>
      </c>
      <c r="V2600" s="19" t="s">
        <v>36</v>
      </c>
      <c r="W2600" s="19">
        <v>0</v>
      </c>
      <c r="Z2600" s="19">
        <v>0</v>
      </c>
      <c r="AA2600" s="19">
        <v>0</v>
      </c>
    </row>
    <row r="2601" spans="1:27" x14ac:dyDescent="0.25">
      <c r="A2601" s="19" t="s">
        <v>2325</v>
      </c>
      <c r="B2601" s="19" t="s">
        <v>2299</v>
      </c>
      <c r="C2601" s="19" t="s">
        <v>2300</v>
      </c>
      <c r="D2601" s="19">
        <v>0</v>
      </c>
      <c r="E2601" s="19" t="s">
        <v>93</v>
      </c>
      <c r="F2601" s="19" t="s">
        <v>94</v>
      </c>
      <c r="G2601" s="19" t="s">
        <v>32</v>
      </c>
      <c r="H2601" s="19" t="s">
        <v>87</v>
      </c>
      <c r="I2601" s="19" t="s">
        <v>88</v>
      </c>
      <c r="J2601" s="19">
        <v>34</v>
      </c>
      <c r="K2601" s="19">
        <v>3.2500000000000001E-2</v>
      </c>
      <c r="L2601" s="19" t="s">
        <v>35</v>
      </c>
      <c r="M2601" s="19" t="s">
        <v>40</v>
      </c>
      <c r="N2601" s="19">
        <v>0</v>
      </c>
      <c r="O2601" s="19">
        <v>0</v>
      </c>
      <c r="P2601" s="19">
        <v>0</v>
      </c>
      <c r="Q2601" s="19">
        <v>0</v>
      </c>
      <c r="R2601" s="19" t="s">
        <v>870</v>
      </c>
      <c r="S2601" s="19">
        <v>0.9</v>
      </c>
      <c r="T2601" s="19">
        <v>1</v>
      </c>
      <c r="U2601" s="19">
        <v>0</v>
      </c>
      <c r="V2601" s="19" t="s">
        <v>80</v>
      </c>
      <c r="W2601" s="19">
        <v>0</v>
      </c>
      <c r="Y2601" s="19" t="s">
        <v>40</v>
      </c>
      <c r="Z2601" s="19">
        <v>33.33</v>
      </c>
      <c r="AA2601" s="19">
        <v>0</v>
      </c>
    </row>
    <row r="2602" spans="1:27" x14ac:dyDescent="0.25">
      <c r="A2602" s="19" t="s">
        <v>2326</v>
      </c>
      <c r="B2602" s="19" t="s">
        <v>2299</v>
      </c>
      <c r="C2602" s="19" t="s">
        <v>2300</v>
      </c>
      <c r="D2602" s="19">
        <v>0</v>
      </c>
      <c r="E2602" s="19" t="s">
        <v>96</v>
      </c>
      <c r="F2602" s="19" t="s">
        <v>97</v>
      </c>
      <c r="G2602" s="19" t="s">
        <v>32</v>
      </c>
      <c r="H2602" s="19" t="s">
        <v>87</v>
      </c>
      <c r="I2602" s="19" t="s">
        <v>88</v>
      </c>
      <c r="J2602" s="19">
        <v>36</v>
      </c>
      <c r="K2602" s="19">
        <v>3.2500000000000001E-2</v>
      </c>
      <c r="L2602" s="19" t="s">
        <v>35</v>
      </c>
      <c r="N2602" s="19">
        <v>0</v>
      </c>
      <c r="O2602" s="19">
        <v>0</v>
      </c>
      <c r="P2602" s="19">
        <v>0</v>
      </c>
      <c r="Q2602" s="19">
        <v>0</v>
      </c>
      <c r="R2602" s="19" t="s">
        <v>870</v>
      </c>
      <c r="S2602" s="19">
        <v>0.9</v>
      </c>
      <c r="T2602" s="19">
        <v>1</v>
      </c>
      <c r="U2602" s="19">
        <v>0</v>
      </c>
      <c r="V2602" s="19" t="s">
        <v>36</v>
      </c>
      <c r="W2602" s="19">
        <v>0</v>
      </c>
      <c r="Z2602" s="19">
        <v>0</v>
      </c>
      <c r="AA2602" s="19">
        <v>0</v>
      </c>
    </row>
    <row r="2603" spans="1:27" x14ac:dyDescent="0.25">
      <c r="A2603" s="19" t="s">
        <v>2327</v>
      </c>
      <c r="B2603" s="19" t="s">
        <v>2299</v>
      </c>
      <c r="C2603" s="19" t="s">
        <v>2300</v>
      </c>
      <c r="D2603" s="19">
        <v>0</v>
      </c>
      <c r="E2603" s="19" t="s">
        <v>99</v>
      </c>
      <c r="F2603" s="19" t="s">
        <v>100</v>
      </c>
      <c r="G2603" s="19" t="s">
        <v>32</v>
      </c>
      <c r="H2603" s="19" t="s">
        <v>101</v>
      </c>
      <c r="I2603" s="19" t="s">
        <v>102</v>
      </c>
      <c r="J2603" s="19">
        <v>39</v>
      </c>
      <c r="K2603" s="19">
        <v>4.3299999999999998E-2</v>
      </c>
      <c r="L2603" s="19" t="s">
        <v>35</v>
      </c>
      <c r="M2603" s="19" t="s">
        <v>103</v>
      </c>
      <c r="N2603" s="19">
        <v>0</v>
      </c>
      <c r="O2603" s="19">
        <v>0</v>
      </c>
      <c r="P2603" s="19">
        <v>0</v>
      </c>
      <c r="Q2603" s="19">
        <v>0</v>
      </c>
      <c r="R2603" s="19" t="s">
        <v>870</v>
      </c>
      <c r="S2603" s="19">
        <v>0.9</v>
      </c>
      <c r="T2603" s="19">
        <v>1</v>
      </c>
      <c r="U2603" s="19">
        <v>0</v>
      </c>
      <c r="V2603" s="19" t="s">
        <v>36</v>
      </c>
      <c r="W2603" s="19">
        <v>0</v>
      </c>
      <c r="Y2603" s="19" t="s">
        <v>103</v>
      </c>
      <c r="Z2603" s="19">
        <v>50</v>
      </c>
      <c r="AA2603" s="19">
        <v>0</v>
      </c>
    </row>
    <row r="2604" spans="1:27" x14ac:dyDescent="0.25">
      <c r="A2604" s="19" t="s">
        <v>2328</v>
      </c>
      <c r="B2604" s="19" t="s">
        <v>2299</v>
      </c>
      <c r="C2604" s="19" t="s">
        <v>2300</v>
      </c>
      <c r="D2604" s="19">
        <v>0</v>
      </c>
      <c r="E2604" s="19" t="s">
        <v>105</v>
      </c>
      <c r="F2604" s="19" t="s">
        <v>106</v>
      </c>
      <c r="G2604" s="19" t="s">
        <v>32</v>
      </c>
      <c r="H2604" s="19" t="s">
        <v>101</v>
      </c>
      <c r="I2604" s="19" t="s">
        <v>102</v>
      </c>
      <c r="J2604" s="19">
        <v>38</v>
      </c>
      <c r="K2604" s="19">
        <v>4.3299999999999998E-2</v>
      </c>
      <c r="L2604" s="19" t="s">
        <v>35</v>
      </c>
      <c r="M2604" s="19" t="s">
        <v>103</v>
      </c>
      <c r="N2604" s="19">
        <v>0</v>
      </c>
      <c r="O2604" s="19">
        <v>0</v>
      </c>
      <c r="P2604" s="19">
        <v>0</v>
      </c>
      <c r="Q2604" s="19">
        <v>0</v>
      </c>
      <c r="R2604" s="19" t="s">
        <v>870</v>
      </c>
      <c r="S2604" s="19">
        <v>0.9</v>
      </c>
      <c r="T2604" s="19">
        <v>1</v>
      </c>
      <c r="U2604" s="19">
        <v>0</v>
      </c>
      <c r="V2604" s="19" t="s">
        <v>36</v>
      </c>
      <c r="W2604" s="19">
        <v>0</v>
      </c>
      <c r="Y2604" s="19" t="s">
        <v>103</v>
      </c>
      <c r="Z2604" s="19">
        <v>50</v>
      </c>
      <c r="AA2604" s="19">
        <v>0</v>
      </c>
    </row>
    <row r="2605" spans="1:27" x14ac:dyDescent="0.25">
      <c r="A2605" s="19" t="s">
        <v>2329</v>
      </c>
      <c r="B2605" s="19" t="s">
        <v>2299</v>
      </c>
      <c r="C2605" s="19" t="s">
        <v>2300</v>
      </c>
      <c r="D2605" s="19">
        <v>0</v>
      </c>
      <c r="E2605" s="19" t="s">
        <v>108</v>
      </c>
      <c r="F2605" s="19" t="s">
        <v>109</v>
      </c>
      <c r="G2605" s="19" t="s">
        <v>32</v>
      </c>
      <c r="H2605" s="19" t="s">
        <v>101</v>
      </c>
      <c r="I2605" s="19" t="s">
        <v>102</v>
      </c>
      <c r="J2605" s="19">
        <v>37</v>
      </c>
      <c r="K2605" s="19">
        <v>4.3299999999999998E-2</v>
      </c>
      <c r="L2605" s="19" t="s">
        <v>35</v>
      </c>
      <c r="M2605" s="19" t="s">
        <v>40</v>
      </c>
      <c r="N2605" s="19">
        <v>0</v>
      </c>
      <c r="O2605" s="19">
        <v>0</v>
      </c>
      <c r="P2605" s="19">
        <v>0</v>
      </c>
      <c r="Q2605" s="19">
        <v>0</v>
      </c>
      <c r="R2605" s="19" t="s">
        <v>870</v>
      </c>
      <c r="S2605" s="19">
        <v>0.9</v>
      </c>
      <c r="T2605" s="19">
        <v>1</v>
      </c>
      <c r="U2605" s="19">
        <v>0</v>
      </c>
      <c r="V2605" s="19" t="s">
        <v>80</v>
      </c>
      <c r="W2605" s="19">
        <v>0</v>
      </c>
      <c r="Y2605" s="19" t="s">
        <v>40</v>
      </c>
      <c r="Z2605" s="19">
        <v>33.33</v>
      </c>
      <c r="AA2605" s="19">
        <v>0</v>
      </c>
    </row>
    <row r="2606" spans="1:27" x14ac:dyDescent="0.25">
      <c r="A2606" s="19" t="s">
        <v>2330</v>
      </c>
      <c r="B2606" s="19" t="s">
        <v>2299</v>
      </c>
      <c r="C2606" s="19" t="s">
        <v>2300</v>
      </c>
      <c r="D2606" s="19">
        <v>0</v>
      </c>
      <c r="E2606" s="19" t="s">
        <v>112</v>
      </c>
      <c r="F2606" s="19" t="s">
        <v>113</v>
      </c>
      <c r="G2606" s="19" t="s">
        <v>32</v>
      </c>
      <c r="H2606" s="19" t="s">
        <v>114</v>
      </c>
      <c r="I2606" s="19" t="s">
        <v>115</v>
      </c>
      <c r="J2606" s="19">
        <v>30</v>
      </c>
      <c r="K2606" s="19">
        <v>2.1700000000000001E-2</v>
      </c>
      <c r="L2606" s="19" t="s">
        <v>35</v>
      </c>
      <c r="M2606" s="19" t="s">
        <v>103</v>
      </c>
      <c r="N2606" s="19">
        <v>0</v>
      </c>
      <c r="O2606" s="19">
        <v>0</v>
      </c>
      <c r="P2606" s="19">
        <v>0</v>
      </c>
      <c r="Q2606" s="19">
        <v>0</v>
      </c>
      <c r="R2606" s="19" t="s">
        <v>870</v>
      </c>
      <c r="S2606" s="19">
        <v>0.9</v>
      </c>
      <c r="T2606" s="19">
        <v>1</v>
      </c>
      <c r="U2606" s="19">
        <v>0</v>
      </c>
      <c r="V2606" s="19" t="s">
        <v>36</v>
      </c>
      <c r="W2606" s="19">
        <v>0</v>
      </c>
      <c r="Y2606" s="19" t="s">
        <v>103</v>
      </c>
      <c r="Z2606" s="19">
        <v>50</v>
      </c>
      <c r="AA2606" s="19">
        <v>0</v>
      </c>
    </row>
    <row r="2607" spans="1:27" x14ac:dyDescent="0.25">
      <c r="A2607" s="19" t="s">
        <v>2331</v>
      </c>
      <c r="B2607" s="19" t="s">
        <v>2299</v>
      </c>
      <c r="C2607" s="19" t="s">
        <v>2300</v>
      </c>
      <c r="D2607" s="19">
        <v>1.085</v>
      </c>
      <c r="E2607" s="19" t="s">
        <v>117</v>
      </c>
      <c r="F2607" s="19" t="s">
        <v>118</v>
      </c>
      <c r="G2607" s="19" t="s">
        <v>32</v>
      </c>
      <c r="H2607" s="19" t="s">
        <v>114</v>
      </c>
      <c r="I2607" s="19" t="s">
        <v>115</v>
      </c>
      <c r="J2607" s="19">
        <v>31</v>
      </c>
      <c r="K2607" s="19">
        <v>2.1700000000000001E-2</v>
      </c>
      <c r="L2607" s="19" t="s">
        <v>35</v>
      </c>
      <c r="M2607" s="19" t="s">
        <v>103</v>
      </c>
      <c r="N2607" s="19">
        <v>50</v>
      </c>
      <c r="O2607" s="19">
        <v>50</v>
      </c>
      <c r="P2607" s="19">
        <v>0</v>
      </c>
      <c r="Q2607" s="19">
        <v>0</v>
      </c>
      <c r="R2607" s="19" t="s">
        <v>870</v>
      </c>
      <c r="S2607" s="19">
        <v>0.9</v>
      </c>
      <c r="T2607" s="19">
        <v>1</v>
      </c>
      <c r="U2607" s="19">
        <v>0</v>
      </c>
      <c r="V2607" s="19" t="s">
        <v>41</v>
      </c>
      <c r="W2607" s="19">
        <v>1</v>
      </c>
      <c r="Y2607" s="19" t="s">
        <v>103</v>
      </c>
      <c r="Z2607" s="19">
        <v>50</v>
      </c>
      <c r="AA2607" s="19">
        <v>50</v>
      </c>
    </row>
    <row r="2608" spans="1:27" x14ac:dyDescent="0.25">
      <c r="A2608" s="19" t="s">
        <v>2332</v>
      </c>
      <c r="B2608" s="19" t="s">
        <v>2299</v>
      </c>
      <c r="C2608" s="19" t="s">
        <v>2300</v>
      </c>
      <c r="D2608" s="19">
        <v>1.085</v>
      </c>
      <c r="E2608" s="19" t="s">
        <v>120</v>
      </c>
      <c r="F2608" s="19" t="s">
        <v>121</v>
      </c>
      <c r="G2608" s="19" t="s">
        <v>32</v>
      </c>
      <c r="H2608" s="19" t="s">
        <v>114</v>
      </c>
      <c r="I2608" s="19" t="s">
        <v>115</v>
      </c>
      <c r="J2608" s="19">
        <v>28</v>
      </c>
      <c r="K2608" s="19">
        <v>2.1700000000000001E-2</v>
      </c>
      <c r="L2608" s="19" t="s">
        <v>35</v>
      </c>
      <c r="M2608" s="19" t="s">
        <v>103</v>
      </c>
      <c r="N2608" s="19">
        <v>50</v>
      </c>
      <c r="O2608" s="19">
        <v>50</v>
      </c>
      <c r="P2608" s="19">
        <v>0</v>
      </c>
      <c r="Q2608" s="19">
        <v>0</v>
      </c>
      <c r="R2608" s="19" t="s">
        <v>870</v>
      </c>
      <c r="S2608" s="19">
        <v>0.9</v>
      </c>
      <c r="T2608" s="19">
        <v>1</v>
      </c>
      <c r="U2608" s="19">
        <v>0</v>
      </c>
      <c r="V2608" s="19" t="s">
        <v>41</v>
      </c>
      <c r="W2608" s="19">
        <v>1</v>
      </c>
      <c r="Y2608" s="19" t="s">
        <v>103</v>
      </c>
      <c r="Z2608" s="19">
        <v>50</v>
      </c>
      <c r="AA2608" s="19">
        <v>50</v>
      </c>
    </row>
    <row r="2609" spans="1:27" x14ac:dyDescent="0.25">
      <c r="A2609" s="19" t="s">
        <v>2333</v>
      </c>
      <c r="B2609" s="19" t="s">
        <v>2299</v>
      </c>
      <c r="C2609" s="19" t="s">
        <v>2300</v>
      </c>
      <c r="D2609" s="19">
        <v>1.085</v>
      </c>
      <c r="E2609" s="19" t="s">
        <v>123</v>
      </c>
      <c r="F2609" s="19" t="s">
        <v>124</v>
      </c>
      <c r="G2609" s="19" t="s">
        <v>32</v>
      </c>
      <c r="H2609" s="19" t="s">
        <v>114</v>
      </c>
      <c r="I2609" s="19" t="s">
        <v>115</v>
      </c>
      <c r="J2609" s="19">
        <v>27</v>
      </c>
      <c r="K2609" s="19">
        <v>2.1700000000000001E-2</v>
      </c>
      <c r="L2609" s="19" t="s">
        <v>35</v>
      </c>
      <c r="M2609" s="19" t="s">
        <v>103</v>
      </c>
      <c r="N2609" s="19">
        <v>50</v>
      </c>
      <c r="O2609" s="19">
        <v>50</v>
      </c>
      <c r="P2609" s="19">
        <v>0</v>
      </c>
      <c r="Q2609" s="19">
        <v>0</v>
      </c>
      <c r="R2609" s="19" t="s">
        <v>870</v>
      </c>
      <c r="S2609" s="19">
        <v>0.9</v>
      </c>
      <c r="T2609" s="19">
        <v>1</v>
      </c>
      <c r="U2609" s="19">
        <v>0</v>
      </c>
      <c r="V2609" s="19" t="s">
        <v>41</v>
      </c>
      <c r="W2609" s="19">
        <v>1</v>
      </c>
      <c r="Y2609" s="19" t="s">
        <v>103</v>
      </c>
      <c r="Z2609" s="19">
        <v>50</v>
      </c>
      <c r="AA2609" s="19">
        <v>50</v>
      </c>
    </row>
    <row r="2610" spans="1:27" x14ac:dyDescent="0.25">
      <c r="A2610" s="19" t="s">
        <v>2334</v>
      </c>
      <c r="B2610" s="19" t="s">
        <v>2299</v>
      </c>
      <c r="C2610" s="19" t="s">
        <v>2300</v>
      </c>
      <c r="D2610" s="19">
        <v>0</v>
      </c>
      <c r="E2610" s="19" t="s">
        <v>126</v>
      </c>
      <c r="F2610" s="19" t="s">
        <v>127</v>
      </c>
      <c r="G2610" s="19" t="s">
        <v>32</v>
      </c>
      <c r="H2610" s="19" t="s">
        <v>114</v>
      </c>
      <c r="I2610" s="19" t="s">
        <v>115</v>
      </c>
      <c r="J2610" s="19">
        <v>29</v>
      </c>
      <c r="K2610" s="19">
        <v>2.1700000000000001E-2</v>
      </c>
      <c r="L2610" s="19" t="s">
        <v>35</v>
      </c>
      <c r="M2610" s="19" t="s">
        <v>103</v>
      </c>
      <c r="N2610" s="19">
        <v>0</v>
      </c>
      <c r="O2610" s="19">
        <v>0</v>
      </c>
      <c r="P2610" s="19">
        <v>0</v>
      </c>
      <c r="Q2610" s="19">
        <v>0</v>
      </c>
      <c r="R2610" s="19" t="s">
        <v>870</v>
      </c>
      <c r="S2610" s="19">
        <v>0.9</v>
      </c>
      <c r="T2610" s="19">
        <v>1</v>
      </c>
      <c r="U2610" s="19">
        <v>0</v>
      </c>
      <c r="V2610" s="19" t="s">
        <v>80</v>
      </c>
      <c r="W2610" s="19">
        <v>0</v>
      </c>
      <c r="Y2610" s="19" t="s">
        <v>103</v>
      </c>
      <c r="Z2610" s="19">
        <v>50</v>
      </c>
      <c r="AA2610" s="19">
        <v>0</v>
      </c>
    </row>
    <row r="2611" spans="1:27" x14ac:dyDescent="0.25">
      <c r="A2611" s="19" t="s">
        <v>2335</v>
      </c>
      <c r="B2611" s="19" t="s">
        <v>2299</v>
      </c>
      <c r="C2611" s="19" t="s">
        <v>2300</v>
      </c>
      <c r="D2611" s="19">
        <v>1.085</v>
      </c>
      <c r="E2611" s="19" t="s">
        <v>129</v>
      </c>
      <c r="F2611" s="19" t="s">
        <v>130</v>
      </c>
      <c r="G2611" s="19" t="s">
        <v>32</v>
      </c>
      <c r="H2611" s="19" t="s">
        <v>114</v>
      </c>
      <c r="I2611" s="19" t="s">
        <v>115</v>
      </c>
      <c r="J2611" s="19">
        <v>32</v>
      </c>
      <c r="K2611" s="19">
        <v>2.1700000000000001E-2</v>
      </c>
      <c r="L2611" s="19" t="s">
        <v>35</v>
      </c>
      <c r="M2611" s="19" t="s">
        <v>103</v>
      </c>
      <c r="N2611" s="19">
        <v>50</v>
      </c>
      <c r="O2611" s="19">
        <v>50</v>
      </c>
      <c r="P2611" s="19">
        <v>0</v>
      </c>
      <c r="Q2611" s="19">
        <v>0</v>
      </c>
      <c r="R2611" s="19" t="s">
        <v>870</v>
      </c>
      <c r="S2611" s="19">
        <v>0.9</v>
      </c>
      <c r="T2611" s="19">
        <v>1</v>
      </c>
      <c r="U2611" s="19">
        <v>0</v>
      </c>
      <c r="V2611" s="19" t="s">
        <v>41</v>
      </c>
      <c r="W2611" s="19">
        <v>1</v>
      </c>
      <c r="Y2611" s="19" t="s">
        <v>103</v>
      </c>
      <c r="Z2611" s="19">
        <v>50</v>
      </c>
      <c r="AA2611" s="19">
        <v>50</v>
      </c>
    </row>
    <row r="2612" spans="1:27" x14ac:dyDescent="0.25">
      <c r="A2612" s="19" t="s">
        <v>2336</v>
      </c>
      <c r="B2612" s="19" t="s">
        <v>2299</v>
      </c>
      <c r="C2612" s="19" t="s">
        <v>2300</v>
      </c>
      <c r="D2612" s="19">
        <v>2.2197779999999998</v>
      </c>
      <c r="E2612" s="19" t="s">
        <v>161</v>
      </c>
      <c r="F2612" s="19" t="s">
        <v>162</v>
      </c>
      <c r="G2612" s="19" t="s">
        <v>163</v>
      </c>
      <c r="I2612" s="19" t="s">
        <v>164</v>
      </c>
      <c r="J2612" s="19">
        <v>1</v>
      </c>
      <c r="K2612" s="19">
        <v>3.3300000000000003E-2</v>
      </c>
      <c r="L2612" s="19" t="s">
        <v>35</v>
      </c>
      <c r="M2612" s="19" t="s">
        <v>165</v>
      </c>
      <c r="N2612" s="19">
        <v>66.66</v>
      </c>
      <c r="O2612" s="19">
        <v>66.66</v>
      </c>
      <c r="P2612" s="19">
        <v>0</v>
      </c>
      <c r="Q2612" s="19">
        <v>0</v>
      </c>
      <c r="R2612" s="19" t="s">
        <v>870</v>
      </c>
      <c r="S2612" s="19">
        <v>0.9</v>
      </c>
      <c r="T2612" s="19">
        <v>1</v>
      </c>
      <c r="U2612" s="19">
        <v>0</v>
      </c>
      <c r="W2612" s="19">
        <v>0</v>
      </c>
      <c r="X2612" s="19">
        <v>66.66</v>
      </c>
      <c r="Z2612" s="19">
        <v>0</v>
      </c>
      <c r="AA2612" s="19">
        <v>66.66</v>
      </c>
    </row>
    <row r="2613" spans="1:27" x14ac:dyDescent="0.25">
      <c r="A2613" s="19" t="s">
        <v>2337</v>
      </c>
      <c r="B2613" s="19" t="s">
        <v>2299</v>
      </c>
      <c r="C2613" s="19" t="s">
        <v>2300</v>
      </c>
      <c r="D2613" s="19">
        <v>0</v>
      </c>
      <c r="E2613" s="19" t="s">
        <v>167</v>
      </c>
      <c r="F2613" s="19" t="s">
        <v>168</v>
      </c>
      <c r="G2613" s="19" t="s">
        <v>163</v>
      </c>
      <c r="I2613" s="19" t="s">
        <v>164</v>
      </c>
      <c r="J2613" s="19">
        <v>3</v>
      </c>
      <c r="K2613" s="19">
        <v>3.3300000000000003E-2</v>
      </c>
      <c r="L2613" s="19" t="s">
        <v>35</v>
      </c>
      <c r="M2613" s="19" t="s">
        <v>165</v>
      </c>
      <c r="N2613" s="19">
        <v>0</v>
      </c>
      <c r="O2613" s="19">
        <v>0</v>
      </c>
      <c r="P2613" s="19">
        <v>0</v>
      </c>
      <c r="Q2613" s="19">
        <v>0</v>
      </c>
      <c r="R2613" s="19" t="s">
        <v>870</v>
      </c>
      <c r="S2613" s="19">
        <v>0.9</v>
      </c>
      <c r="T2613" s="19">
        <v>1</v>
      </c>
      <c r="U2613" s="19">
        <v>0</v>
      </c>
      <c r="W2613" s="19">
        <v>0</v>
      </c>
      <c r="X2613" s="19">
        <v>0</v>
      </c>
      <c r="Z2613" s="19">
        <v>0</v>
      </c>
      <c r="AA2613" s="19">
        <v>0</v>
      </c>
    </row>
    <row r="2614" spans="1:27" x14ac:dyDescent="0.25">
      <c r="A2614" s="19" t="s">
        <v>2338</v>
      </c>
      <c r="B2614" s="19" t="s">
        <v>2299</v>
      </c>
      <c r="C2614" s="19" t="s">
        <v>2300</v>
      </c>
      <c r="D2614" s="19">
        <v>1.2654000000000001</v>
      </c>
      <c r="E2614" s="19" t="s">
        <v>170</v>
      </c>
      <c r="F2614" s="19" t="s">
        <v>171</v>
      </c>
      <c r="G2614" s="19" t="s">
        <v>163</v>
      </c>
      <c r="I2614" s="19" t="s">
        <v>164</v>
      </c>
      <c r="J2614" s="19">
        <v>2</v>
      </c>
      <c r="K2614" s="19">
        <v>3.3300000000000003E-2</v>
      </c>
      <c r="L2614" s="19" t="s">
        <v>35</v>
      </c>
      <c r="M2614" s="19" t="s">
        <v>165</v>
      </c>
      <c r="N2614" s="19">
        <v>38</v>
      </c>
      <c r="O2614" s="19">
        <v>38</v>
      </c>
      <c r="P2614" s="19">
        <v>0</v>
      </c>
      <c r="Q2614" s="19">
        <v>0</v>
      </c>
      <c r="R2614" s="19" t="s">
        <v>870</v>
      </c>
      <c r="S2614" s="19">
        <v>0.9</v>
      </c>
      <c r="T2614" s="19">
        <v>1</v>
      </c>
      <c r="U2614" s="19">
        <v>0</v>
      </c>
      <c r="W2614" s="19">
        <v>0</v>
      </c>
      <c r="X2614" s="19">
        <v>38</v>
      </c>
      <c r="Z2614" s="19">
        <v>0</v>
      </c>
      <c r="AA2614" s="19">
        <v>38</v>
      </c>
    </row>
    <row r="2615" spans="1:27" x14ac:dyDescent="0.25">
      <c r="A2615" s="19" t="s">
        <v>2827</v>
      </c>
      <c r="B2615" s="19" t="s">
        <v>3188</v>
      </c>
      <c r="C2615" s="19" t="s">
        <v>2829</v>
      </c>
      <c r="D2615" s="19">
        <v>2.5</v>
      </c>
      <c r="E2615" s="19" t="s">
        <v>144</v>
      </c>
      <c r="F2615" s="19" t="s">
        <v>145</v>
      </c>
      <c r="G2615" s="19" t="s">
        <v>134</v>
      </c>
      <c r="H2615" s="19" t="s">
        <v>146</v>
      </c>
      <c r="I2615" s="19" t="s">
        <v>147</v>
      </c>
      <c r="J2615" s="19">
        <v>4</v>
      </c>
      <c r="K2615" s="19">
        <v>2.5000000000000001E-2</v>
      </c>
      <c r="L2615" s="19" t="s">
        <v>541</v>
      </c>
      <c r="M2615" s="19" t="s">
        <v>541</v>
      </c>
      <c r="N2615" s="19">
        <v>50</v>
      </c>
      <c r="O2615" s="19">
        <v>100</v>
      </c>
      <c r="P2615" s="19">
        <v>100</v>
      </c>
      <c r="Q2615" s="19">
        <v>50</v>
      </c>
      <c r="R2615" s="19" t="s">
        <v>870</v>
      </c>
      <c r="S2615" s="19">
        <v>0.9</v>
      </c>
      <c r="T2615" s="19">
        <v>1</v>
      </c>
      <c r="U2615" s="19">
        <v>50</v>
      </c>
      <c r="AA2615" s="19">
        <v>0</v>
      </c>
    </row>
    <row r="2616" spans="1:27" x14ac:dyDescent="0.25">
      <c r="A2616" s="19" t="s">
        <v>2830</v>
      </c>
      <c r="B2616" s="19" t="s">
        <v>3188</v>
      </c>
      <c r="C2616" s="19" t="s">
        <v>2829</v>
      </c>
      <c r="D2616" s="19">
        <v>2.5</v>
      </c>
      <c r="E2616" s="19" t="s">
        <v>149</v>
      </c>
      <c r="F2616" s="19" t="s">
        <v>150</v>
      </c>
      <c r="G2616" s="19" t="s">
        <v>134</v>
      </c>
      <c r="H2616" s="19" t="s">
        <v>146</v>
      </c>
      <c r="I2616" s="19" t="s">
        <v>147</v>
      </c>
      <c r="J2616" s="19">
        <v>5</v>
      </c>
      <c r="K2616" s="19">
        <v>2.5000000000000001E-2</v>
      </c>
      <c r="L2616" s="19" t="s">
        <v>541</v>
      </c>
      <c r="M2616" s="19" t="s">
        <v>541</v>
      </c>
      <c r="N2616" s="19">
        <v>50</v>
      </c>
      <c r="O2616" s="19">
        <v>100</v>
      </c>
      <c r="P2616" s="19">
        <v>100</v>
      </c>
      <c r="Q2616" s="19">
        <v>50</v>
      </c>
      <c r="R2616" s="19" t="s">
        <v>870</v>
      </c>
      <c r="S2616" s="19">
        <v>0.9</v>
      </c>
      <c r="T2616" s="19">
        <v>1</v>
      </c>
      <c r="U2616" s="19">
        <v>50</v>
      </c>
      <c r="AA2616" s="19">
        <v>0</v>
      </c>
    </row>
    <row r="2617" spans="1:27" x14ac:dyDescent="0.25">
      <c r="A2617" s="19" t="s">
        <v>2831</v>
      </c>
      <c r="B2617" s="19" t="s">
        <v>3188</v>
      </c>
      <c r="C2617" s="19" t="s">
        <v>2829</v>
      </c>
      <c r="D2617" s="19">
        <v>0.924074351978172</v>
      </c>
      <c r="E2617" s="19" t="s">
        <v>43</v>
      </c>
      <c r="F2617" s="19" t="s">
        <v>44</v>
      </c>
      <c r="G2617" s="19" t="s">
        <v>32</v>
      </c>
      <c r="H2617" s="19" t="s">
        <v>33</v>
      </c>
      <c r="I2617" s="19" t="s">
        <v>34</v>
      </c>
      <c r="J2617" s="19">
        <v>18</v>
      </c>
      <c r="K2617" s="19">
        <v>1.6299999999999999E-2</v>
      </c>
      <c r="L2617" s="19" t="s">
        <v>541</v>
      </c>
      <c r="M2617" s="19" t="s">
        <v>541</v>
      </c>
      <c r="N2617" s="19">
        <v>50</v>
      </c>
      <c r="O2617" s="19">
        <v>56.691678035499997</v>
      </c>
      <c r="P2617" s="19">
        <v>14.870395634399999</v>
      </c>
      <c r="Q2617" s="19">
        <v>7.4351978171899997</v>
      </c>
      <c r="R2617" s="19" t="s">
        <v>870</v>
      </c>
      <c r="S2617" s="19">
        <v>0.9</v>
      </c>
      <c r="T2617" s="19">
        <v>0.9</v>
      </c>
      <c r="U2617" s="19">
        <v>6.6916780354699998</v>
      </c>
      <c r="AA2617" s="19">
        <v>0</v>
      </c>
    </row>
    <row r="2618" spans="1:27" x14ac:dyDescent="0.25">
      <c r="A2618" s="19" t="s">
        <v>2832</v>
      </c>
      <c r="B2618" s="19" t="s">
        <v>3188</v>
      </c>
      <c r="C2618" s="19" t="s">
        <v>2829</v>
      </c>
      <c r="D2618" s="19">
        <v>1.3878905184174599</v>
      </c>
      <c r="E2618" s="19" t="s">
        <v>46</v>
      </c>
      <c r="F2618" s="19" t="s">
        <v>47</v>
      </c>
      <c r="G2618" s="19" t="s">
        <v>32</v>
      </c>
      <c r="H2618" s="19" t="s">
        <v>33</v>
      </c>
      <c r="I2618" s="19" t="s">
        <v>34</v>
      </c>
      <c r="J2618" s="19">
        <v>15</v>
      </c>
      <c r="K2618" s="19">
        <v>1.6299999999999999E-2</v>
      </c>
      <c r="L2618" s="19" t="s">
        <v>541</v>
      </c>
      <c r="M2618" s="19" t="s">
        <v>541</v>
      </c>
      <c r="N2618" s="19">
        <v>50</v>
      </c>
      <c r="O2618" s="19">
        <v>85.146657571600002</v>
      </c>
      <c r="P2618" s="19">
        <v>78.103683492499997</v>
      </c>
      <c r="Q2618" s="19">
        <v>39.051841746199997</v>
      </c>
      <c r="R2618" s="19" t="s">
        <v>870</v>
      </c>
      <c r="S2618" s="19">
        <v>0.9</v>
      </c>
      <c r="T2618" s="19">
        <v>0.9</v>
      </c>
      <c r="U2618" s="19">
        <v>35.146657571600002</v>
      </c>
      <c r="AA2618" s="19">
        <v>0</v>
      </c>
    </row>
    <row r="2619" spans="1:27" x14ac:dyDescent="0.25">
      <c r="A2619" s="19" t="s">
        <v>2833</v>
      </c>
      <c r="B2619" s="19" t="s">
        <v>3188</v>
      </c>
      <c r="C2619" s="19" t="s">
        <v>2829</v>
      </c>
      <c r="D2619" s="19">
        <v>1.54849999999999</v>
      </c>
      <c r="E2619" s="19" t="s">
        <v>49</v>
      </c>
      <c r="F2619" s="19" t="s">
        <v>50</v>
      </c>
      <c r="G2619" s="19" t="s">
        <v>32</v>
      </c>
      <c r="H2619" s="19" t="s">
        <v>33</v>
      </c>
      <c r="I2619" s="19" t="s">
        <v>34</v>
      </c>
      <c r="J2619" s="19">
        <v>12</v>
      </c>
      <c r="K2619" s="19">
        <v>1.6299999999999999E-2</v>
      </c>
      <c r="L2619" s="19" t="s">
        <v>541</v>
      </c>
      <c r="M2619" s="19" t="s">
        <v>541</v>
      </c>
      <c r="N2619" s="19">
        <v>50</v>
      </c>
      <c r="O2619" s="19">
        <v>95</v>
      </c>
      <c r="P2619" s="19">
        <v>100</v>
      </c>
      <c r="Q2619" s="19">
        <v>50</v>
      </c>
      <c r="R2619" s="19" t="s">
        <v>870</v>
      </c>
      <c r="S2619" s="19">
        <v>0.9</v>
      </c>
      <c r="T2619" s="19">
        <v>0.9</v>
      </c>
      <c r="U2619" s="19">
        <v>45</v>
      </c>
      <c r="AA2619" s="19">
        <v>0</v>
      </c>
    </row>
    <row r="2620" spans="1:27" x14ac:dyDescent="0.25">
      <c r="A2620" s="19" t="s">
        <v>2834</v>
      </c>
      <c r="B2620" s="19" t="s">
        <v>3188</v>
      </c>
      <c r="C2620" s="19" t="s">
        <v>2829</v>
      </c>
      <c r="D2620" s="19">
        <v>0.924074351978172</v>
      </c>
      <c r="E2620" s="19" t="s">
        <v>52</v>
      </c>
      <c r="F2620" s="19" t="s">
        <v>53</v>
      </c>
      <c r="G2620" s="19" t="s">
        <v>32</v>
      </c>
      <c r="H2620" s="19" t="s">
        <v>33</v>
      </c>
      <c r="I2620" s="19" t="s">
        <v>34</v>
      </c>
      <c r="J2620" s="19">
        <v>16</v>
      </c>
      <c r="K2620" s="19">
        <v>1.6299999999999999E-2</v>
      </c>
      <c r="L2620" s="19" t="s">
        <v>541</v>
      </c>
      <c r="M2620" s="19" t="s">
        <v>541</v>
      </c>
      <c r="N2620" s="19">
        <v>50</v>
      </c>
      <c r="O2620" s="19">
        <v>56.691678035499997</v>
      </c>
      <c r="P2620" s="19">
        <v>14.870395634399999</v>
      </c>
      <c r="Q2620" s="19">
        <v>7.4351978171899997</v>
      </c>
      <c r="R2620" s="19" t="s">
        <v>870</v>
      </c>
      <c r="S2620" s="19">
        <v>0.9</v>
      </c>
      <c r="T2620" s="19">
        <v>0.9</v>
      </c>
      <c r="U2620" s="19">
        <v>6.6916780354699998</v>
      </c>
      <c r="AA2620" s="19">
        <v>0</v>
      </c>
    </row>
    <row r="2621" spans="1:27" x14ac:dyDescent="0.25">
      <c r="A2621" s="19" t="s">
        <v>2835</v>
      </c>
      <c r="B2621" s="19" t="s">
        <v>3188</v>
      </c>
      <c r="C2621" s="19" t="s">
        <v>2829</v>
      </c>
      <c r="D2621" s="19">
        <v>1.54399693042291</v>
      </c>
      <c r="E2621" s="19" t="s">
        <v>55</v>
      </c>
      <c r="F2621" s="19" t="s">
        <v>56</v>
      </c>
      <c r="G2621" s="19" t="s">
        <v>32</v>
      </c>
      <c r="H2621" s="19" t="s">
        <v>33</v>
      </c>
      <c r="I2621" s="19" t="s">
        <v>34</v>
      </c>
      <c r="J2621" s="19">
        <v>14</v>
      </c>
      <c r="K2621" s="19">
        <v>1.6299999999999999E-2</v>
      </c>
      <c r="L2621" s="19" t="s">
        <v>541</v>
      </c>
      <c r="M2621" s="19" t="s">
        <v>541</v>
      </c>
      <c r="N2621" s="19">
        <v>50</v>
      </c>
      <c r="O2621" s="19">
        <v>94.723738062799995</v>
      </c>
      <c r="P2621" s="19">
        <v>99.386084583900001</v>
      </c>
      <c r="Q2621" s="19">
        <v>49.693042292000001</v>
      </c>
      <c r="R2621" s="19" t="s">
        <v>870</v>
      </c>
      <c r="S2621" s="19">
        <v>0.9</v>
      </c>
      <c r="T2621" s="19">
        <v>0.9</v>
      </c>
      <c r="U2621" s="19">
        <v>44.723738062800003</v>
      </c>
      <c r="AA2621" s="19">
        <v>0</v>
      </c>
    </row>
    <row r="2622" spans="1:27" x14ac:dyDescent="0.25">
      <c r="A2622" s="19" t="s">
        <v>2836</v>
      </c>
      <c r="B2622" s="19" t="s">
        <v>3188</v>
      </c>
      <c r="C2622" s="19" t="s">
        <v>2829</v>
      </c>
      <c r="D2622" s="19">
        <v>1.54849999999999</v>
      </c>
      <c r="E2622" s="19" t="s">
        <v>58</v>
      </c>
      <c r="F2622" s="19" t="s">
        <v>59</v>
      </c>
      <c r="G2622" s="19" t="s">
        <v>32</v>
      </c>
      <c r="H2622" s="19" t="s">
        <v>33</v>
      </c>
      <c r="I2622" s="19" t="s">
        <v>34</v>
      </c>
      <c r="J2622" s="19">
        <v>13</v>
      </c>
      <c r="K2622" s="19">
        <v>1.6299999999999999E-2</v>
      </c>
      <c r="L2622" s="19" t="s">
        <v>541</v>
      </c>
      <c r="M2622" s="19" t="s">
        <v>541</v>
      </c>
      <c r="N2622" s="19">
        <v>50</v>
      </c>
      <c r="O2622" s="19">
        <v>95</v>
      </c>
      <c r="P2622" s="19">
        <v>100</v>
      </c>
      <c r="Q2622" s="19">
        <v>50</v>
      </c>
      <c r="R2622" s="19" t="s">
        <v>870</v>
      </c>
      <c r="S2622" s="19">
        <v>0.9</v>
      </c>
      <c r="T2622" s="19">
        <v>0.9</v>
      </c>
      <c r="U2622" s="19">
        <v>45</v>
      </c>
      <c r="AA2622" s="19">
        <v>0</v>
      </c>
    </row>
    <row r="2623" spans="1:27" x14ac:dyDescent="0.25">
      <c r="A2623" s="19" t="s">
        <v>2837</v>
      </c>
      <c r="B2623" s="19" t="s">
        <v>3188</v>
      </c>
      <c r="C2623" s="19" t="s">
        <v>2829</v>
      </c>
      <c r="D2623" s="19">
        <v>1.76585499316005</v>
      </c>
      <c r="E2623" s="19" t="s">
        <v>61</v>
      </c>
      <c r="F2623" s="19" t="s">
        <v>62</v>
      </c>
      <c r="G2623" s="19" t="s">
        <v>32</v>
      </c>
      <c r="H2623" s="19" t="s">
        <v>63</v>
      </c>
      <c r="I2623" s="19" t="s">
        <v>64</v>
      </c>
      <c r="J2623" s="19">
        <v>22</v>
      </c>
      <c r="K2623" s="19">
        <v>1.8599999999999998E-2</v>
      </c>
      <c r="L2623" s="19" t="s">
        <v>541</v>
      </c>
      <c r="M2623" s="19" t="s">
        <v>541</v>
      </c>
      <c r="N2623" s="19">
        <v>50</v>
      </c>
      <c r="O2623" s="19">
        <v>94.938440492500007</v>
      </c>
      <c r="P2623" s="19">
        <v>99.863201094399997</v>
      </c>
      <c r="Q2623" s="19">
        <v>49.931600547199999</v>
      </c>
      <c r="R2623" s="19" t="s">
        <v>870</v>
      </c>
      <c r="S2623" s="19">
        <v>0.9</v>
      </c>
      <c r="T2623" s="19">
        <v>0.9</v>
      </c>
      <c r="U2623" s="19">
        <v>44.9384404925</v>
      </c>
      <c r="AA2623" s="19">
        <v>0</v>
      </c>
    </row>
    <row r="2624" spans="1:27" x14ac:dyDescent="0.25">
      <c r="A2624" s="19" t="s">
        <v>2838</v>
      </c>
      <c r="B2624" s="19" t="s">
        <v>3188</v>
      </c>
      <c r="C2624" s="19" t="s">
        <v>2829</v>
      </c>
      <c r="D2624" s="19">
        <v>1.76585499316005</v>
      </c>
      <c r="E2624" s="19" t="s">
        <v>66</v>
      </c>
      <c r="F2624" s="19" t="s">
        <v>67</v>
      </c>
      <c r="G2624" s="19" t="s">
        <v>32</v>
      </c>
      <c r="H2624" s="19" t="s">
        <v>63</v>
      </c>
      <c r="I2624" s="19" t="s">
        <v>64</v>
      </c>
      <c r="J2624" s="19">
        <v>20</v>
      </c>
      <c r="K2624" s="19">
        <v>1.8599999999999998E-2</v>
      </c>
      <c r="L2624" s="19" t="s">
        <v>541</v>
      </c>
      <c r="M2624" s="19" t="s">
        <v>541</v>
      </c>
      <c r="N2624" s="19">
        <v>50</v>
      </c>
      <c r="O2624" s="19">
        <v>94.938440492500007</v>
      </c>
      <c r="P2624" s="19">
        <v>99.863201094399997</v>
      </c>
      <c r="Q2624" s="19">
        <v>49.931600547199999</v>
      </c>
      <c r="R2624" s="19" t="s">
        <v>870</v>
      </c>
      <c r="S2624" s="19">
        <v>0.9</v>
      </c>
      <c r="T2624" s="19">
        <v>0.9</v>
      </c>
      <c r="U2624" s="19">
        <v>44.9384404925</v>
      </c>
      <c r="AA2624" s="19">
        <v>0</v>
      </c>
    </row>
    <row r="2625" spans="1:27" x14ac:dyDescent="0.25">
      <c r="A2625" s="19" t="s">
        <v>2839</v>
      </c>
      <c r="B2625" s="19" t="s">
        <v>3188</v>
      </c>
      <c r="C2625" s="19" t="s">
        <v>2829</v>
      </c>
      <c r="D2625" s="19">
        <v>1.6937195622435</v>
      </c>
      <c r="E2625" s="19" t="s">
        <v>69</v>
      </c>
      <c r="F2625" s="19" t="s">
        <v>70</v>
      </c>
      <c r="G2625" s="19" t="s">
        <v>32</v>
      </c>
      <c r="H2625" s="19" t="s">
        <v>63</v>
      </c>
      <c r="I2625" s="19" t="s">
        <v>64</v>
      </c>
      <c r="J2625" s="19">
        <v>23</v>
      </c>
      <c r="K2625" s="19">
        <v>1.8599999999999998E-2</v>
      </c>
      <c r="L2625" s="19" t="s">
        <v>541</v>
      </c>
      <c r="M2625" s="19" t="s">
        <v>541</v>
      </c>
      <c r="N2625" s="19">
        <v>50</v>
      </c>
      <c r="O2625" s="19">
        <v>91.060191518500005</v>
      </c>
      <c r="P2625" s="19">
        <v>91.244870040999999</v>
      </c>
      <c r="Q2625" s="19">
        <v>45.622435020499999</v>
      </c>
      <c r="R2625" s="19" t="s">
        <v>870</v>
      </c>
      <c r="S2625" s="19">
        <v>0.9</v>
      </c>
      <c r="T2625" s="19">
        <v>0.9</v>
      </c>
      <c r="U2625" s="19">
        <v>41.060191518499998</v>
      </c>
      <c r="AA2625" s="19">
        <v>0</v>
      </c>
    </row>
    <row r="2626" spans="1:27" x14ac:dyDescent="0.25">
      <c r="A2626" s="19" t="s">
        <v>2840</v>
      </c>
      <c r="B2626" s="19" t="s">
        <v>3188</v>
      </c>
      <c r="C2626" s="19" t="s">
        <v>2829</v>
      </c>
      <c r="D2626" s="19">
        <v>1.76585499316005</v>
      </c>
      <c r="E2626" s="19" t="s">
        <v>72</v>
      </c>
      <c r="F2626" s="19" t="s">
        <v>73</v>
      </c>
      <c r="G2626" s="19" t="s">
        <v>32</v>
      </c>
      <c r="H2626" s="19" t="s">
        <v>63</v>
      </c>
      <c r="I2626" s="19" t="s">
        <v>64</v>
      </c>
      <c r="J2626" s="19">
        <v>21</v>
      </c>
      <c r="K2626" s="19">
        <v>1.8599999999999998E-2</v>
      </c>
      <c r="L2626" s="19" t="s">
        <v>541</v>
      </c>
      <c r="M2626" s="19" t="s">
        <v>541</v>
      </c>
      <c r="N2626" s="19">
        <v>50</v>
      </c>
      <c r="O2626" s="19">
        <v>94.938440492500007</v>
      </c>
      <c r="P2626" s="19">
        <v>99.863201094399997</v>
      </c>
      <c r="Q2626" s="19">
        <v>49.931600547199999</v>
      </c>
      <c r="R2626" s="19" t="s">
        <v>870</v>
      </c>
      <c r="S2626" s="19">
        <v>0.9</v>
      </c>
      <c r="T2626" s="19">
        <v>0.9</v>
      </c>
      <c r="U2626" s="19">
        <v>44.9384404925</v>
      </c>
      <c r="AA2626" s="19">
        <v>0</v>
      </c>
    </row>
    <row r="2627" spans="1:27" x14ac:dyDescent="0.25">
      <c r="A2627" s="19" t="s">
        <v>2841</v>
      </c>
      <c r="B2627" s="19" t="s">
        <v>3188</v>
      </c>
      <c r="C2627" s="19" t="s">
        <v>2829</v>
      </c>
      <c r="D2627" s="19">
        <v>1.7561521145975401</v>
      </c>
      <c r="E2627" s="19" t="s">
        <v>75</v>
      </c>
      <c r="F2627" s="19" t="s">
        <v>76</v>
      </c>
      <c r="G2627" s="19" t="s">
        <v>32</v>
      </c>
      <c r="H2627" s="19" t="s">
        <v>63</v>
      </c>
      <c r="I2627" s="19" t="s">
        <v>64</v>
      </c>
      <c r="J2627" s="19">
        <v>24</v>
      </c>
      <c r="K2627" s="19">
        <v>1.8599999999999998E-2</v>
      </c>
      <c r="L2627" s="19" t="s">
        <v>541</v>
      </c>
      <c r="M2627" s="19" t="s">
        <v>541</v>
      </c>
      <c r="N2627" s="19">
        <v>50</v>
      </c>
      <c r="O2627" s="19">
        <v>94.416780354699995</v>
      </c>
      <c r="P2627" s="19">
        <v>98.703956343800002</v>
      </c>
      <c r="Q2627" s="19">
        <v>49.351978171900001</v>
      </c>
      <c r="R2627" s="19" t="s">
        <v>870</v>
      </c>
      <c r="S2627" s="19">
        <v>0.9</v>
      </c>
      <c r="T2627" s="19">
        <v>0.9</v>
      </c>
      <c r="U2627" s="19">
        <v>44.416780354700002</v>
      </c>
      <c r="AA2627" s="19">
        <v>0</v>
      </c>
    </row>
    <row r="2628" spans="1:27" x14ac:dyDescent="0.25">
      <c r="A2628" s="19" t="s">
        <v>2842</v>
      </c>
      <c r="B2628" s="19" t="s">
        <v>3188</v>
      </c>
      <c r="C2628" s="19" t="s">
        <v>2829</v>
      </c>
      <c r="D2628" s="19">
        <v>1.04386107091172</v>
      </c>
      <c r="E2628" s="19" t="s">
        <v>78</v>
      </c>
      <c r="F2628" s="19" t="s">
        <v>79</v>
      </c>
      <c r="G2628" s="19" t="s">
        <v>32</v>
      </c>
      <c r="H2628" s="19" t="s">
        <v>63</v>
      </c>
      <c r="I2628" s="19" t="s">
        <v>64</v>
      </c>
      <c r="J2628" s="19">
        <v>25</v>
      </c>
      <c r="K2628" s="19">
        <v>1.8599999999999998E-2</v>
      </c>
      <c r="L2628" s="19" t="s">
        <v>541</v>
      </c>
      <c r="M2628" s="19" t="s">
        <v>541</v>
      </c>
      <c r="N2628" s="19">
        <v>50</v>
      </c>
      <c r="O2628" s="19">
        <v>56.121562952200001</v>
      </c>
      <c r="P2628" s="19">
        <v>13.6034732272</v>
      </c>
      <c r="Q2628" s="19">
        <v>6.8017366136000001</v>
      </c>
      <c r="R2628" s="19" t="s">
        <v>870</v>
      </c>
      <c r="S2628" s="19">
        <v>0.9</v>
      </c>
      <c r="T2628" s="19">
        <v>0.9</v>
      </c>
      <c r="U2628" s="19">
        <v>6.1215629522399997</v>
      </c>
      <c r="AA2628" s="19">
        <v>0</v>
      </c>
    </row>
    <row r="2629" spans="1:27" x14ac:dyDescent="0.25">
      <c r="A2629" s="19" t="s">
        <v>2843</v>
      </c>
      <c r="B2629" s="19" t="s">
        <v>3188</v>
      </c>
      <c r="C2629" s="19" t="s">
        <v>2829</v>
      </c>
      <c r="D2629" s="19">
        <v>1.7669999999999999</v>
      </c>
      <c r="E2629" s="19" t="s">
        <v>82</v>
      </c>
      <c r="F2629" s="19" t="s">
        <v>83</v>
      </c>
      <c r="G2629" s="19" t="s">
        <v>32</v>
      </c>
      <c r="H2629" s="19" t="s">
        <v>63</v>
      </c>
      <c r="I2629" s="19" t="s">
        <v>64</v>
      </c>
      <c r="J2629" s="19">
        <v>26</v>
      </c>
      <c r="K2629" s="19">
        <v>1.8599999999999998E-2</v>
      </c>
      <c r="L2629" s="19" t="s">
        <v>541</v>
      </c>
      <c r="M2629" s="19" t="s">
        <v>541</v>
      </c>
      <c r="N2629" s="19">
        <v>50</v>
      </c>
      <c r="O2629" s="19">
        <v>95</v>
      </c>
      <c r="P2629" s="19">
        <v>100</v>
      </c>
      <c r="Q2629" s="19">
        <v>50</v>
      </c>
      <c r="R2629" s="19" t="s">
        <v>870</v>
      </c>
      <c r="S2629" s="19">
        <v>0.9</v>
      </c>
      <c r="T2629" s="19">
        <v>0.9</v>
      </c>
      <c r="U2629" s="19">
        <v>45</v>
      </c>
      <c r="AA2629" s="19">
        <v>0</v>
      </c>
    </row>
    <row r="2630" spans="1:27" x14ac:dyDescent="0.25">
      <c r="A2630" s="19" t="s">
        <v>2844</v>
      </c>
      <c r="B2630" s="19" t="s">
        <v>3188</v>
      </c>
      <c r="C2630" s="19" t="s">
        <v>2829</v>
      </c>
      <c r="D2630" s="19">
        <v>3.0554890560875498</v>
      </c>
      <c r="E2630" s="19" t="s">
        <v>85</v>
      </c>
      <c r="F2630" s="19" t="s">
        <v>86</v>
      </c>
      <c r="G2630" s="19" t="s">
        <v>32</v>
      </c>
      <c r="H2630" s="19" t="s">
        <v>87</v>
      </c>
      <c r="I2630" s="19" t="s">
        <v>88</v>
      </c>
      <c r="J2630" s="19">
        <v>35</v>
      </c>
      <c r="K2630" s="19">
        <v>3.2500000000000001E-2</v>
      </c>
      <c r="L2630" s="19" t="s">
        <v>541</v>
      </c>
      <c r="M2630" s="19" t="s">
        <v>541</v>
      </c>
      <c r="N2630" s="19">
        <v>50</v>
      </c>
      <c r="O2630" s="19">
        <v>94.015047879600004</v>
      </c>
      <c r="P2630" s="19">
        <v>97.811217510299997</v>
      </c>
      <c r="Q2630" s="19">
        <v>48.905608755099998</v>
      </c>
      <c r="R2630" s="19" t="s">
        <v>870</v>
      </c>
      <c r="S2630" s="19">
        <v>0.9</v>
      </c>
      <c r="T2630" s="19">
        <v>0.9</v>
      </c>
      <c r="U2630" s="19">
        <v>44.015047879599997</v>
      </c>
      <c r="AA2630" s="19">
        <v>0</v>
      </c>
    </row>
    <row r="2631" spans="1:27" x14ac:dyDescent="0.25">
      <c r="A2631" s="19" t="s">
        <v>2845</v>
      </c>
      <c r="B2631" s="19" t="s">
        <v>3188</v>
      </c>
      <c r="C2631" s="19" t="s">
        <v>2829</v>
      </c>
      <c r="D2631" s="19">
        <v>2.4932968536251701</v>
      </c>
      <c r="E2631" s="19" t="s">
        <v>93</v>
      </c>
      <c r="F2631" s="19" t="s">
        <v>94</v>
      </c>
      <c r="G2631" s="19" t="s">
        <v>32</v>
      </c>
      <c r="H2631" s="19" t="s">
        <v>87</v>
      </c>
      <c r="I2631" s="19" t="s">
        <v>88</v>
      </c>
      <c r="J2631" s="19">
        <v>34</v>
      </c>
      <c r="K2631" s="19">
        <v>3.2500000000000001E-2</v>
      </c>
      <c r="L2631" s="19" t="s">
        <v>541</v>
      </c>
      <c r="M2631" s="19" t="s">
        <v>541</v>
      </c>
      <c r="N2631" s="19">
        <v>50</v>
      </c>
      <c r="O2631" s="19">
        <v>76.716826265400002</v>
      </c>
      <c r="P2631" s="19">
        <v>59.370725034199999</v>
      </c>
      <c r="Q2631" s="19">
        <v>29.6853625171</v>
      </c>
      <c r="R2631" s="19" t="s">
        <v>870</v>
      </c>
      <c r="S2631" s="19">
        <v>0.9</v>
      </c>
      <c r="T2631" s="19">
        <v>0.9</v>
      </c>
      <c r="U2631" s="19">
        <v>26.716826265400002</v>
      </c>
      <c r="AA2631" s="19">
        <v>0</v>
      </c>
    </row>
    <row r="2632" spans="1:27" x14ac:dyDescent="0.25">
      <c r="A2632" s="19" t="s">
        <v>2846</v>
      </c>
      <c r="B2632" s="19" t="s">
        <v>3188</v>
      </c>
      <c r="C2632" s="19" t="s">
        <v>2829</v>
      </c>
      <c r="D2632" s="19">
        <v>2.23563645690834</v>
      </c>
      <c r="E2632" s="19" t="s">
        <v>108</v>
      </c>
      <c r="F2632" s="19" t="s">
        <v>109</v>
      </c>
      <c r="G2632" s="19" t="s">
        <v>32</v>
      </c>
      <c r="H2632" s="19" t="s">
        <v>101</v>
      </c>
      <c r="I2632" s="19" t="s">
        <v>102</v>
      </c>
      <c r="J2632" s="19">
        <v>37</v>
      </c>
      <c r="K2632" s="19">
        <v>4.3299999999999998E-2</v>
      </c>
      <c r="L2632" s="19" t="s">
        <v>541</v>
      </c>
      <c r="M2632" s="19" t="s">
        <v>541</v>
      </c>
      <c r="N2632" s="19">
        <v>50</v>
      </c>
      <c r="O2632" s="19">
        <v>51.631326949399998</v>
      </c>
      <c r="P2632" s="19">
        <v>3.6251709986299998</v>
      </c>
      <c r="Q2632" s="19">
        <v>1.8125854993199999</v>
      </c>
      <c r="R2632" s="19" t="s">
        <v>870</v>
      </c>
      <c r="S2632" s="19">
        <v>0.9</v>
      </c>
      <c r="T2632" s="19">
        <v>0.9</v>
      </c>
      <c r="U2632" s="19">
        <v>1.63132694938</v>
      </c>
      <c r="AA2632" s="19">
        <v>0</v>
      </c>
    </row>
    <row r="2633" spans="1:27" x14ac:dyDescent="0.25">
      <c r="A2633" s="19" t="s">
        <v>2847</v>
      </c>
      <c r="B2633" s="19" t="s">
        <v>3188</v>
      </c>
      <c r="C2633" s="19" t="s">
        <v>2829</v>
      </c>
      <c r="D2633" s="19">
        <v>1.09702257181942</v>
      </c>
      <c r="E2633" s="19" t="s">
        <v>126</v>
      </c>
      <c r="F2633" s="19" t="s">
        <v>127</v>
      </c>
      <c r="G2633" s="19" t="s">
        <v>32</v>
      </c>
      <c r="H2633" s="19" t="s">
        <v>114</v>
      </c>
      <c r="I2633" s="19" t="s">
        <v>115</v>
      </c>
      <c r="J2633" s="19">
        <v>29</v>
      </c>
      <c r="K2633" s="19">
        <v>2.1700000000000001E-2</v>
      </c>
      <c r="L2633" s="19" t="s">
        <v>541</v>
      </c>
      <c r="M2633" s="19" t="s">
        <v>541</v>
      </c>
      <c r="N2633" s="19">
        <v>50</v>
      </c>
      <c r="O2633" s="19">
        <v>50.554035567699998</v>
      </c>
      <c r="P2633" s="19">
        <v>1.23119015048</v>
      </c>
      <c r="Q2633" s="19">
        <v>0.61559507523900003</v>
      </c>
      <c r="R2633" s="19" t="s">
        <v>870</v>
      </c>
      <c r="S2633" s="19">
        <v>0.9</v>
      </c>
      <c r="T2633" s="19">
        <v>0.9</v>
      </c>
      <c r="U2633" s="19">
        <v>0.55403556771499995</v>
      </c>
      <c r="AA2633" s="19">
        <v>0</v>
      </c>
    </row>
    <row r="2634" spans="1:27" x14ac:dyDescent="0.25">
      <c r="A2634" s="19" t="s">
        <v>2848</v>
      </c>
      <c r="B2634" s="19" t="s">
        <v>3188</v>
      </c>
      <c r="C2634" s="19" t="s">
        <v>2829</v>
      </c>
      <c r="D2634" s="19">
        <v>0</v>
      </c>
      <c r="E2634" s="19" t="s">
        <v>132</v>
      </c>
      <c r="F2634" s="19" t="s">
        <v>133</v>
      </c>
      <c r="G2634" s="19" t="s">
        <v>134</v>
      </c>
      <c r="H2634" s="19" t="s">
        <v>87</v>
      </c>
      <c r="I2634" s="19" t="s">
        <v>135</v>
      </c>
      <c r="J2634" s="19">
        <v>11</v>
      </c>
      <c r="K2634" s="19">
        <v>4.1700000000000001E-2</v>
      </c>
      <c r="L2634" s="19" t="s">
        <v>35</v>
      </c>
      <c r="M2634" s="19" t="s">
        <v>103</v>
      </c>
      <c r="N2634" s="19">
        <v>0</v>
      </c>
      <c r="O2634" s="19">
        <v>0</v>
      </c>
      <c r="P2634" s="19">
        <v>0</v>
      </c>
      <c r="Q2634" s="19">
        <v>0</v>
      </c>
      <c r="R2634" s="19" t="s">
        <v>870</v>
      </c>
      <c r="S2634" s="19">
        <v>0.9</v>
      </c>
      <c r="T2634" s="19">
        <v>1</v>
      </c>
      <c r="U2634" s="19">
        <v>0</v>
      </c>
      <c r="V2634" s="19" t="s">
        <v>80</v>
      </c>
      <c r="W2634" s="19">
        <v>0</v>
      </c>
      <c r="Y2634" s="19" t="s">
        <v>103</v>
      </c>
      <c r="Z2634" s="19">
        <v>50</v>
      </c>
      <c r="AA2634" s="19">
        <v>0</v>
      </c>
    </row>
    <row r="2635" spans="1:27" x14ac:dyDescent="0.25">
      <c r="A2635" s="19" t="s">
        <v>2849</v>
      </c>
      <c r="B2635" s="19" t="s">
        <v>3188</v>
      </c>
      <c r="C2635" s="19" t="s">
        <v>2829</v>
      </c>
      <c r="D2635" s="19">
        <v>0.69493050000000001</v>
      </c>
      <c r="E2635" s="19" t="s">
        <v>137</v>
      </c>
      <c r="F2635" s="19" t="s">
        <v>138</v>
      </c>
      <c r="G2635" s="19" t="s">
        <v>134</v>
      </c>
      <c r="H2635" s="19" t="s">
        <v>87</v>
      </c>
      <c r="I2635" s="19" t="s">
        <v>135</v>
      </c>
      <c r="J2635" s="19">
        <v>9</v>
      </c>
      <c r="K2635" s="19">
        <v>4.1700000000000001E-2</v>
      </c>
      <c r="L2635" s="19" t="s">
        <v>35</v>
      </c>
      <c r="M2635" s="19" t="s">
        <v>110</v>
      </c>
      <c r="N2635" s="19">
        <v>16.664999999999999</v>
      </c>
      <c r="O2635" s="19">
        <v>16.664999999999999</v>
      </c>
      <c r="P2635" s="19">
        <v>0</v>
      </c>
      <c r="Q2635" s="19">
        <v>0</v>
      </c>
      <c r="R2635" s="19" t="s">
        <v>870</v>
      </c>
      <c r="S2635" s="19">
        <v>0.9</v>
      </c>
      <c r="T2635" s="19">
        <v>1</v>
      </c>
      <c r="U2635" s="19">
        <v>0</v>
      </c>
      <c r="W2635" s="19">
        <v>0</v>
      </c>
      <c r="X2635" s="19">
        <v>3</v>
      </c>
      <c r="Y2635" s="19" t="s">
        <v>110</v>
      </c>
      <c r="Z2635" s="19">
        <v>16.664999999999999</v>
      </c>
      <c r="AA2635" s="19">
        <v>16.664999999999999</v>
      </c>
    </row>
    <row r="2636" spans="1:27" x14ac:dyDescent="0.25">
      <c r="A2636" s="19" t="s">
        <v>2850</v>
      </c>
      <c r="B2636" s="19" t="s">
        <v>3188</v>
      </c>
      <c r="C2636" s="19" t="s">
        <v>2829</v>
      </c>
      <c r="D2636" s="19">
        <v>0</v>
      </c>
      <c r="E2636" s="19" t="s">
        <v>140</v>
      </c>
      <c r="F2636" s="19" t="s">
        <v>141</v>
      </c>
      <c r="G2636" s="19" t="s">
        <v>134</v>
      </c>
      <c r="H2636" s="19" t="s">
        <v>87</v>
      </c>
      <c r="I2636" s="19" t="s">
        <v>135</v>
      </c>
      <c r="J2636" s="19">
        <v>10</v>
      </c>
      <c r="K2636" s="19">
        <v>4.1700000000000001E-2</v>
      </c>
      <c r="L2636" s="19" t="s">
        <v>35</v>
      </c>
      <c r="N2636" s="19">
        <v>0</v>
      </c>
      <c r="O2636" s="19">
        <v>0</v>
      </c>
      <c r="P2636" s="19">
        <v>0</v>
      </c>
      <c r="Q2636" s="19">
        <v>0</v>
      </c>
      <c r="R2636" s="19" t="s">
        <v>870</v>
      </c>
      <c r="S2636" s="19">
        <v>0.9</v>
      </c>
      <c r="T2636" s="19">
        <v>1</v>
      </c>
      <c r="U2636" s="19">
        <v>0</v>
      </c>
      <c r="W2636" s="19">
        <v>0</v>
      </c>
      <c r="X2636" s="19">
        <v>0</v>
      </c>
      <c r="Z2636" s="19">
        <v>0</v>
      </c>
      <c r="AA2636" s="19">
        <v>0</v>
      </c>
    </row>
    <row r="2637" spans="1:27" x14ac:dyDescent="0.25">
      <c r="A2637" s="19" t="s">
        <v>2851</v>
      </c>
      <c r="B2637" s="19" t="s">
        <v>3188</v>
      </c>
      <c r="C2637" s="19" t="s">
        <v>2829</v>
      </c>
      <c r="D2637" s="19">
        <v>0</v>
      </c>
      <c r="E2637" s="19" t="s">
        <v>30</v>
      </c>
      <c r="F2637" s="19" t="s">
        <v>31</v>
      </c>
      <c r="G2637" s="19" t="s">
        <v>32</v>
      </c>
      <c r="H2637" s="19" t="s">
        <v>33</v>
      </c>
      <c r="I2637" s="19" t="s">
        <v>34</v>
      </c>
      <c r="J2637" s="19">
        <v>17</v>
      </c>
      <c r="K2637" s="19">
        <v>1.6299999999999999E-2</v>
      </c>
      <c r="L2637" s="19" t="s">
        <v>35</v>
      </c>
      <c r="N2637" s="19">
        <v>0</v>
      </c>
      <c r="O2637" s="19">
        <v>0</v>
      </c>
      <c r="P2637" s="19">
        <v>0</v>
      </c>
      <c r="Q2637" s="19">
        <v>0</v>
      </c>
      <c r="R2637" s="19" t="s">
        <v>870</v>
      </c>
      <c r="S2637" s="19">
        <v>0.9</v>
      </c>
      <c r="T2637" s="19">
        <v>1</v>
      </c>
      <c r="U2637" s="19">
        <v>0</v>
      </c>
      <c r="V2637" s="19" t="s">
        <v>36</v>
      </c>
      <c r="W2637" s="19">
        <v>0</v>
      </c>
      <c r="Z2637" s="19">
        <v>0</v>
      </c>
      <c r="AA2637" s="19">
        <v>0</v>
      </c>
    </row>
    <row r="2638" spans="1:27" x14ac:dyDescent="0.25">
      <c r="A2638" s="19" t="s">
        <v>2852</v>
      </c>
      <c r="B2638" s="19" t="s">
        <v>3188</v>
      </c>
      <c r="C2638" s="19" t="s">
        <v>2829</v>
      </c>
      <c r="D2638" s="19">
        <v>0</v>
      </c>
      <c r="E2638" s="19" t="s">
        <v>38</v>
      </c>
      <c r="F2638" s="19" t="s">
        <v>39</v>
      </c>
      <c r="G2638" s="19" t="s">
        <v>32</v>
      </c>
      <c r="H2638" s="19" t="s">
        <v>33</v>
      </c>
      <c r="I2638" s="19" t="s">
        <v>34</v>
      </c>
      <c r="J2638" s="19">
        <v>19</v>
      </c>
      <c r="K2638" s="19">
        <v>1.6299999999999999E-2</v>
      </c>
      <c r="L2638" s="19" t="s">
        <v>35</v>
      </c>
      <c r="N2638" s="19">
        <v>0</v>
      </c>
      <c r="O2638" s="19">
        <v>0</v>
      </c>
      <c r="P2638" s="19">
        <v>0</v>
      </c>
      <c r="Q2638" s="19">
        <v>0</v>
      </c>
      <c r="R2638" s="19" t="s">
        <v>870</v>
      </c>
      <c r="S2638" s="19">
        <v>0.9</v>
      </c>
      <c r="T2638" s="19">
        <v>1</v>
      </c>
      <c r="U2638" s="19">
        <v>0</v>
      </c>
      <c r="V2638" s="19" t="s">
        <v>36</v>
      </c>
      <c r="W2638" s="19">
        <v>0</v>
      </c>
      <c r="Z2638" s="19">
        <v>0</v>
      </c>
      <c r="AA2638" s="19">
        <v>0</v>
      </c>
    </row>
    <row r="2639" spans="1:27" x14ac:dyDescent="0.25">
      <c r="A2639" s="19" t="s">
        <v>2853</v>
      </c>
      <c r="B2639" s="19" t="s">
        <v>3188</v>
      </c>
      <c r="C2639" s="19" t="s">
        <v>2829</v>
      </c>
      <c r="D2639" s="19">
        <v>1.25</v>
      </c>
      <c r="E2639" s="19" t="s">
        <v>155</v>
      </c>
      <c r="F2639" s="19" t="s">
        <v>156</v>
      </c>
      <c r="G2639" s="19" t="s">
        <v>134</v>
      </c>
      <c r="H2639" s="19" t="s">
        <v>146</v>
      </c>
      <c r="I2639" s="19" t="s">
        <v>147</v>
      </c>
      <c r="J2639" s="19">
        <v>7</v>
      </c>
      <c r="K2639" s="19">
        <v>2.5000000000000001E-2</v>
      </c>
      <c r="L2639" s="19" t="s">
        <v>35</v>
      </c>
      <c r="M2639" s="19" t="s">
        <v>103</v>
      </c>
      <c r="N2639" s="19">
        <v>50</v>
      </c>
      <c r="O2639" s="19">
        <v>50</v>
      </c>
      <c r="P2639" s="19">
        <v>0</v>
      </c>
      <c r="Q2639" s="19">
        <v>0</v>
      </c>
      <c r="R2639" s="19" t="s">
        <v>870</v>
      </c>
      <c r="S2639" s="19">
        <v>0.9</v>
      </c>
      <c r="T2639" s="19">
        <v>1</v>
      </c>
      <c r="U2639" s="19">
        <v>0</v>
      </c>
      <c r="V2639" s="19" t="s">
        <v>41</v>
      </c>
      <c r="W2639" s="19">
        <v>1</v>
      </c>
      <c r="Y2639" s="19" t="s">
        <v>103</v>
      </c>
      <c r="Z2639" s="19">
        <v>50</v>
      </c>
      <c r="AA2639" s="19">
        <v>50</v>
      </c>
    </row>
    <row r="2640" spans="1:27" x14ac:dyDescent="0.25">
      <c r="A2640" s="19" t="s">
        <v>2854</v>
      </c>
      <c r="B2640" s="19" t="s">
        <v>3188</v>
      </c>
      <c r="C2640" s="19" t="s">
        <v>2829</v>
      </c>
      <c r="D2640" s="19">
        <v>0</v>
      </c>
      <c r="E2640" s="19" t="s">
        <v>158</v>
      </c>
      <c r="F2640" s="19" t="s">
        <v>159</v>
      </c>
      <c r="G2640" s="19" t="s">
        <v>134</v>
      </c>
      <c r="H2640" s="19" t="s">
        <v>146</v>
      </c>
      <c r="I2640" s="19" t="s">
        <v>147</v>
      </c>
      <c r="J2640" s="19">
        <v>8</v>
      </c>
      <c r="K2640" s="19">
        <v>2.5000000000000001E-2</v>
      </c>
      <c r="L2640" s="19" t="s">
        <v>35</v>
      </c>
      <c r="M2640" s="19" t="s">
        <v>103</v>
      </c>
      <c r="N2640" s="19">
        <v>0</v>
      </c>
      <c r="O2640" s="19">
        <v>0</v>
      </c>
      <c r="P2640" s="19">
        <v>0</v>
      </c>
      <c r="Q2640" s="19">
        <v>0</v>
      </c>
      <c r="R2640" s="19" t="s">
        <v>870</v>
      </c>
      <c r="S2640" s="19">
        <v>0.9</v>
      </c>
      <c r="T2640" s="19">
        <v>1</v>
      </c>
      <c r="U2640" s="19">
        <v>0</v>
      </c>
      <c r="V2640" s="19" t="s">
        <v>80</v>
      </c>
      <c r="W2640" s="19">
        <v>0</v>
      </c>
      <c r="Y2640" s="19" t="s">
        <v>103</v>
      </c>
      <c r="Z2640" s="19">
        <v>50</v>
      </c>
      <c r="AA2640" s="19">
        <v>0</v>
      </c>
    </row>
    <row r="2641" spans="1:27" x14ac:dyDescent="0.25">
      <c r="A2641" s="19" t="s">
        <v>2855</v>
      </c>
      <c r="B2641" s="19" t="s">
        <v>3188</v>
      </c>
      <c r="C2641" s="19" t="s">
        <v>2829</v>
      </c>
      <c r="D2641" s="19">
        <v>1.25</v>
      </c>
      <c r="E2641" s="19" t="s">
        <v>152</v>
      </c>
      <c r="F2641" s="19" t="s">
        <v>153</v>
      </c>
      <c r="G2641" s="19" t="s">
        <v>134</v>
      </c>
      <c r="H2641" s="19" t="s">
        <v>146</v>
      </c>
      <c r="I2641" s="19" t="s">
        <v>147</v>
      </c>
      <c r="J2641" s="19">
        <v>6</v>
      </c>
      <c r="K2641" s="19">
        <v>2.5000000000000001E-2</v>
      </c>
      <c r="L2641" s="19" t="s">
        <v>35</v>
      </c>
      <c r="M2641" s="19" t="s">
        <v>103</v>
      </c>
      <c r="N2641" s="19">
        <v>50</v>
      </c>
      <c r="O2641" s="19">
        <v>50</v>
      </c>
      <c r="P2641" s="19">
        <v>0</v>
      </c>
      <c r="Q2641" s="19">
        <v>0</v>
      </c>
      <c r="R2641" s="19" t="s">
        <v>870</v>
      </c>
      <c r="S2641" s="19">
        <v>0.9</v>
      </c>
      <c r="T2641" s="19">
        <v>1</v>
      </c>
      <c r="U2641" s="19">
        <v>0</v>
      </c>
      <c r="V2641" s="19" t="s">
        <v>41</v>
      </c>
      <c r="W2641" s="19">
        <v>1</v>
      </c>
      <c r="Y2641" s="19" t="s">
        <v>103</v>
      </c>
      <c r="Z2641" s="19">
        <v>50</v>
      </c>
      <c r="AA2641" s="19">
        <v>50</v>
      </c>
    </row>
    <row r="2642" spans="1:27" x14ac:dyDescent="0.25">
      <c r="A2642" s="19" t="s">
        <v>2856</v>
      </c>
      <c r="B2642" s="19" t="s">
        <v>3188</v>
      </c>
      <c r="C2642" s="19" t="s">
        <v>2829</v>
      </c>
      <c r="D2642" s="19">
        <v>0</v>
      </c>
      <c r="E2642" s="19" t="s">
        <v>90</v>
      </c>
      <c r="F2642" s="19" t="s">
        <v>91</v>
      </c>
      <c r="G2642" s="19" t="s">
        <v>32</v>
      </c>
      <c r="H2642" s="19" t="s">
        <v>87</v>
      </c>
      <c r="I2642" s="19" t="s">
        <v>88</v>
      </c>
      <c r="J2642" s="19">
        <v>33</v>
      </c>
      <c r="K2642" s="19">
        <v>3.2500000000000001E-2</v>
      </c>
      <c r="L2642" s="19" t="s">
        <v>35</v>
      </c>
      <c r="N2642" s="19">
        <v>0</v>
      </c>
      <c r="O2642" s="19">
        <v>0</v>
      </c>
      <c r="P2642" s="19">
        <v>0</v>
      </c>
      <c r="Q2642" s="19">
        <v>0</v>
      </c>
      <c r="R2642" s="19" t="s">
        <v>870</v>
      </c>
      <c r="S2642" s="19">
        <v>0.9</v>
      </c>
      <c r="T2642" s="19">
        <v>1</v>
      </c>
      <c r="U2642" s="19">
        <v>0</v>
      </c>
      <c r="V2642" s="19" t="s">
        <v>36</v>
      </c>
      <c r="W2642" s="19">
        <v>0</v>
      </c>
      <c r="Z2642" s="19">
        <v>0</v>
      </c>
      <c r="AA2642" s="19">
        <v>0</v>
      </c>
    </row>
    <row r="2643" spans="1:27" x14ac:dyDescent="0.25">
      <c r="A2643" s="19" t="s">
        <v>2857</v>
      </c>
      <c r="B2643" s="19" t="s">
        <v>3188</v>
      </c>
      <c r="C2643" s="19" t="s">
        <v>2829</v>
      </c>
      <c r="D2643" s="19">
        <v>0</v>
      </c>
      <c r="E2643" s="19" t="s">
        <v>96</v>
      </c>
      <c r="F2643" s="19" t="s">
        <v>97</v>
      </c>
      <c r="G2643" s="19" t="s">
        <v>32</v>
      </c>
      <c r="H2643" s="19" t="s">
        <v>87</v>
      </c>
      <c r="I2643" s="19" t="s">
        <v>88</v>
      </c>
      <c r="J2643" s="19">
        <v>36</v>
      </c>
      <c r="K2643" s="19">
        <v>3.2500000000000001E-2</v>
      </c>
      <c r="L2643" s="19" t="s">
        <v>35</v>
      </c>
      <c r="N2643" s="19">
        <v>0</v>
      </c>
      <c r="O2643" s="19">
        <v>0</v>
      </c>
      <c r="P2643" s="19">
        <v>0</v>
      </c>
      <c r="Q2643" s="19">
        <v>0</v>
      </c>
      <c r="R2643" s="19" t="s">
        <v>870</v>
      </c>
      <c r="S2643" s="19">
        <v>0.9</v>
      </c>
      <c r="T2643" s="19">
        <v>1</v>
      </c>
      <c r="U2643" s="19">
        <v>0</v>
      </c>
      <c r="V2643" s="19" t="s">
        <v>36</v>
      </c>
      <c r="W2643" s="19">
        <v>0</v>
      </c>
      <c r="Z2643" s="19">
        <v>0</v>
      </c>
      <c r="AA2643" s="19">
        <v>0</v>
      </c>
    </row>
    <row r="2644" spans="1:27" x14ac:dyDescent="0.25">
      <c r="A2644" s="19" t="s">
        <v>2858</v>
      </c>
      <c r="B2644" s="19" t="s">
        <v>3188</v>
      </c>
      <c r="C2644" s="19" t="s">
        <v>2829</v>
      </c>
      <c r="D2644" s="19">
        <v>0</v>
      </c>
      <c r="E2644" s="19" t="s">
        <v>99</v>
      </c>
      <c r="F2644" s="19" t="s">
        <v>100</v>
      </c>
      <c r="G2644" s="19" t="s">
        <v>32</v>
      </c>
      <c r="H2644" s="19" t="s">
        <v>101</v>
      </c>
      <c r="I2644" s="19" t="s">
        <v>102</v>
      </c>
      <c r="J2644" s="19">
        <v>39</v>
      </c>
      <c r="K2644" s="19">
        <v>4.3299999999999998E-2</v>
      </c>
      <c r="L2644" s="19" t="s">
        <v>35</v>
      </c>
      <c r="M2644" s="19" t="s">
        <v>103</v>
      </c>
      <c r="N2644" s="19">
        <v>0</v>
      </c>
      <c r="O2644" s="19">
        <v>0</v>
      </c>
      <c r="P2644" s="19">
        <v>0</v>
      </c>
      <c r="Q2644" s="19">
        <v>0</v>
      </c>
      <c r="R2644" s="19" t="s">
        <v>870</v>
      </c>
      <c r="S2644" s="19">
        <v>0.9</v>
      </c>
      <c r="T2644" s="19">
        <v>1</v>
      </c>
      <c r="U2644" s="19">
        <v>0</v>
      </c>
      <c r="V2644" s="19" t="s">
        <v>36</v>
      </c>
      <c r="W2644" s="19">
        <v>0</v>
      </c>
      <c r="Y2644" s="19" t="s">
        <v>103</v>
      </c>
      <c r="Z2644" s="19">
        <v>50</v>
      </c>
      <c r="AA2644" s="19">
        <v>0</v>
      </c>
    </row>
    <row r="2645" spans="1:27" x14ac:dyDescent="0.25">
      <c r="A2645" s="19" t="s">
        <v>2859</v>
      </c>
      <c r="B2645" s="19" t="s">
        <v>3188</v>
      </c>
      <c r="C2645" s="19" t="s">
        <v>2829</v>
      </c>
      <c r="D2645" s="19">
        <v>0</v>
      </c>
      <c r="E2645" s="19" t="s">
        <v>105</v>
      </c>
      <c r="F2645" s="19" t="s">
        <v>106</v>
      </c>
      <c r="G2645" s="19" t="s">
        <v>32</v>
      </c>
      <c r="H2645" s="19" t="s">
        <v>101</v>
      </c>
      <c r="I2645" s="19" t="s">
        <v>102</v>
      </c>
      <c r="J2645" s="19">
        <v>38</v>
      </c>
      <c r="K2645" s="19">
        <v>4.3299999999999998E-2</v>
      </c>
      <c r="L2645" s="19" t="s">
        <v>35</v>
      </c>
      <c r="M2645" s="19" t="s">
        <v>103</v>
      </c>
      <c r="N2645" s="19">
        <v>0</v>
      </c>
      <c r="O2645" s="19">
        <v>0</v>
      </c>
      <c r="P2645" s="19">
        <v>0</v>
      </c>
      <c r="Q2645" s="19">
        <v>0</v>
      </c>
      <c r="R2645" s="19" t="s">
        <v>870</v>
      </c>
      <c r="S2645" s="19">
        <v>0.9</v>
      </c>
      <c r="T2645" s="19">
        <v>1</v>
      </c>
      <c r="U2645" s="19">
        <v>0</v>
      </c>
      <c r="V2645" s="19" t="s">
        <v>36</v>
      </c>
      <c r="W2645" s="19">
        <v>0</v>
      </c>
      <c r="Y2645" s="19" t="s">
        <v>103</v>
      </c>
      <c r="Z2645" s="19">
        <v>50</v>
      </c>
      <c r="AA2645" s="19">
        <v>0</v>
      </c>
    </row>
    <row r="2646" spans="1:27" x14ac:dyDescent="0.25">
      <c r="A2646" s="19" t="s">
        <v>2860</v>
      </c>
      <c r="B2646" s="19" t="s">
        <v>3188</v>
      </c>
      <c r="C2646" s="19" t="s">
        <v>2829</v>
      </c>
      <c r="D2646" s="19">
        <v>0</v>
      </c>
      <c r="E2646" s="19" t="s">
        <v>112</v>
      </c>
      <c r="F2646" s="19" t="s">
        <v>113</v>
      </c>
      <c r="G2646" s="19" t="s">
        <v>32</v>
      </c>
      <c r="H2646" s="19" t="s">
        <v>114</v>
      </c>
      <c r="I2646" s="19" t="s">
        <v>115</v>
      </c>
      <c r="J2646" s="19">
        <v>30</v>
      </c>
      <c r="K2646" s="19">
        <v>2.1700000000000001E-2</v>
      </c>
      <c r="L2646" s="19" t="s">
        <v>35</v>
      </c>
      <c r="M2646" s="19" t="s">
        <v>103</v>
      </c>
      <c r="N2646" s="19">
        <v>0</v>
      </c>
      <c r="O2646" s="19">
        <v>0</v>
      </c>
      <c r="P2646" s="19">
        <v>0</v>
      </c>
      <c r="Q2646" s="19">
        <v>0</v>
      </c>
      <c r="R2646" s="19" t="s">
        <v>870</v>
      </c>
      <c r="S2646" s="19">
        <v>0.9</v>
      </c>
      <c r="T2646" s="19">
        <v>1</v>
      </c>
      <c r="U2646" s="19">
        <v>0</v>
      </c>
      <c r="V2646" s="19" t="s">
        <v>36</v>
      </c>
      <c r="W2646" s="19">
        <v>0</v>
      </c>
      <c r="Y2646" s="19" t="s">
        <v>103</v>
      </c>
      <c r="Z2646" s="19">
        <v>50</v>
      </c>
      <c r="AA2646" s="19">
        <v>0</v>
      </c>
    </row>
    <row r="2647" spans="1:27" x14ac:dyDescent="0.25">
      <c r="A2647" s="19" t="s">
        <v>2861</v>
      </c>
      <c r="B2647" s="19" t="s">
        <v>3188</v>
      </c>
      <c r="C2647" s="19" t="s">
        <v>2829</v>
      </c>
      <c r="D2647" s="19">
        <v>1.085</v>
      </c>
      <c r="E2647" s="19" t="s">
        <v>117</v>
      </c>
      <c r="F2647" s="19" t="s">
        <v>118</v>
      </c>
      <c r="G2647" s="19" t="s">
        <v>32</v>
      </c>
      <c r="H2647" s="19" t="s">
        <v>114</v>
      </c>
      <c r="I2647" s="19" t="s">
        <v>115</v>
      </c>
      <c r="J2647" s="19">
        <v>31</v>
      </c>
      <c r="K2647" s="19">
        <v>2.1700000000000001E-2</v>
      </c>
      <c r="L2647" s="19" t="s">
        <v>35</v>
      </c>
      <c r="M2647" s="19" t="s">
        <v>103</v>
      </c>
      <c r="N2647" s="19">
        <v>50</v>
      </c>
      <c r="O2647" s="19">
        <v>50</v>
      </c>
      <c r="P2647" s="19">
        <v>0</v>
      </c>
      <c r="Q2647" s="19">
        <v>0</v>
      </c>
      <c r="R2647" s="19" t="s">
        <v>870</v>
      </c>
      <c r="S2647" s="19">
        <v>0.9</v>
      </c>
      <c r="T2647" s="19">
        <v>1</v>
      </c>
      <c r="U2647" s="19">
        <v>0</v>
      </c>
      <c r="V2647" s="19" t="s">
        <v>41</v>
      </c>
      <c r="W2647" s="19">
        <v>1</v>
      </c>
      <c r="Y2647" s="19" t="s">
        <v>103</v>
      </c>
      <c r="Z2647" s="19">
        <v>50</v>
      </c>
      <c r="AA2647" s="19">
        <v>50</v>
      </c>
    </row>
    <row r="2648" spans="1:27" x14ac:dyDescent="0.25">
      <c r="A2648" s="19" t="s">
        <v>2862</v>
      </c>
      <c r="B2648" s="19" t="s">
        <v>3188</v>
      </c>
      <c r="C2648" s="19" t="s">
        <v>2829</v>
      </c>
      <c r="D2648" s="19">
        <v>1.085</v>
      </c>
      <c r="E2648" s="19" t="s">
        <v>120</v>
      </c>
      <c r="F2648" s="19" t="s">
        <v>121</v>
      </c>
      <c r="G2648" s="19" t="s">
        <v>32</v>
      </c>
      <c r="H2648" s="19" t="s">
        <v>114</v>
      </c>
      <c r="I2648" s="19" t="s">
        <v>115</v>
      </c>
      <c r="J2648" s="19">
        <v>28</v>
      </c>
      <c r="K2648" s="19">
        <v>2.1700000000000001E-2</v>
      </c>
      <c r="L2648" s="19" t="s">
        <v>35</v>
      </c>
      <c r="M2648" s="19" t="s">
        <v>103</v>
      </c>
      <c r="N2648" s="19">
        <v>50</v>
      </c>
      <c r="O2648" s="19">
        <v>50</v>
      </c>
      <c r="P2648" s="19">
        <v>0</v>
      </c>
      <c r="Q2648" s="19">
        <v>0</v>
      </c>
      <c r="R2648" s="19" t="s">
        <v>870</v>
      </c>
      <c r="S2648" s="19">
        <v>0.9</v>
      </c>
      <c r="T2648" s="19">
        <v>1</v>
      </c>
      <c r="U2648" s="19">
        <v>0</v>
      </c>
      <c r="V2648" s="19" t="s">
        <v>41</v>
      </c>
      <c r="W2648" s="19">
        <v>1</v>
      </c>
      <c r="Y2648" s="19" t="s">
        <v>103</v>
      </c>
      <c r="Z2648" s="19">
        <v>50</v>
      </c>
      <c r="AA2648" s="19">
        <v>50</v>
      </c>
    </row>
    <row r="2649" spans="1:27" x14ac:dyDescent="0.25">
      <c r="A2649" s="19" t="s">
        <v>2863</v>
      </c>
      <c r="B2649" s="19" t="s">
        <v>3188</v>
      </c>
      <c r="C2649" s="19" t="s">
        <v>2829</v>
      </c>
      <c r="D2649" s="19">
        <v>0</v>
      </c>
      <c r="E2649" s="19" t="s">
        <v>123</v>
      </c>
      <c r="F2649" s="19" t="s">
        <v>124</v>
      </c>
      <c r="G2649" s="19" t="s">
        <v>32</v>
      </c>
      <c r="H2649" s="19" t="s">
        <v>114</v>
      </c>
      <c r="I2649" s="19" t="s">
        <v>115</v>
      </c>
      <c r="J2649" s="19">
        <v>27</v>
      </c>
      <c r="K2649" s="19">
        <v>2.1700000000000001E-2</v>
      </c>
      <c r="L2649" s="19" t="s">
        <v>35</v>
      </c>
      <c r="M2649" s="19" t="s">
        <v>103</v>
      </c>
      <c r="N2649" s="19">
        <v>0</v>
      </c>
      <c r="O2649" s="19">
        <v>0</v>
      </c>
      <c r="P2649" s="19">
        <v>0</v>
      </c>
      <c r="Q2649" s="19">
        <v>0</v>
      </c>
      <c r="R2649" s="19" t="s">
        <v>870</v>
      </c>
      <c r="S2649" s="19">
        <v>0.9</v>
      </c>
      <c r="T2649" s="19">
        <v>1</v>
      </c>
      <c r="U2649" s="19">
        <v>0</v>
      </c>
      <c r="V2649" s="19" t="s">
        <v>80</v>
      </c>
      <c r="W2649" s="19">
        <v>0</v>
      </c>
      <c r="Y2649" s="19" t="s">
        <v>103</v>
      </c>
      <c r="Z2649" s="19">
        <v>50</v>
      </c>
      <c r="AA2649" s="19">
        <v>0</v>
      </c>
    </row>
    <row r="2650" spans="1:27" x14ac:dyDescent="0.25">
      <c r="A2650" s="19" t="s">
        <v>2864</v>
      </c>
      <c r="B2650" s="19" t="s">
        <v>3188</v>
      </c>
      <c r="C2650" s="19" t="s">
        <v>2829</v>
      </c>
      <c r="D2650" s="19">
        <v>1.085</v>
      </c>
      <c r="E2650" s="19" t="s">
        <v>129</v>
      </c>
      <c r="F2650" s="19" t="s">
        <v>130</v>
      </c>
      <c r="G2650" s="19" t="s">
        <v>32</v>
      </c>
      <c r="H2650" s="19" t="s">
        <v>114</v>
      </c>
      <c r="I2650" s="19" t="s">
        <v>115</v>
      </c>
      <c r="J2650" s="19">
        <v>32</v>
      </c>
      <c r="K2650" s="19">
        <v>2.1700000000000001E-2</v>
      </c>
      <c r="L2650" s="19" t="s">
        <v>35</v>
      </c>
      <c r="M2650" s="19" t="s">
        <v>103</v>
      </c>
      <c r="N2650" s="19">
        <v>50</v>
      </c>
      <c r="O2650" s="19">
        <v>50</v>
      </c>
      <c r="P2650" s="19">
        <v>0</v>
      </c>
      <c r="Q2650" s="19">
        <v>0</v>
      </c>
      <c r="R2650" s="19" t="s">
        <v>870</v>
      </c>
      <c r="S2650" s="19">
        <v>0.9</v>
      </c>
      <c r="T2650" s="19">
        <v>1</v>
      </c>
      <c r="U2650" s="19">
        <v>0</v>
      </c>
      <c r="V2650" s="19" t="s">
        <v>41</v>
      </c>
      <c r="W2650" s="19">
        <v>1</v>
      </c>
      <c r="Y2650" s="19" t="s">
        <v>103</v>
      </c>
      <c r="Z2650" s="19">
        <v>50</v>
      </c>
      <c r="AA2650" s="19">
        <v>50</v>
      </c>
    </row>
    <row r="2651" spans="1:27" x14ac:dyDescent="0.25">
      <c r="A2651" s="19" t="s">
        <v>2865</v>
      </c>
      <c r="B2651" s="19" t="s">
        <v>3188</v>
      </c>
      <c r="C2651" s="19" t="s">
        <v>2829</v>
      </c>
      <c r="D2651" s="19">
        <v>2.2197779999999998</v>
      </c>
      <c r="E2651" s="19" t="s">
        <v>161</v>
      </c>
      <c r="F2651" s="19" t="s">
        <v>162</v>
      </c>
      <c r="G2651" s="19" t="s">
        <v>163</v>
      </c>
      <c r="I2651" s="19" t="s">
        <v>164</v>
      </c>
      <c r="J2651" s="19">
        <v>1</v>
      </c>
      <c r="K2651" s="19">
        <v>3.3300000000000003E-2</v>
      </c>
      <c r="L2651" s="19" t="s">
        <v>35</v>
      </c>
      <c r="M2651" s="19" t="s">
        <v>165</v>
      </c>
      <c r="N2651" s="19">
        <v>66.66</v>
      </c>
      <c r="O2651" s="19">
        <v>66.66</v>
      </c>
      <c r="P2651" s="19">
        <v>0</v>
      </c>
      <c r="Q2651" s="19">
        <v>0</v>
      </c>
      <c r="R2651" s="19" t="s">
        <v>870</v>
      </c>
      <c r="S2651" s="19">
        <v>0.9</v>
      </c>
      <c r="T2651" s="19">
        <v>1</v>
      </c>
      <c r="U2651" s="19">
        <v>0</v>
      </c>
      <c r="W2651" s="19">
        <v>0</v>
      </c>
      <c r="X2651" s="19">
        <v>66.66</v>
      </c>
      <c r="Z2651" s="19">
        <v>0</v>
      </c>
      <c r="AA2651" s="19">
        <v>66.66</v>
      </c>
    </row>
    <row r="2652" spans="1:27" x14ac:dyDescent="0.25">
      <c r="A2652" s="19" t="s">
        <v>2866</v>
      </c>
      <c r="B2652" s="19" t="s">
        <v>3188</v>
      </c>
      <c r="C2652" s="19" t="s">
        <v>2829</v>
      </c>
      <c r="D2652" s="19">
        <v>0</v>
      </c>
      <c r="E2652" s="19" t="s">
        <v>167</v>
      </c>
      <c r="F2652" s="19" t="s">
        <v>168</v>
      </c>
      <c r="G2652" s="19" t="s">
        <v>163</v>
      </c>
      <c r="I2652" s="19" t="s">
        <v>164</v>
      </c>
      <c r="J2652" s="19">
        <v>3</v>
      </c>
      <c r="K2652" s="19">
        <v>3.3300000000000003E-2</v>
      </c>
      <c r="L2652" s="19" t="s">
        <v>35</v>
      </c>
      <c r="M2652" s="19" t="s">
        <v>165</v>
      </c>
      <c r="N2652" s="19">
        <v>0</v>
      </c>
      <c r="O2652" s="19">
        <v>0</v>
      </c>
      <c r="P2652" s="19">
        <v>0</v>
      </c>
      <c r="Q2652" s="19">
        <v>0</v>
      </c>
      <c r="R2652" s="19" t="s">
        <v>870</v>
      </c>
      <c r="S2652" s="19">
        <v>0.9</v>
      </c>
      <c r="T2652" s="19">
        <v>1</v>
      </c>
      <c r="U2652" s="19">
        <v>0</v>
      </c>
      <c r="W2652" s="19">
        <v>0</v>
      </c>
      <c r="X2652" s="19">
        <v>0</v>
      </c>
      <c r="Z2652" s="19">
        <v>0</v>
      </c>
      <c r="AA2652" s="19">
        <v>0</v>
      </c>
    </row>
    <row r="2653" spans="1:27" x14ac:dyDescent="0.25">
      <c r="A2653" s="19" t="s">
        <v>2867</v>
      </c>
      <c r="B2653" s="19" t="s">
        <v>3188</v>
      </c>
      <c r="C2653" s="19" t="s">
        <v>2829</v>
      </c>
      <c r="D2653" s="19">
        <v>0.41625000000000001</v>
      </c>
      <c r="E2653" s="19" t="s">
        <v>170</v>
      </c>
      <c r="F2653" s="19" t="s">
        <v>171</v>
      </c>
      <c r="G2653" s="19" t="s">
        <v>163</v>
      </c>
      <c r="I2653" s="19" t="s">
        <v>164</v>
      </c>
      <c r="J2653" s="19">
        <v>2</v>
      </c>
      <c r="K2653" s="19">
        <v>3.3300000000000003E-2</v>
      </c>
      <c r="L2653" s="19" t="s">
        <v>35</v>
      </c>
      <c r="M2653" s="19" t="s">
        <v>165</v>
      </c>
      <c r="N2653" s="19">
        <v>12.5</v>
      </c>
      <c r="O2653" s="19">
        <v>12.5</v>
      </c>
      <c r="P2653" s="19">
        <v>0</v>
      </c>
      <c r="Q2653" s="19">
        <v>0</v>
      </c>
      <c r="R2653" s="19" t="s">
        <v>870</v>
      </c>
      <c r="S2653" s="19">
        <v>0.9</v>
      </c>
      <c r="T2653" s="19">
        <v>1</v>
      </c>
      <c r="U2653" s="19">
        <v>0</v>
      </c>
      <c r="W2653" s="19">
        <v>0</v>
      </c>
      <c r="X2653" s="19">
        <v>12.5</v>
      </c>
      <c r="Z2653" s="19">
        <v>0</v>
      </c>
      <c r="AA2653" s="19">
        <v>12.5</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9"/>
  <sheetViews>
    <sheetView workbookViewId="0">
      <selection activeCell="O10" sqref="O10"/>
    </sheetView>
  </sheetViews>
  <sheetFormatPr defaultRowHeight="15" x14ac:dyDescent="0.25"/>
  <cols>
    <col min="1" max="1" width="18.5703125" customWidth="1"/>
    <col min="2" max="2" width="21.85546875" bestFit="1" customWidth="1"/>
    <col min="3" max="3" width="40.28515625" bestFit="1" customWidth="1"/>
    <col min="4" max="4" width="52.140625" style="17" customWidth="1"/>
    <col min="5" max="5" width="15.5703125" customWidth="1"/>
  </cols>
  <sheetData>
    <row r="1" spans="1:5" s="170" customFormat="1" ht="23.25" x14ac:dyDescent="0.35">
      <c r="A1" s="230" t="s">
        <v>3273</v>
      </c>
      <c r="D1" s="231"/>
    </row>
    <row r="2" spans="1:5" ht="15.75" x14ac:dyDescent="0.25">
      <c r="A2" s="232"/>
    </row>
    <row r="3" spans="1:5" x14ac:dyDescent="0.25">
      <c r="A3" s="233" t="s">
        <v>3274</v>
      </c>
      <c r="B3" s="233" t="s">
        <v>3275</v>
      </c>
      <c r="C3" s="234" t="s">
        <v>3076</v>
      </c>
      <c r="D3" s="233" t="s">
        <v>3276</v>
      </c>
      <c r="E3" s="233" t="s">
        <v>3277</v>
      </c>
    </row>
    <row r="4" spans="1:5" ht="51" x14ac:dyDescent="0.25">
      <c r="A4" s="235" t="s">
        <v>3278</v>
      </c>
      <c r="B4" s="235" t="s">
        <v>3092</v>
      </c>
      <c r="C4" s="236" t="s">
        <v>3279</v>
      </c>
      <c r="D4" s="237" t="s">
        <v>3280</v>
      </c>
      <c r="E4" s="238">
        <v>3.3300000000000003E-2</v>
      </c>
    </row>
    <row r="5" spans="1:5" ht="38.25" x14ac:dyDescent="0.25">
      <c r="A5" s="235"/>
      <c r="B5" s="235"/>
      <c r="C5" s="236" t="s">
        <v>3281</v>
      </c>
      <c r="D5" s="237" t="s">
        <v>3282</v>
      </c>
      <c r="E5" s="238">
        <v>3.3300000000000003E-2</v>
      </c>
    </row>
    <row r="6" spans="1:5" ht="51" x14ac:dyDescent="0.25">
      <c r="A6" s="235"/>
      <c r="B6" s="235"/>
      <c r="C6" s="236" t="s">
        <v>3283</v>
      </c>
      <c r="D6" s="237" t="s">
        <v>3284</v>
      </c>
      <c r="E6" s="238">
        <v>3.3300000000000003E-2</v>
      </c>
    </row>
    <row r="7" spans="1:5" x14ac:dyDescent="0.25">
      <c r="A7" s="235" t="s">
        <v>3285</v>
      </c>
      <c r="B7" s="235" t="s">
        <v>3250</v>
      </c>
      <c r="C7" s="236" t="s">
        <v>3286</v>
      </c>
      <c r="D7" s="237" t="s">
        <v>3287</v>
      </c>
      <c r="E7" s="238">
        <v>2.5000000000000001E-2</v>
      </c>
    </row>
    <row r="8" spans="1:5" x14ac:dyDescent="0.25">
      <c r="A8" s="235"/>
      <c r="B8" s="235"/>
      <c r="C8" s="236" t="s">
        <v>3288</v>
      </c>
      <c r="D8" s="237" t="s">
        <v>3287</v>
      </c>
      <c r="E8" s="238">
        <v>2.5000000000000001E-2</v>
      </c>
    </row>
    <row r="9" spans="1:5" x14ac:dyDescent="0.25">
      <c r="A9" s="235"/>
      <c r="B9" s="235"/>
      <c r="C9" s="236" t="s">
        <v>3289</v>
      </c>
      <c r="D9" s="237" t="s">
        <v>3287</v>
      </c>
      <c r="E9" s="238">
        <v>2.5000000000000001E-2</v>
      </c>
    </row>
    <row r="10" spans="1:5" x14ac:dyDescent="0.25">
      <c r="A10" s="235"/>
      <c r="B10" s="235"/>
      <c r="C10" s="236" t="s">
        <v>3290</v>
      </c>
      <c r="D10" s="237" t="s">
        <v>3287</v>
      </c>
      <c r="E10" s="238">
        <v>2.5000000000000001E-2</v>
      </c>
    </row>
    <row r="11" spans="1:5" x14ac:dyDescent="0.25">
      <c r="A11" s="235"/>
      <c r="B11" s="235"/>
      <c r="C11" s="236" t="s">
        <v>3291</v>
      </c>
      <c r="D11" s="237" t="s">
        <v>3287</v>
      </c>
      <c r="E11" s="238">
        <v>2.5000000000000001E-2</v>
      </c>
    </row>
    <row r="12" spans="1:5" ht="25.5" x14ac:dyDescent="0.25">
      <c r="A12" s="235"/>
      <c r="B12" s="235" t="s">
        <v>3249</v>
      </c>
      <c r="C12" s="239" t="s">
        <v>3292</v>
      </c>
      <c r="D12" s="240" t="s">
        <v>3293</v>
      </c>
      <c r="E12" s="241">
        <v>4.1700000000000001E-2</v>
      </c>
    </row>
    <row r="13" spans="1:5" ht="25.5" x14ac:dyDescent="0.25">
      <c r="A13" s="235"/>
      <c r="B13" s="235"/>
      <c r="C13" s="239" t="s">
        <v>3294</v>
      </c>
      <c r="D13" s="240" t="s">
        <v>3293</v>
      </c>
      <c r="E13" s="241">
        <v>4.1700000000000001E-2</v>
      </c>
    </row>
    <row r="14" spans="1:5" x14ac:dyDescent="0.25">
      <c r="A14" s="235"/>
      <c r="B14" s="235"/>
      <c r="C14" s="236" t="s">
        <v>3295</v>
      </c>
      <c r="D14" s="237" t="s">
        <v>3287</v>
      </c>
      <c r="E14" s="238">
        <v>4.1700000000000001E-2</v>
      </c>
    </row>
    <row r="15" spans="1:5" x14ac:dyDescent="0.25">
      <c r="A15" s="235" t="s">
        <v>3296</v>
      </c>
      <c r="B15" s="235" t="s">
        <v>3297</v>
      </c>
      <c r="C15" s="239" t="s">
        <v>3298</v>
      </c>
      <c r="D15" s="240" t="s">
        <v>3299</v>
      </c>
      <c r="E15" s="241">
        <v>1.6299999999999999E-2</v>
      </c>
    </row>
    <row r="16" spans="1:5" x14ac:dyDescent="0.25">
      <c r="A16" s="235"/>
      <c r="B16" s="235"/>
      <c r="C16" s="239" t="s">
        <v>3300</v>
      </c>
      <c r="D16" s="240" t="s">
        <v>3299</v>
      </c>
      <c r="E16" s="241">
        <v>1.6299999999999999E-2</v>
      </c>
    </row>
    <row r="17" spans="1:5" x14ac:dyDescent="0.25">
      <c r="A17" s="235"/>
      <c r="B17" s="235"/>
      <c r="C17" s="239" t="s">
        <v>3301</v>
      </c>
      <c r="D17" s="240" t="s">
        <v>3299</v>
      </c>
      <c r="E17" s="241">
        <v>1.6299999999999999E-2</v>
      </c>
    </row>
    <row r="18" spans="1:5" x14ac:dyDescent="0.25">
      <c r="A18" s="235"/>
      <c r="B18" s="235"/>
      <c r="C18" s="239" t="s">
        <v>3302</v>
      </c>
      <c r="D18" s="240" t="s">
        <v>3299</v>
      </c>
      <c r="E18" s="241">
        <v>1.6299999999999999E-2</v>
      </c>
    </row>
    <row r="19" spans="1:5" x14ac:dyDescent="0.25">
      <c r="A19" s="235"/>
      <c r="B19" s="235"/>
      <c r="C19" s="239" t="s">
        <v>3303</v>
      </c>
      <c r="D19" s="240" t="s">
        <v>3299</v>
      </c>
      <c r="E19" s="241">
        <v>1.6299999999999999E-2</v>
      </c>
    </row>
    <row r="20" spans="1:5" x14ac:dyDescent="0.25">
      <c r="A20" s="235"/>
      <c r="B20" s="235"/>
      <c r="C20" s="239" t="s">
        <v>3304</v>
      </c>
      <c r="D20" s="240" t="s">
        <v>3299</v>
      </c>
      <c r="E20" s="241">
        <v>1.6299999999999999E-2</v>
      </c>
    </row>
    <row r="21" spans="1:5" x14ac:dyDescent="0.25">
      <c r="A21" s="235"/>
      <c r="B21" s="235"/>
      <c r="C21" s="239" t="s">
        <v>3305</v>
      </c>
      <c r="D21" s="240" t="s">
        <v>3299</v>
      </c>
      <c r="E21" s="241">
        <v>1.6299999999999999E-2</v>
      </c>
    </row>
    <row r="22" spans="1:5" x14ac:dyDescent="0.25">
      <c r="A22" s="235"/>
      <c r="B22" s="235"/>
      <c r="C22" s="239" t="s">
        <v>3306</v>
      </c>
      <c r="D22" s="240" t="s">
        <v>3299</v>
      </c>
      <c r="E22" s="241">
        <v>1.6299999999999999E-2</v>
      </c>
    </row>
    <row r="23" spans="1:5" x14ac:dyDescent="0.25">
      <c r="A23" s="235"/>
      <c r="B23" s="235" t="s">
        <v>3247</v>
      </c>
      <c r="C23" s="239" t="s">
        <v>3307</v>
      </c>
      <c r="D23" s="240" t="s">
        <v>3299</v>
      </c>
      <c r="E23" s="241">
        <v>1.8599999999999998E-2</v>
      </c>
    </row>
    <row r="24" spans="1:5" x14ac:dyDescent="0.25">
      <c r="A24" s="235"/>
      <c r="B24" s="235"/>
      <c r="C24" s="239" t="s">
        <v>3308</v>
      </c>
      <c r="D24" s="240" t="s">
        <v>3299</v>
      </c>
      <c r="E24" s="241">
        <v>1.8599999999999998E-2</v>
      </c>
    </row>
    <row r="25" spans="1:5" x14ac:dyDescent="0.25">
      <c r="A25" s="235"/>
      <c r="B25" s="235"/>
      <c r="C25" s="239" t="s">
        <v>3309</v>
      </c>
      <c r="D25" s="240" t="s">
        <v>3299</v>
      </c>
      <c r="E25" s="241">
        <v>1.8599999999999998E-2</v>
      </c>
    </row>
    <row r="26" spans="1:5" x14ac:dyDescent="0.25">
      <c r="A26" s="235"/>
      <c r="B26" s="235"/>
      <c r="C26" s="239" t="s">
        <v>3310</v>
      </c>
      <c r="D26" s="240" t="s">
        <v>3299</v>
      </c>
      <c r="E26" s="241">
        <v>1.8599999999999998E-2</v>
      </c>
    </row>
    <row r="27" spans="1:5" x14ac:dyDescent="0.25">
      <c r="A27" s="235"/>
      <c r="B27" s="235"/>
      <c r="C27" s="239" t="s">
        <v>3311</v>
      </c>
      <c r="D27" s="240" t="s">
        <v>3299</v>
      </c>
      <c r="E27" s="241">
        <v>1.8599999999999998E-2</v>
      </c>
    </row>
    <row r="28" spans="1:5" x14ac:dyDescent="0.25">
      <c r="A28" s="235"/>
      <c r="B28" s="235"/>
      <c r="C28" s="239" t="s">
        <v>3312</v>
      </c>
      <c r="D28" s="240" t="s">
        <v>3299</v>
      </c>
      <c r="E28" s="241">
        <v>1.8599999999999998E-2</v>
      </c>
    </row>
    <row r="29" spans="1:5" x14ac:dyDescent="0.25">
      <c r="A29" s="235"/>
      <c r="B29" s="235"/>
      <c r="C29" s="239" t="s">
        <v>3313</v>
      </c>
      <c r="D29" s="240" t="s">
        <v>3299</v>
      </c>
      <c r="E29" s="241">
        <v>1.8599999999999998E-2</v>
      </c>
    </row>
    <row r="30" spans="1:5" x14ac:dyDescent="0.25">
      <c r="A30" s="235"/>
      <c r="B30" s="235" t="s">
        <v>3314</v>
      </c>
      <c r="C30" s="236" t="s">
        <v>3315</v>
      </c>
      <c r="D30" s="237" t="s">
        <v>3316</v>
      </c>
      <c r="E30" s="238">
        <v>2.1700000000000001E-2</v>
      </c>
    </row>
    <row r="31" spans="1:5" x14ac:dyDescent="0.25">
      <c r="A31" s="235"/>
      <c r="B31" s="235"/>
      <c r="C31" s="236" t="s">
        <v>3317</v>
      </c>
      <c r="D31" s="237" t="s">
        <v>3287</v>
      </c>
      <c r="E31" s="238">
        <v>2.1700000000000001E-2</v>
      </c>
    </row>
    <row r="32" spans="1:5" x14ac:dyDescent="0.25">
      <c r="A32" s="235"/>
      <c r="B32" s="235"/>
      <c r="C32" s="236" t="s">
        <v>3318</v>
      </c>
      <c r="D32" s="237" t="s">
        <v>3287</v>
      </c>
      <c r="E32" s="238">
        <v>2.1700000000000001E-2</v>
      </c>
    </row>
    <row r="33" spans="1:5" x14ac:dyDescent="0.25">
      <c r="A33" s="235"/>
      <c r="B33" s="235"/>
      <c r="C33" s="236" t="s">
        <v>3319</v>
      </c>
      <c r="D33" s="237" t="s">
        <v>3287</v>
      </c>
      <c r="E33" s="238">
        <v>2.1700000000000001E-2</v>
      </c>
    </row>
    <row r="34" spans="1:5" x14ac:dyDescent="0.25">
      <c r="A34" s="235"/>
      <c r="B34" s="235"/>
      <c r="C34" s="236" t="s">
        <v>3320</v>
      </c>
      <c r="D34" s="237" t="s">
        <v>3287</v>
      </c>
      <c r="E34" s="238">
        <v>2.1700000000000001E-2</v>
      </c>
    </row>
    <row r="35" spans="1:5" x14ac:dyDescent="0.25">
      <c r="A35" s="235"/>
      <c r="B35" s="235"/>
      <c r="C35" s="236" t="s">
        <v>3321</v>
      </c>
      <c r="D35" s="237" t="s">
        <v>3287</v>
      </c>
      <c r="E35" s="238">
        <v>2.1700000000000001E-2</v>
      </c>
    </row>
    <row r="36" spans="1:5" x14ac:dyDescent="0.25">
      <c r="A36" s="235"/>
      <c r="B36" s="235" t="s">
        <v>3249</v>
      </c>
      <c r="C36" s="239" t="s">
        <v>3322</v>
      </c>
      <c r="D36" s="240" t="s">
        <v>3299</v>
      </c>
      <c r="E36" s="241">
        <v>3.2500000000000001E-2</v>
      </c>
    </row>
    <row r="37" spans="1:5" x14ac:dyDescent="0.25">
      <c r="A37" s="235"/>
      <c r="B37" s="235"/>
      <c r="C37" s="239" t="s">
        <v>3323</v>
      </c>
      <c r="D37" s="240" t="s">
        <v>3299</v>
      </c>
      <c r="E37" s="241">
        <v>3.2500000000000001E-2</v>
      </c>
    </row>
    <row r="38" spans="1:5" x14ac:dyDescent="0.25">
      <c r="A38" s="235"/>
      <c r="B38" s="235"/>
      <c r="C38" s="239" t="s">
        <v>3324</v>
      </c>
      <c r="D38" s="240" t="s">
        <v>3299</v>
      </c>
      <c r="E38" s="241">
        <v>3.2500000000000001E-2</v>
      </c>
    </row>
    <row r="39" spans="1:5" x14ac:dyDescent="0.25">
      <c r="A39" s="235"/>
      <c r="B39" s="235"/>
      <c r="C39" s="239" t="s">
        <v>3325</v>
      </c>
      <c r="D39" s="240" t="s">
        <v>3299</v>
      </c>
      <c r="E39" s="241">
        <v>3.2500000000000001E-2</v>
      </c>
    </row>
    <row r="40" spans="1:5" x14ac:dyDescent="0.25">
      <c r="A40" s="235"/>
      <c r="B40" s="235" t="s">
        <v>3248</v>
      </c>
      <c r="C40" s="239" t="s">
        <v>3326</v>
      </c>
      <c r="D40" s="240" t="s">
        <v>3299</v>
      </c>
      <c r="E40" s="241">
        <v>4.3299999999999998E-2</v>
      </c>
    </row>
    <row r="41" spans="1:5" x14ac:dyDescent="0.25">
      <c r="A41" s="235"/>
      <c r="B41" s="235"/>
      <c r="C41" s="236" t="s">
        <v>3327</v>
      </c>
      <c r="D41" s="237" t="s">
        <v>3287</v>
      </c>
      <c r="E41" s="238">
        <v>4.3299999999999998E-2</v>
      </c>
    </row>
    <row r="42" spans="1:5" x14ac:dyDescent="0.25">
      <c r="A42" s="235"/>
      <c r="B42" s="235"/>
      <c r="C42" s="236" t="s">
        <v>3328</v>
      </c>
      <c r="D42" s="237" t="s">
        <v>3287</v>
      </c>
      <c r="E42" s="238">
        <v>4.3299999999999998E-2</v>
      </c>
    </row>
    <row r="44" spans="1:5" x14ac:dyDescent="0.25">
      <c r="A44" t="s">
        <v>3329</v>
      </c>
    </row>
    <row r="45" spans="1:5" x14ac:dyDescent="0.25">
      <c r="A45" s="242" t="s">
        <v>3330</v>
      </c>
      <c r="B45" s="242"/>
      <c r="C45" s="242"/>
      <c r="D45" s="242"/>
      <c r="E45" s="242"/>
    </row>
    <row r="46" spans="1:5" x14ac:dyDescent="0.25">
      <c r="A46" s="242"/>
      <c r="B46" s="242"/>
      <c r="C46" s="242"/>
      <c r="D46" s="242"/>
      <c r="E46" s="242"/>
    </row>
    <row r="47" spans="1:5" hidden="1" x14ac:dyDescent="0.25">
      <c r="A47" s="242"/>
      <c r="B47" s="242"/>
      <c r="C47" s="242"/>
      <c r="D47" s="242"/>
      <c r="E47" s="242"/>
    </row>
    <row r="49" spans="1:1" x14ac:dyDescent="0.25">
      <c r="A49" s="20"/>
    </row>
  </sheetData>
  <mergeCells count="12">
    <mergeCell ref="B40:B42"/>
    <mergeCell ref="A45:E47"/>
    <mergeCell ref="A4:A6"/>
    <mergeCell ref="B4:B6"/>
    <mergeCell ref="A7:A14"/>
    <mergeCell ref="B7:B11"/>
    <mergeCell ref="B12:B14"/>
    <mergeCell ref="A15:A42"/>
    <mergeCell ref="B15:B22"/>
    <mergeCell ref="B23:B29"/>
    <mergeCell ref="B30:B35"/>
    <mergeCell ref="B36:B3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C69"/>
  <sheetViews>
    <sheetView zoomScale="106" zoomScaleNormal="106" workbookViewId="0">
      <pane xSplit="2" ySplit="1" topLeftCell="C2" activePane="bottomRight" state="frozen"/>
      <selection pane="topRight" activeCell="C1" sqref="C1"/>
      <selection pane="bottomLeft" activeCell="A2" sqref="A2"/>
      <selection pane="bottomRight" activeCell="E5" sqref="E5"/>
    </sheetView>
  </sheetViews>
  <sheetFormatPr defaultColWidth="35" defaultRowHeight="27" customHeight="1" x14ac:dyDescent="0.25"/>
  <cols>
    <col min="1" max="1" width="10.28515625" style="178" customWidth="1"/>
    <col min="2" max="2" width="67.7109375" style="178" customWidth="1"/>
    <col min="3" max="3" width="20.140625" style="178" bestFit="1" customWidth="1"/>
    <col min="4" max="4" width="21.85546875" style="178" bestFit="1" customWidth="1"/>
    <col min="5" max="5" width="12.42578125" style="178" customWidth="1"/>
    <col min="6" max="6" width="14.85546875" style="178" bestFit="1" customWidth="1"/>
    <col min="7" max="7" width="15.42578125" style="178" bestFit="1" customWidth="1"/>
    <col min="8" max="8" width="18" style="178" customWidth="1"/>
    <col min="9" max="9" width="15.28515625" style="178" customWidth="1"/>
    <col min="10" max="10" width="15.28515625" style="178" bestFit="1" customWidth="1"/>
    <col min="11" max="11" width="26.28515625" style="178" customWidth="1"/>
    <col min="12" max="12" width="24.28515625" style="178" bestFit="1" customWidth="1"/>
    <col min="13" max="13" width="31.5703125" style="178" bestFit="1" customWidth="1"/>
    <col min="14" max="17" width="35" style="178"/>
    <col min="18" max="18" width="25.7109375" style="178" bestFit="1" customWidth="1"/>
    <col min="19" max="19" width="22.85546875" style="178" bestFit="1" customWidth="1"/>
    <col min="20" max="20" width="8" style="178" bestFit="1" customWidth="1"/>
    <col min="21" max="21" width="32.85546875" style="178" bestFit="1" customWidth="1"/>
    <col min="22" max="22" width="9.42578125" style="178" bestFit="1" customWidth="1"/>
    <col min="23" max="23" width="10.7109375" style="178" bestFit="1" customWidth="1"/>
    <col min="24" max="24" width="17.7109375" style="178" customWidth="1"/>
    <col min="25" max="25" width="20.42578125" style="178" customWidth="1"/>
    <col min="26" max="26" width="20.140625" style="178" customWidth="1"/>
    <col min="27" max="27" width="63.7109375" style="76" customWidth="1"/>
    <col min="28" max="28" width="35" style="51"/>
    <col min="29" max="29" width="64.42578125" style="19" customWidth="1"/>
    <col min="30" max="16384" width="35" style="178"/>
  </cols>
  <sheetData>
    <row r="1" spans="1:29" s="17" customFormat="1" ht="41.25" customHeight="1" x14ac:dyDescent="0.25">
      <c r="A1" s="176" t="s">
        <v>2909</v>
      </c>
      <c r="B1" s="172" t="s">
        <v>3041</v>
      </c>
      <c r="C1" s="172" t="s">
        <v>2910</v>
      </c>
      <c r="D1" s="172" t="s">
        <v>2911</v>
      </c>
      <c r="E1" s="172" t="s">
        <v>2912</v>
      </c>
      <c r="F1" s="172" t="s">
        <v>2913</v>
      </c>
      <c r="G1" s="172" t="s">
        <v>2914</v>
      </c>
      <c r="H1" s="172" t="s">
        <v>2915</v>
      </c>
      <c r="I1" s="172" t="s">
        <v>2916</v>
      </c>
      <c r="J1" s="172" t="s">
        <v>2917</v>
      </c>
      <c r="K1" s="172" t="s">
        <v>2918</v>
      </c>
      <c r="L1" s="172" t="s">
        <v>2919</v>
      </c>
      <c r="M1" s="172" t="s">
        <v>3165</v>
      </c>
      <c r="N1" s="172" t="s">
        <v>3169</v>
      </c>
      <c r="O1" s="172" t="s">
        <v>2920</v>
      </c>
      <c r="P1" s="172" t="s">
        <v>3171</v>
      </c>
      <c r="Q1" s="172" t="s">
        <v>3173</v>
      </c>
      <c r="R1" s="172" t="s">
        <v>2921</v>
      </c>
      <c r="S1" s="172" t="s">
        <v>3172</v>
      </c>
      <c r="T1" s="172" t="s">
        <v>3174</v>
      </c>
      <c r="U1" s="172" t="s">
        <v>3259</v>
      </c>
      <c r="V1" s="172" t="s">
        <v>2922</v>
      </c>
      <c r="W1" s="172" t="s">
        <v>2923</v>
      </c>
      <c r="X1" s="172" t="s">
        <v>2924</v>
      </c>
      <c r="Y1" s="172" t="s">
        <v>2925</v>
      </c>
      <c r="Z1" s="172" t="s">
        <v>2926</v>
      </c>
      <c r="AA1" s="181" t="s">
        <v>2927</v>
      </c>
      <c r="AB1" s="173" t="s">
        <v>2928</v>
      </c>
      <c r="AC1" s="174" t="s">
        <v>2929</v>
      </c>
    </row>
    <row r="2" spans="1:29" ht="27" customHeight="1" x14ac:dyDescent="0.25">
      <c r="A2" s="177">
        <v>46002</v>
      </c>
      <c r="B2" s="4" t="s">
        <v>2930</v>
      </c>
      <c r="C2" s="4" t="s">
        <v>2747</v>
      </c>
      <c r="D2" s="5" t="s">
        <v>2931</v>
      </c>
      <c r="E2" s="5" t="s">
        <v>2912</v>
      </c>
      <c r="F2" s="5"/>
      <c r="G2" s="5"/>
      <c r="H2" s="6"/>
      <c r="I2" s="6"/>
      <c r="J2" s="6"/>
      <c r="K2" s="6"/>
      <c r="L2" s="6" t="s">
        <v>3166</v>
      </c>
      <c r="M2" s="6" t="s">
        <v>3163</v>
      </c>
      <c r="N2" s="6" t="s">
        <v>2933</v>
      </c>
      <c r="O2" s="6" t="s">
        <v>2933</v>
      </c>
      <c r="P2" s="6" t="s">
        <v>2934</v>
      </c>
      <c r="Q2" s="6">
        <v>94</v>
      </c>
      <c r="R2" s="6" t="s">
        <v>2935</v>
      </c>
      <c r="S2" s="175">
        <v>40575</v>
      </c>
      <c r="T2" s="6"/>
      <c r="U2" s="6" t="s">
        <v>2936</v>
      </c>
      <c r="V2" s="6" t="s">
        <v>2922</v>
      </c>
      <c r="W2" s="6"/>
      <c r="X2" s="8">
        <f>114+2434</f>
        <v>2548</v>
      </c>
      <c r="Y2" s="7">
        <v>3510.1135891610338</v>
      </c>
      <c r="Z2" s="180">
        <f>SUM(Table1[[#This Row],[Total ODA Spend in 2012 (in USD mn)]:[Total OOF Spend in 2012 (USD n)]])</f>
        <v>6058.1135891610338</v>
      </c>
      <c r="AA2" s="9" t="s">
        <v>2937</v>
      </c>
      <c r="AB2" s="6" t="s">
        <v>2938</v>
      </c>
      <c r="AC2" s="9" t="s">
        <v>2937</v>
      </c>
    </row>
    <row r="3" spans="1:29" ht="27" customHeight="1" x14ac:dyDescent="0.25">
      <c r="A3" s="177">
        <v>46004</v>
      </c>
      <c r="B3" s="4" t="s">
        <v>2939</v>
      </c>
      <c r="C3" s="4" t="s">
        <v>2381</v>
      </c>
      <c r="D3" s="5" t="s">
        <v>2931</v>
      </c>
      <c r="E3" s="5" t="s">
        <v>2912</v>
      </c>
      <c r="F3" s="5"/>
      <c r="G3" s="5"/>
      <c r="H3" s="6"/>
      <c r="I3" s="6"/>
      <c r="J3" s="6"/>
      <c r="K3" s="6"/>
      <c r="L3" s="6" t="s">
        <v>3166</v>
      </c>
      <c r="M3" s="6"/>
      <c r="N3" s="6" t="s">
        <v>2933</v>
      </c>
      <c r="O3" s="6" t="s">
        <v>2933</v>
      </c>
      <c r="P3" s="6" t="s">
        <v>2934</v>
      </c>
      <c r="Q3" s="6">
        <v>91</v>
      </c>
      <c r="R3" s="6" t="s">
        <v>2941</v>
      </c>
      <c r="S3" s="175"/>
      <c r="T3" s="6"/>
      <c r="U3" s="6" t="s">
        <v>2936</v>
      </c>
      <c r="V3" s="6"/>
      <c r="W3" s="6"/>
      <c r="X3" s="7">
        <v>1834.7696486696459</v>
      </c>
      <c r="Y3" s="7">
        <v>6899.6631407021732</v>
      </c>
      <c r="Z3" s="180">
        <f>SUM(Table1[[#This Row],[Total ODA Spend in 2012 (in USD mn)]:[Total OOF Spend in 2012 (USD n)]])</f>
        <v>8734.4327893718182</v>
      </c>
      <c r="AA3" s="9" t="s">
        <v>2937</v>
      </c>
      <c r="AB3" s="6" t="s">
        <v>2942</v>
      </c>
      <c r="AC3" s="9" t="s">
        <v>2937</v>
      </c>
    </row>
    <row r="4" spans="1:29" ht="27" customHeight="1" x14ac:dyDescent="0.25">
      <c r="A4" s="177" t="s">
        <v>2300</v>
      </c>
      <c r="B4" s="4" t="s">
        <v>3191</v>
      </c>
      <c r="C4" s="4" t="s">
        <v>2299</v>
      </c>
      <c r="D4" s="5" t="s">
        <v>2943</v>
      </c>
      <c r="E4" s="5"/>
      <c r="F4" s="5"/>
      <c r="G4" s="5"/>
      <c r="H4" s="6"/>
      <c r="I4" s="6"/>
      <c r="J4" s="6"/>
      <c r="K4" s="6" t="s">
        <v>2944</v>
      </c>
      <c r="L4" s="6" t="s">
        <v>3166</v>
      </c>
      <c r="M4" s="6" t="s">
        <v>3163</v>
      </c>
      <c r="N4" s="6" t="s">
        <v>2933</v>
      </c>
      <c r="O4" s="6" t="s">
        <v>2933</v>
      </c>
      <c r="P4" s="6" t="s">
        <v>2934</v>
      </c>
      <c r="Q4" s="6">
        <v>38</v>
      </c>
      <c r="R4" s="6" t="s">
        <v>2946</v>
      </c>
      <c r="S4" s="175">
        <v>39692</v>
      </c>
      <c r="T4" s="6"/>
      <c r="U4" s="6" t="s">
        <v>3175</v>
      </c>
      <c r="V4" s="6"/>
      <c r="W4" s="6"/>
      <c r="X4" s="7">
        <v>4045.8022374606744</v>
      </c>
      <c r="Y4" s="7">
        <v>42.746273291925398</v>
      </c>
      <c r="Z4" s="180">
        <f>SUM(Table1[[#This Row],[Total ODA Spend in 2012 (in USD mn)]:[Total OOF Spend in 2012 (USD n)]])</f>
        <v>4088.5485107525997</v>
      </c>
      <c r="AA4" s="9" t="s">
        <v>2937</v>
      </c>
      <c r="AB4" s="6" t="s">
        <v>2947</v>
      </c>
      <c r="AC4" s="9" t="s">
        <v>2937</v>
      </c>
    </row>
    <row r="5" spans="1:29" ht="27" customHeight="1" x14ac:dyDescent="0.25">
      <c r="A5" s="177" t="s">
        <v>29</v>
      </c>
      <c r="B5" s="4" t="s">
        <v>3192</v>
      </c>
      <c r="C5" s="4" t="s">
        <v>28</v>
      </c>
      <c r="D5" s="5" t="s">
        <v>2943</v>
      </c>
      <c r="E5" s="5"/>
      <c r="F5" s="5"/>
      <c r="G5" s="5"/>
      <c r="H5" s="6" t="s">
        <v>2948</v>
      </c>
      <c r="I5" s="6"/>
      <c r="J5" s="6"/>
      <c r="K5" s="6" t="s">
        <v>2944</v>
      </c>
      <c r="L5" s="6"/>
      <c r="M5" s="6"/>
      <c r="N5" s="6"/>
      <c r="O5" s="6"/>
      <c r="P5" s="6"/>
      <c r="Q5" s="6"/>
      <c r="R5" s="6"/>
      <c r="S5" s="175"/>
      <c r="T5" s="6"/>
      <c r="U5" s="6" t="s">
        <v>2949</v>
      </c>
      <c r="V5" s="6"/>
      <c r="W5" s="6"/>
      <c r="X5" s="7">
        <v>87.746475476349332</v>
      </c>
      <c r="Y5" s="8"/>
      <c r="Z5" s="180">
        <f>SUM(Table1[[#This Row],[Total ODA Spend in 2012 (in USD mn)]:[Total OOF Spend in 2012 (USD n)]])</f>
        <v>87.746475476349332</v>
      </c>
      <c r="AA5" s="9" t="s">
        <v>2937</v>
      </c>
      <c r="AB5" s="6" t="s">
        <v>2950</v>
      </c>
      <c r="AC5" s="9" t="s">
        <v>2937</v>
      </c>
    </row>
    <row r="6" spans="1:29" ht="27" customHeight="1" x14ac:dyDescent="0.25">
      <c r="A6" s="177" t="s">
        <v>1932</v>
      </c>
      <c r="B6" s="4" t="s">
        <v>3193</v>
      </c>
      <c r="C6" s="4" t="s">
        <v>1931</v>
      </c>
      <c r="D6" s="5" t="s">
        <v>2943</v>
      </c>
      <c r="E6" s="5"/>
      <c r="F6" s="5"/>
      <c r="G6" s="5"/>
      <c r="H6" s="6" t="s">
        <v>2948</v>
      </c>
      <c r="I6" s="6"/>
      <c r="J6" s="6"/>
      <c r="K6" s="6" t="s">
        <v>2944</v>
      </c>
      <c r="L6" s="6"/>
      <c r="M6" s="6" t="s">
        <v>3163</v>
      </c>
      <c r="N6" s="6"/>
      <c r="O6" s="6"/>
      <c r="P6" s="6"/>
      <c r="Q6" s="6"/>
      <c r="R6" s="6"/>
      <c r="S6" s="175">
        <v>41214</v>
      </c>
      <c r="T6" s="6"/>
      <c r="U6" s="6" t="s">
        <v>2949</v>
      </c>
      <c r="V6" s="6"/>
      <c r="W6" s="6"/>
      <c r="X6" s="7">
        <v>801.97877120822363</v>
      </c>
      <c r="Y6" s="7">
        <v>3.01579691516709</v>
      </c>
      <c r="Z6" s="180">
        <f>SUM(Table1[[#This Row],[Total ODA Spend in 2012 (in USD mn)]:[Total OOF Spend in 2012 (USD n)]])</f>
        <v>804.99456812339076</v>
      </c>
      <c r="AA6" s="9" t="s">
        <v>2937</v>
      </c>
      <c r="AB6" s="6" t="s">
        <v>2951</v>
      </c>
      <c r="AC6" s="9" t="s">
        <v>2937</v>
      </c>
    </row>
    <row r="7" spans="1:29" ht="27" customHeight="1" x14ac:dyDescent="0.25">
      <c r="A7" s="177" t="s">
        <v>1157</v>
      </c>
      <c r="B7" s="4" t="s">
        <v>3194</v>
      </c>
      <c r="C7" s="4" t="s">
        <v>1156</v>
      </c>
      <c r="D7" s="5" t="s">
        <v>2943</v>
      </c>
      <c r="E7" s="5"/>
      <c r="F7" s="5"/>
      <c r="G7" s="5"/>
      <c r="H7" s="6"/>
      <c r="I7" s="6"/>
      <c r="J7" s="6"/>
      <c r="K7" s="6"/>
      <c r="L7" s="6"/>
      <c r="M7" s="6"/>
      <c r="N7" s="6"/>
      <c r="O7" s="6"/>
      <c r="P7" s="6"/>
      <c r="Q7" s="6"/>
      <c r="R7" s="6"/>
      <c r="S7" s="175"/>
      <c r="T7" s="6"/>
      <c r="U7" s="6" t="s">
        <v>3177</v>
      </c>
      <c r="V7" s="6"/>
      <c r="W7" s="6"/>
      <c r="X7" s="8">
        <v>499.7</v>
      </c>
      <c r="Y7" s="8"/>
      <c r="Z7" s="180">
        <f>SUM(Table1[[#This Row],[Total ODA Spend in 2012 (in USD mn)]:[Total OOF Spend in 2012 (USD n)]])</f>
        <v>499.7</v>
      </c>
      <c r="AA7" s="9" t="s">
        <v>2952</v>
      </c>
      <c r="AB7" s="6" t="s">
        <v>2953</v>
      </c>
      <c r="AC7" s="9" t="s">
        <v>2954</v>
      </c>
    </row>
    <row r="8" spans="1:29" ht="27" customHeight="1" x14ac:dyDescent="0.25">
      <c r="A8" s="177" t="s">
        <v>1850</v>
      </c>
      <c r="B8" s="4" t="s">
        <v>3195</v>
      </c>
      <c r="C8" s="4" t="s">
        <v>1849</v>
      </c>
      <c r="D8" s="5" t="s">
        <v>2943</v>
      </c>
      <c r="E8" s="5"/>
      <c r="F8" s="5"/>
      <c r="G8" s="5"/>
      <c r="H8" s="6" t="s">
        <v>2948</v>
      </c>
      <c r="I8" s="6"/>
      <c r="J8" s="6"/>
      <c r="K8" s="6" t="s">
        <v>2955</v>
      </c>
      <c r="L8" s="6"/>
      <c r="M8" s="6"/>
      <c r="N8" s="6"/>
      <c r="O8" s="6"/>
      <c r="P8" s="6"/>
      <c r="Q8" s="6"/>
      <c r="R8" s="6"/>
      <c r="S8" s="175"/>
      <c r="T8" s="6"/>
      <c r="U8" s="6" t="s">
        <v>3177</v>
      </c>
      <c r="V8" s="6"/>
      <c r="W8" s="6" t="s">
        <v>2923</v>
      </c>
      <c r="X8" s="8">
        <v>39.950000000000003</v>
      </c>
      <c r="Y8" s="8"/>
      <c r="Z8" s="180">
        <f>SUM(Table1[[#This Row],[Total ODA Spend in 2012 (in USD mn)]:[Total OOF Spend in 2012 (USD n)]])</f>
        <v>39.950000000000003</v>
      </c>
      <c r="AA8" s="9" t="s">
        <v>2956</v>
      </c>
      <c r="AB8" s="6" t="s">
        <v>2957</v>
      </c>
      <c r="AC8" s="9" t="s">
        <v>2958</v>
      </c>
    </row>
    <row r="9" spans="1:29" ht="27" customHeight="1" x14ac:dyDescent="0.25">
      <c r="A9" s="177" t="s">
        <v>911</v>
      </c>
      <c r="B9" s="4" t="s">
        <v>3196</v>
      </c>
      <c r="C9" s="4" t="s">
        <v>910</v>
      </c>
      <c r="D9" s="5" t="s">
        <v>2943</v>
      </c>
      <c r="E9" s="5"/>
      <c r="F9" s="5"/>
      <c r="G9" s="5"/>
      <c r="H9" s="6"/>
      <c r="I9" s="6"/>
      <c r="J9" s="6"/>
      <c r="K9" s="6" t="s">
        <v>2944</v>
      </c>
      <c r="L9" s="6" t="s">
        <v>3166</v>
      </c>
      <c r="M9" s="6" t="s">
        <v>3163</v>
      </c>
      <c r="N9" s="6" t="s">
        <v>2933</v>
      </c>
      <c r="O9" s="6" t="s">
        <v>2933</v>
      </c>
      <c r="P9" s="6" t="s">
        <v>2934</v>
      </c>
      <c r="Q9" s="6">
        <v>94</v>
      </c>
      <c r="R9" s="6" t="s">
        <v>2959</v>
      </c>
      <c r="S9" s="175">
        <v>40848</v>
      </c>
      <c r="T9" s="6" t="s">
        <v>3174</v>
      </c>
      <c r="U9" s="6" t="s">
        <v>3176</v>
      </c>
      <c r="V9" s="6" t="s">
        <v>2922</v>
      </c>
      <c r="W9" s="6"/>
      <c r="X9" s="8">
        <v>3099</v>
      </c>
      <c r="Y9" s="8"/>
      <c r="Z9" s="180">
        <f>SUM(Table1[[#This Row],[Total ODA Spend in 2012 (in USD mn)]:[Total OOF Spend in 2012 (USD n)]])</f>
        <v>3099</v>
      </c>
      <c r="AA9" s="9" t="s">
        <v>2937</v>
      </c>
      <c r="AB9" s="6" t="s">
        <v>2953</v>
      </c>
      <c r="AC9" s="9" t="s">
        <v>2937</v>
      </c>
    </row>
    <row r="10" spans="1:29" ht="27" customHeight="1" x14ac:dyDescent="0.25">
      <c r="A10" s="177" t="s">
        <v>2870</v>
      </c>
      <c r="B10" s="4" t="s">
        <v>3197</v>
      </c>
      <c r="C10" s="4" t="s">
        <v>2869</v>
      </c>
      <c r="D10" s="5" t="s">
        <v>2943</v>
      </c>
      <c r="E10" s="5"/>
      <c r="F10" s="5"/>
      <c r="G10" s="5"/>
      <c r="H10" s="6"/>
      <c r="I10" s="6"/>
      <c r="J10" s="6"/>
      <c r="K10" s="6"/>
      <c r="L10" s="6"/>
      <c r="M10" s="6"/>
      <c r="N10" s="6"/>
      <c r="O10" s="6"/>
      <c r="P10" s="6"/>
      <c r="Q10" s="6"/>
      <c r="R10" s="6"/>
      <c r="S10" s="175"/>
      <c r="T10" s="6"/>
      <c r="U10" s="6" t="s">
        <v>2949</v>
      </c>
      <c r="V10" s="6"/>
      <c r="W10" s="6"/>
      <c r="X10" s="8">
        <v>2644.2</v>
      </c>
      <c r="Y10" s="8"/>
      <c r="Z10" s="180">
        <f>SUM(Table1[[#This Row],[Total ODA Spend in 2012 (in USD mn)]:[Total OOF Spend in 2012 (USD n)]])</f>
        <v>2644.2</v>
      </c>
      <c r="AA10" s="9" t="s">
        <v>2960</v>
      </c>
      <c r="AB10" s="6" t="s">
        <v>2961</v>
      </c>
      <c r="AC10" s="9" t="s">
        <v>2962</v>
      </c>
    </row>
    <row r="11" spans="1:29" ht="27" customHeight="1" x14ac:dyDescent="0.25">
      <c r="A11" s="177" t="s">
        <v>174</v>
      </c>
      <c r="B11" s="4" t="s">
        <v>3198</v>
      </c>
      <c r="C11" s="4" t="s">
        <v>173</v>
      </c>
      <c r="D11" s="5" t="s">
        <v>2943</v>
      </c>
      <c r="E11" s="5"/>
      <c r="F11" s="5"/>
      <c r="G11" s="5"/>
      <c r="H11" s="6" t="s">
        <v>2948</v>
      </c>
      <c r="I11" s="6"/>
      <c r="J11" s="6"/>
      <c r="K11" s="6"/>
      <c r="L11" s="6"/>
      <c r="M11" s="6"/>
      <c r="N11" s="6"/>
      <c r="O11" s="6"/>
      <c r="P11" s="6"/>
      <c r="Q11" s="6"/>
      <c r="R11" s="6"/>
      <c r="S11" s="175"/>
      <c r="T11" s="6"/>
      <c r="U11" s="6" t="s">
        <v>3177</v>
      </c>
      <c r="V11" s="6"/>
      <c r="W11" s="6" t="s">
        <v>2923</v>
      </c>
      <c r="X11" s="8">
        <v>21</v>
      </c>
      <c r="Y11" s="8"/>
      <c r="Z11" s="180">
        <f>SUM(Table1[[#This Row],[Total ODA Spend in 2012 (in USD mn)]:[Total OOF Spend in 2012 (USD n)]])</f>
        <v>21</v>
      </c>
      <c r="AA11" s="9" t="s">
        <v>2963</v>
      </c>
      <c r="AB11" s="6" t="s">
        <v>2964</v>
      </c>
      <c r="AC11" s="9" t="s">
        <v>2963</v>
      </c>
    </row>
    <row r="12" spans="1:29" ht="27" customHeight="1" x14ac:dyDescent="0.25">
      <c r="A12" s="177" t="s">
        <v>1973</v>
      </c>
      <c r="B12" s="4" t="s">
        <v>3199</v>
      </c>
      <c r="C12" s="4" t="s">
        <v>1972</v>
      </c>
      <c r="D12" s="5" t="s">
        <v>2943</v>
      </c>
      <c r="E12" s="5"/>
      <c r="F12" s="5"/>
      <c r="G12" s="5"/>
      <c r="H12" s="6" t="s">
        <v>2948</v>
      </c>
      <c r="I12" s="6"/>
      <c r="J12" s="6"/>
      <c r="K12" s="6" t="s">
        <v>2955</v>
      </c>
      <c r="L12" s="6"/>
      <c r="M12" s="6"/>
      <c r="N12" s="6"/>
      <c r="O12" s="6"/>
      <c r="P12" s="6"/>
      <c r="Q12" s="6"/>
      <c r="R12" s="6"/>
      <c r="S12" s="175"/>
      <c r="T12" s="6"/>
      <c r="U12" s="6" t="s">
        <v>2949</v>
      </c>
      <c r="V12" s="6"/>
      <c r="W12" s="6" t="s">
        <v>2923</v>
      </c>
      <c r="X12" s="8">
        <v>25.08</v>
      </c>
      <c r="Y12" s="8"/>
      <c r="Z12" s="180">
        <f>SUM(Table1[[#This Row],[Total ODA Spend in 2012 (in USD mn)]:[Total OOF Spend in 2012 (USD n)]])</f>
        <v>25.08</v>
      </c>
      <c r="AA12" s="9" t="s">
        <v>2956</v>
      </c>
      <c r="AB12" s="6" t="s">
        <v>2964</v>
      </c>
      <c r="AC12" s="9" t="s">
        <v>2965</v>
      </c>
    </row>
    <row r="13" spans="1:29" ht="27" customHeight="1" x14ac:dyDescent="0.25">
      <c r="A13" s="177" t="s">
        <v>215</v>
      </c>
      <c r="B13" s="4" t="s">
        <v>3200</v>
      </c>
      <c r="C13" s="4" t="s">
        <v>214</v>
      </c>
      <c r="D13" s="5" t="s">
        <v>2943</v>
      </c>
      <c r="E13" s="5"/>
      <c r="F13" s="5"/>
      <c r="G13" s="5"/>
      <c r="H13" s="6" t="s">
        <v>2948</v>
      </c>
      <c r="I13" s="6"/>
      <c r="J13" s="6"/>
      <c r="K13" s="6" t="s">
        <v>2944</v>
      </c>
      <c r="L13" s="6"/>
      <c r="M13" s="6"/>
      <c r="N13" s="6"/>
      <c r="O13" s="6"/>
      <c r="P13" s="6" t="s">
        <v>2934</v>
      </c>
      <c r="Q13" s="6">
        <v>79</v>
      </c>
      <c r="R13" s="6"/>
      <c r="S13" s="175"/>
      <c r="T13" s="6"/>
      <c r="U13" s="6" t="s">
        <v>3178</v>
      </c>
      <c r="V13" s="6" t="s">
        <v>2922</v>
      </c>
      <c r="W13" s="6" t="s">
        <v>2923</v>
      </c>
      <c r="X13" s="7">
        <v>21.734204101687428</v>
      </c>
      <c r="Y13" s="8"/>
      <c r="Z13" s="180">
        <f>SUM(Table1[[#This Row],[Total ODA Spend in 2012 (in USD mn)]:[Total OOF Spend in 2012 (USD n)]])</f>
        <v>21.734204101687428</v>
      </c>
      <c r="AA13" s="9" t="s">
        <v>2937</v>
      </c>
      <c r="AB13" s="6" t="s">
        <v>2966</v>
      </c>
      <c r="AC13" s="9" t="s">
        <v>2937</v>
      </c>
    </row>
    <row r="14" spans="1:29" ht="27" customHeight="1" x14ac:dyDescent="0.25">
      <c r="A14" s="177" t="s">
        <v>2788</v>
      </c>
      <c r="B14" s="4" t="s">
        <v>3201</v>
      </c>
      <c r="C14" s="4" t="s">
        <v>2787</v>
      </c>
      <c r="D14" s="5" t="s">
        <v>2943</v>
      </c>
      <c r="E14" s="5"/>
      <c r="F14" s="5"/>
      <c r="G14" s="5"/>
      <c r="H14" s="6" t="s">
        <v>2948</v>
      </c>
      <c r="I14" s="6"/>
      <c r="J14" s="6"/>
      <c r="K14" s="6" t="s">
        <v>2944</v>
      </c>
      <c r="L14" s="6" t="s">
        <v>3166</v>
      </c>
      <c r="M14" s="6" t="s">
        <v>3163</v>
      </c>
      <c r="N14" s="6" t="s">
        <v>2933</v>
      </c>
      <c r="O14" s="6" t="s">
        <v>2945</v>
      </c>
      <c r="P14" s="6" t="s">
        <v>2934</v>
      </c>
      <c r="Q14" s="6">
        <v>68</v>
      </c>
      <c r="R14" s="6" t="s">
        <v>2968</v>
      </c>
      <c r="S14" s="175">
        <v>39692</v>
      </c>
      <c r="T14" s="6"/>
      <c r="U14" s="6" t="s">
        <v>3177</v>
      </c>
      <c r="V14" s="6"/>
      <c r="W14" s="6"/>
      <c r="X14" s="7">
        <v>1992.2299176151553</v>
      </c>
      <c r="Y14" s="7">
        <v>36.982158586503985</v>
      </c>
      <c r="Z14" s="180">
        <f>SUM(Table1[[#This Row],[Total ODA Spend in 2012 (in USD mn)]:[Total OOF Spend in 2012 (USD n)]])</f>
        <v>2029.2120762016593</v>
      </c>
      <c r="AA14" s="9" t="s">
        <v>2937</v>
      </c>
      <c r="AB14" s="6" t="s">
        <v>2969</v>
      </c>
      <c r="AC14" s="9" t="s">
        <v>2937</v>
      </c>
    </row>
    <row r="15" spans="1:29" ht="27" customHeight="1" x14ac:dyDescent="0.25">
      <c r="A15" s="177">
        <v>46015</v>
      </c>
      <c r="B15" s="4" t="s">
        <v>2972</v>
      </c>
      <c r="C15" s="4" t="s">
        <v>255</v>
      </c>
      <c r="D15" s="5" t="s">
        <v>2931</v>
      </c>
      <c r="E15" s="5" t="s">
        <v>2912</v>
      </c>
      <c r="F15" s="5"/>
      <c r="G15" s="5"/>
      <c r="H15" s="6"/>
      <c r="I15" s="6"/>
      <c r="J15" s="6"/>
      <c r="K15" s="6"/>
      <c r="L15" s="6"/>
      <c r="M15" s="6"/>
      <c r="N15" s="6"/>
      <c r="O15" s="6"/>
      <c r="P15" s="6"/>
      <c r="Q15" s="6"/>
      <c r="R15" s="6"/>
      <c r="S15" s="175"/>
      <c r="T15" s="6"/>
      <c r="U15" s="6" t="s">
        <v>2936</v>
      </c>
      <c r="V15" s="6"/>
      <c r="W15" s="6"/>
      <c r="X15" s="7"/>
      <c r="Y15" s="7">
        <v>3336.3200947489622</v>
      </c>
      <c r="Z15" s="180">
        <f>SUM(Table1[[#This Row],[Total ODA Spend in 2012 (in USD mn)]:[Total OOF Spend in 2012 (USD n)]])</f>
        <v>3336.3200947489622</v>
      </c>
      <c r="AA15" s="9" t="s">
        <v>2937</v>
      </c>
      <c r="AB15" s="6" t="s">
        <v>2973</v>
      </c>
      <c r="AC15" s="9" t="s">
        <v>2937</v>
      </c>
    </row>
    <row r="16" spans="1:29" ht="27" customHeight="1" x14ac:dyDescent="0.25">
      <c r="A16" s="177" t="s">
        <v>869</v>
      </c>
      <c r="B16" s="4" t="s">
        <v>3202</v>
      </c>
      <c r="C16" s="4" t="s">
        <v>868</v>
      </c>
      <c r="D16" s="5" t="s">
        <v>2931</v>
      </c>
      <c r="E16" s="5"/>
      <c r="F16" s="5"/>
      <c r="G16" s="5"/>
      <c r="H16" s="6" t="s">
        <v>3184</v>
      </c>
      <c r="I16" s="6"/>
      <c r="J16" s="6"/>
      <c r="K16" s="6" t="s">
        <v>2944</v>
      </c>
      <c r="L16" s="6" t="s">
        <v>3166</v>
      </c>
      <c r="M16" s="6" t="s">
        <v>3163</v>
      </c>
      <c r="N16" s="6" t="s">
        <v>2933</v>
      </c>
      <c r="O16" s="6" t="s">
        <v>2940</v>
      </c>
      <c r="P16" s="6" t="s">
        <v>2934</v>
      </c>
      <c r="Q16" s="6">
        <v>87</v>
      </c>
      <c r="R16" s="10">
        <v>40817</v>
      </c>
      <c r="S16" s="175">
        <v>39692</v>
      </c>
      <c r="T16" s="6"/>
      <c r="U16" s="6" t="s">
        <v>2936</v>
      </c>
      <c r="V16" s="6"/>
      <c r="W16" s="6"/>
      <c r="X16" s="8">
        <v>12477.82</v>
      </c>
      <c r="Y16" s="8"/>
      <c r="Z16" s="180">
        <f>SUM(Table1[[#This Row],[Total ODA Spend in 2012 (in USD mn)]:[Total OOF Spend in 2012 (USD n)]])</f>
        <v>12477.82</v>
      </c>
      <c r="AA16" s="9" t="s">
        <v>2974</v>
      </c>
      <c r="AB16" s="6" t="s">
        <v>2970</v>
      </c>
      <c r="AC16" s="9" t="s">
        <v>2975</v>
      </c>
    </row>
    <row r="17" spans="1:29" ht="27" customHeight="1" x14ac:dyDescent="0.25">
      <c r="A17" s="177" t="s">
        <v>1686</v>
      </c>
      <c r="B17" s="4" t="s">
        <v>3205</v>
      </c>
      <c r="C17" s="4" t="s">
        <v>1685</v>
      </c>
      <c r="D17" s="5" t="s">
        <v>2931</v>
      </c>
      <c r="E17" s="5"/>
      <c r="F17" s="5"/>
      <c r="G17" s="5" t="s">
        <v>2914</v>
      </c>
      <c r="H17" s="6" t="s">
        <v>3184</v>
      </c>
      <c r="I17" s="6"/>
      <c r="J17" s="6"/>
      <c r="K17" s="6" t="s">
        <v>2944</v>
      </c>
      <c r="L17" s="6" t="s">
        <v>3166</v>
      </c>
      <c r="M17" s="6" t="s">
        <v>3163</v>
      </c>
      <c r="N17" s="6" t="s">
        <v>2933</v>
      </c>
      <c r="O17" s="6" t="s">
        <v>2933</v>
      </c>
      <c r="P17" s="6" t="s">
        <v>2934</v>
      </c>
      <c r="Q17" s="6">
        <v>59</v>
      </c>
      <c r="R17" s="6" t="s">
        <v>2935</v>
      </c>
      <c r="S17" s="175">
        <v>39692</v>
      </c>
      <c r="T17" s="6"/>
      <c r="U17" s="6" t="s">
        <v>2936</v>
      </c>
      <c r="V17" s="6"/>
      <c r="W17" s="6"/>
      <c r="X17" s="8">
        <v>1775.81</v>
      </c>
      <c r="Y17" s="8"/>
      <c r="Z17" s="180">
        <f>SUM(Table1[[#This Row],[Total ODA Spend in 2012 (in USD mn)]:[Total OOF Spend in 2012 (USD n)]])</f>
        <v>1775.81</v>
      </c>
      <c r="AA17" s="9" t="s">
        <v>2978</v>
      </c>
      <c r="AB17" s="6" t="s">
        <v>2979</v>
      </c>
      <c r="AC17" s="9" t="s">
        <v>2978</v>
      </c>
    </row>
    <row r="18" spans="1:29" ht="27" customHeight="1" x14ac:dyDescent="0.25">
      <c r="A18" s="177" t="s">
        <v>1483</v>
      </c>
      <c r="B18" s="4" t="s">
        <v>3203</v>
      </c>
      <c r="C18" s="4" t="s">
        <v>1482</v>
      </c>
      <c r="D18" s="5" t="s">
        <v>2931</v>
      </c>
      <c r="E18" s="5"/>
      <c r="F18" s="5"/>
      <c r="G18" s="5"/>
      <c r="H18" s="6" t="s">
        <v>3184</v>
      </c>
      <c r="I18" s="6"/>
      <c r="J18" s="6"/>
      <c r="K18" s="6" t="s">
        <v>2944</v>
      </c>
      <c r="L18" s="6" t="s">
        <v>3166</v>
      </c>
      <c r="M18" s="6" t="s">
        <v>3163</v>
      </c>
      <c r="N18" s="6" t="s">
        <v>2940</v>
      </c>
      <c r="O18" s="6" t="s">
        <v>2940</v>
      </c>
      <c r="P18" s="6" t="s">
        <v>2934</v>
      </c>
      <c r="Q18" s="6">
        <v>77</v>
      </c>
      <c r="R18" s="6" t="s">
        <v>2935</v>
      </c>
      <c r="S18" s="175">
        <v>39692</v>
      </c>
      <c r="T18" s="6"/>
      <c r="U18" s="6" t="s">
        <v>2936</v>
      </c>
      <c r="V18" s="6"/>
      <c r="W18" s="6"/>
      <c r="X18" s="8">
        <v>2462.14</v>
      </c>
      <c r="Y18" s="8"/>
      <c r="Z18" s="180">
        <f>SUM(Table1[[#This Row],[Total ODA Spend in 2012 (in USD mn)]:[Total OOF Spend in 2012 (USD n)]])</f>
        <v>2462.14</v>
      </c>
      <c r="AA18" s="9" t="s">
        <v>2976</v>
      </c>
      <c r="AB18" s="6" t="s">
        <v>2977</v>
      </c>
      <c r="AC18" s="9" t="s">
        <v>2976</v>
      </c>
    </row>
    <row r="19" spans="1:29" ht="27" customHeight="1" x14ac:dyDescent="0.25">
      <c r="A19" s="177" t="s">
        <v>2218</v>
      </c>
      <c r="B19" s="4" t="s">
        <v>3204</v>
      </c>
      <c r="C19" s="4" t="s">
        <v>2217</v>
      </c>
      <c r="D19" s="5" t="s">
        <v>2931</v>
      </c>
      <c r="E19" s="5"/>
      <c r="F19" s="5"/>
      <c r="G19" s="5"/>
      <c r="H19" s="6" t="s">
        <v>3184</v>
      </c>
      <c r="I19" s="6"/>
      <c r="J19" s="6"/>
      <c r="K19" s="6" t="s">
        <v>2944</v>
      </c>
      <c r="L19" s="6" t="s">
        <v>3166</v>
      </c>
      <c r="M19" s="6" t="s">
        <v>3163</v>
      </c>
      <c r="N19" s="6" t="s">
        <v>2933</v>
      </c>
      <c r="O19" s="6" t="s">
        <v>2945</v>
      </c>
      <c r="P19" s="6" t="s">
        <v>2934</v>
      </c>
      <c r="Q19" s="6">
        <v>91</v>
      </c>
      <c r="R19" s="6" t="s">
        <v>2935</v>
      </c>
      <c r="S19" s="175">
        <v>39692</v>
      </c>
      <c r="T19" s="6"/>
      <c r="U19" s="6" t="s">
        <v>2936</v>
      </c>
      <c r="V19" s="6"/>
      <c r="W19" s="6"/>
      <c r="X19" s="8">
        <v>303</v>
      </c>
      <c r="Y19" s="8"/>
      <c r="Z19" s="180">
        <f>SUM(Table1[[#This Row],[Total ODA Spend in 2012 (in USD mn)]:[Total OOF Spend in 2012 (USD n)]])</f>
        <v>303</v>
      </c>
      <c r="AA19" s="9" t="s">
        <v>2980</v>
      </c>
      <c r="AB19" s="6" t="s">
        <v>2981</v>
      </c>
      <c r="AC19" s="9"/>
    </row>
    <row r="20" spans="1:29" ht="27" customHeight="1" x14ac:dyDescent="0.25">
      <c r="A20" s="177">
        <v>42004</v>
      </c>
      <c r="B20" s="4" t="s">
        <v>2982</v>
      </c>
      <c r="C20" s="4" t="s">
        <v>295</v>
      </c>
      <c r="D20" s="5" t="s">
        <v>2931</v>
      </c>
      <c r="E20" s="5" t="s">
        <v>2912</v>
      </c>
      <c r="F20" s="5"/>
      <c r="G20" s="5"/>
      <c r="H20" s="6" t="s">
        <v>3184</v>
      </c>
      <c r="I20" s="6"/>
      <c r="J20" s="6"/>
      <c r="K20" s="6" t="s">
        <v>2944</v>
      </c>
      <c r="L20" s="6"/>
      <c r="M20" s="6" t="s">
        <v>3163</v>
      </c>
      <c r="N20" s="6"/>
      <c r="O20" s="6"/>
      <c r="P20" s="6"/>
      <c r="Q20" s="6"/>
      <c r="R20" s="6"/>
      <c r="S20" s="175">
        <v>41558</v>
      </c>
      <c r="T20" s="6"/>
      <c r="U20" s="6" t="s">
        <v>2936</v>
      </c>
      <c r="V20" s="6"/>
      <c r="W20" s="6"/>
      <c r="X20" s="7">
        <v>6050.1592974035811</v>
      </c>
      <c r="Y20" s="7">
        <v>775.5951731876595</v>
      </c>
      <c r="Z20" s="180">
        <f>SUM(Table1[[#This Row],[Total ODA Spend in 2012 (in USD mn)]:[Total OOF Spend in 2012 (USD n)]])</f>
        <v>6825.7544705912405</v>
      </c>
      <c r="AA20" s="9" t="s">
        <v>2937</v>
      </c>
      <c r="AB20" s="6" t="s">
        <v>2973</v>
      </c>
      <c r="AC20" s="9" t="s">
        <v>2937</v>
      </c>
    </row>
    <row r="21" spans="1:29" ht="27" customHeight="1" x14ac:dyDescent="0.25">
      <c r="A21" s="177" t="s">
        <v>336</v>
      </c>
      <c r="B21" s="4" t="s">
        <v>3206</v>
      </c>
      <c r="C21" s="4" t="s">
        <v>335</v>
      </c>
      <c r="D21" s="5" t="s">
        <v>2943</v>
      </c>
      <c r="E21" s="5"/>
      <c r="F21" s="5"/>
      <c r="G21" s="5"/>
      <c r="H21" s="6" t="s">
        <v>2948</v>
      </c>
      <c r="I21" s="6"/>
      <c r="J21" s="6"/>
      <c r="K21" s="6" t="s">
        <v>2955</v>
      </c>
      <c r="L21" s="6"/>
      <c r="M21" s="6"/>
      <c r="N21" s="6"/>
      <c r="O21" s="6"/>
      <c r="P21" s="6"/>
      <c r="Q21" s="6"/>
      <c r="R21" s="6"/>
      <c r="S21" s="175"/>
      <c r="T21" s="6"/>
      <c r="U21" s="6" t="s">
        <v>3177</v>
      </c>
      <c r="V21" s="6" t="s">
        <v>2922</v>
      </c>
      <c r="W21" s="6" t="s">
        <v>2923</v>
      </c>
      <c r="X21" s="8">
        <v>23.24</v>
      </c>
      <c r="Y21" s="8"/>
      <c r="Z21" s="180">
        <f>SUM(Table1[[#This Row],[Total ODA Spend in 2012 (in USD mn)]:[Total OOF Spend in 2012 (USD n)]])</f>
        <v>23.24</v>
      </c>
      <c r="AA21" s="9" t="s">
        <v>2956</v>
      </c>
      <c r="AB21" s="6" t="s">
        <v>2970</v>
      </c>
      <c r="AC21" s="9" t="s">
        <v>2971</v>
      </c>
    </row>
    <row r="22" spans="1:29" ht="27" customHeight="1" x14ac:dyDescent="0.25">
      <c r="A22" s="177" t="s">
        <v>992</v>
      </c>
      <c r="B22" s="4" t="s">
        <v>3207</v>
      </c>
      <c r="C22" s="4" t="s">
        <v>991</v>
      </c>
      <c r="D22" s="5" t="s">
        <v>2943</v>
      </c>
      <c r="E22" s="5"/>
      <c r="F22" s="5"/>
      <c r="G22" s="5"/>
      <c r="H22" s="6" t="s">
        <v>2948</v>
      </c>
      <c r="I22" s="6"/>
      <c r="J22" s="6"/>
      <c r="K22" s="6" t="s">
        <v>2944</v>
      </c>
      <c r="L22" s="6" t="s">
        <v>3166</v>
      </c>
      <c r="M22" s="6" t="s">
        <v>3163</v>
      </c>
      <c r="N22" s="6" t="s">
        <v>2933</v>
      </c>
      <c r="O22" s="6" t="s">
        <v>2933</v>
      </c>
      <c r="P22" s="6" t="s">
        <v>2934</v>
      </c>
      <c r="Q22" s="6">
        <v>46</v>
      </c>
      <c r="R22" s="10">
        <v>40848</v>
      </c>
      <c r="S22" s="175">
        <v>39692</v>
      </c>
      <c r="T22" s="6"/>
      <c r="U22" s="6" t="s">
        <v>3177</v>
      </c>
      <c r="V22" s="6" t="s">
        <v>2922</v>
      </c>
      <c r="W22" s="6"/>
      <c r="X22" s="7">
        <v>730.50915129366513</v>
      </c>
      <c r="Y22" s="8"/>
      <c r="Z22" s="180">
        <f>SUM(Table1[[#This Row],[Total ODA Spend in 2012 (in USD mn)]:[Total OOF Spend in 2012 (USD n)]])</f>
        <v>730.50915129366513</v>
      </c>
      <c r="AA22" s="9" t="s">
        <v>2937</v>
      </c>
      <c r="AB22" s="6" t="s">
        <v>2953</v>
      </c>
      <c r="AC22" s="9" t="s">
        <v>2937</v>
      </c>
    </row>
    <row r="23" spans="1:29" ht="27" customHeight="1" x14ac:dyDescent="0.25">
      <c r="A23" s="177" t="s">
        <v>2136</v>
      </c>
      <c r="B23" s="4" t="s">
        <v>3208</v>
      </c>
      <c r="C23" s="4" t="s">
        <v>2135</v>
      </c>
      <c r="D23" s="5" t="s">
        <v>2943</v>
      </c>
      <c r="E23" s="5"/>
      <c r="F23" s="5"/>
      <c r="G23" s="5"/>
      <c r="H23" s="6" t="s">
        <v>2948</v>
      </c>
      <c r="I23" s="6"/>
      <c r="J23" s="6"/>
      <c r="K23" s="6" t="s">
        <v>2944</v>
      </c>
      <c r="L23" s="6" t="s">
        <v>3168</v>
      </c>
      <c r="M23" s="6"/>
      <c r="N23" s="6"/>
      <c r="O23" s="6"/>
      <c r="P23" s="6" t="s">
        <v>2934</v>
      </c>
      <c r="Q23" s="6">
        <v>62</v>
      </c>
      <c r="R23" s="10">
        <v>41640</v>
      </c>
      <c r="S23" s="175"/>
      <c r="T23" s="6" t="s">
        <v>3174</v>
      </c>
      <c r="U23" s="6" t="s">
        <v>3175</v>
      </c>
      <c r="V23" s="6"/>
      <c r="W23" s="6"/>
      <c r="X23" s="8">
        <v>4299.6000000000004</v>
      </c>
      <c r="Y23" s="7">
        <v>1272.3438554215147</v>
      </c>
      <c r="Z23" s="180">
        <f>SUM(Table1[[#This Row],[Total ODA Spend in 2012 (in USD mn)]:[Total OOF Spend in 2012 (USD n)]])</f>
        <v>5571.9438554215149</v>
      </c>
      <c r="AA23" s="9" t="s">
        <v>2937</v>
      </c>
      <c r="AB23" s="6" t="s">
        <v>2985</v>
      </c>
      <c r="AC23" s="9" t="s">
        <v>2937</v>
      </c>
    </row>
    <row r="24" spans="1:29" ht="27" customHeight="1" x14ac:dyDescent="0.25">
      <c r="A24" s="177" t="s">
        <v>2829</v>
      </c>
      <c r="B24" s="4" t="s">
        <v>3189</v>
      </c>
      <c r="C24" s="4" t="s">
        <v>3188</v>
      </c>
      <c r="D24" s="5" t="s">
        <v>2943</v>
      </c>
      <c r="E24" s="5"/>
      <c r="F24" s="5"/>
      <c r="G24" s="5"/>
      <c r="H24" s="6" t="s">
        <v>2948</v>
      </c>
      <c r="I24" s="6"/>
      <c r="J24" s="6"/>
      <c r="K24" s="6" t="s">
        <v>2944</v>
      </c>
      <c r="L24" s="6" t="s">
        <v>3166</v>
      </c>
      <c r="M24" s="6"/>
      <c r="N24" s="6" t="s">
        <v>2933</v>
      </c>
      <c r="O24" s="6" t="s">
        <v>3170</v>
      </c>
      <c r="P24" s="6" t="s">
        <v>2934</v>
      </c>
      <c r="Q24" s="6">
        <v>25</v>
      </c>
      <c r="R24" s="10">
        <v>41640</v>
      </c>
      <c r="S24" s="175"/>
      <c r="T24" s="6" t="s">
        <v>3174</v>
      </c>
      <c r="U24" s="6" t="s">
        <v>3175</v>
      </c>
      <c r="V24" s="6"/>
      <c r="W24" s="6"/>
      <c r="X24" s="7">
        <v>985.62706283090188</v>
      </c>
      <c r="Y24" s="8"/>
      <c r="Z24" s="180">
        <f>SUM(Table1[[#This Row],[Total ODA Spend in 2012 (in USD mn)]:[Total OOF Spend in 2012 (USD n)]])</f>
        <v>985.62706283090188</v>
      </c>
      <c r="AA24" s="9" t="s">
        <v>2937</v>
      </c>
      <c r="AB24" s="6" t="s">
        <v>2984</v>
      </c>
      <c r="AC24" s="9" t="s">
        <v>2937</v>
      </c>
    </row>
    <row r="25" spans="1:29" ht="27" customHeight="1" x14ac:dyDescent="0.25">
      <c r="A25" s="177" t="s">
        <v>377</v>
      </c>
      <c r="B25" s="4" t="s">
        <v>3209</v>
      </c>
      <c r="C25" s="4" t="s">
        <v>376</v>
      </c>
      <c r="D25" s="5" t="s">
        <v>2943</v>
      </c>
      <c r="E25" s="5"/>
      <c r="F25" s="5"/>
      <c r="G25" s="5"/>
      <c r="H25" s="6" t="s">
        <v>2948</v>
      </c>
      <c r="I25" s="6"/>
      <c r="J25" s="6"/>
      <c r="K25" s="6" t="s">
        <v>2944</v>
      </c>
      <c r="L25" s="6" t="s">
        <v>3164</v>
      </c>
      <c r="M25" s="6"/>
      <c r="N25" s="6"/>
      <c r="O25" s="6"/>
      <c r="P25" s="6" t="s">
        <v>2934</v>
      </c>
      <c r="Q25" s="6">
        <v>13</v>
      </c>
      <c r="R25" s="6"/>
      <c r="S25" s="175"/>
      <c r="T25" s="6" t="s">
        <v>3174</v>
      </c>
      <c r="U25" s="6" t="s">
        <v>3175</v>
      </c>
      <c r="V25" s="6"/>
      <c r="W25" s="6"/>
      <c r="X25" s="7">
        <v>1921.4261645159163</v>
      </c>
      <c r="Y25" s="8"/>
      <c r="Z25" s="180">
        <f>SUM(Table1[[#This Row],[Total ODA Spend in 2012 (in USD mn)]:[Total OOF Spend in 2012 (USD n)]])</f>
        <v>1921.4261645159163</v>
      </c>
      <c r="AA25" s="9" t="s">
        <v>2937</v>
      </c>
      <c r="AB25" s="6" t="s">
        <v>2983</v>
      </c>
      <c r="AC25" s="9" t="s">
        <v>2937</v>
      </c>
    </row>
    <row r="26" spans="1:29" ht="27" customHeight="1" x14ac:dyDescent="0.25">
      <c r="A26" s="177" t="s">
        <v>1074</v>
      </c>
      <c r="B26" s="4" t="s">
        <v>3023</v>
      </c>
      <c r="C26" s="4" t="s">
        <v>1073</v>
      </c>
      <c r="D26" s="5" t="s">
        <v>3024</v>
      </c>
      <c r="E26" s="5"/>
      <c r="F26" s="5"/>
      <c r="G26" s="5"/>
      <c r="H26" s="6"/>
      <c r="I26" s="6"/>
      <c r="J26" s="6"/>
      <c r="K26" s="6"/>
      <c r="L26" s="6" t="s">
        <v>3166</v>
      </c>
      <c r="M26" s="6" t="s">
        <v>3163</v>
      </c>
      <c r="N26" s="6" t="s">
        <v>2967</v>
      </c>
      <c r="O26" s="6" t="s">
        <v>3170</v>
      </c>
      <c r="P26" s="6" t="s">
        <v>2934</v>
      </c>
      <c r="Q26" s="6">
        <v>73</v>
      </c>
      <c r="R26" s="10">
        <v>41699</v>
      </c>
      <c r="S26" s="175">
        <v>41548</v>
      </c>
      <c r="T26" s="6"/>
      <c r="U26" s="6" t="s">
        <v>2936</v>
      </c>
      <c r="V26" s="6"/>
      <c r="W26" s="6"/>
      <c r="X26" s="8">
        <v>2372</v>
      </c>
      <c r="Y26" s="8"/>
      <c r="Z26" s="180">
        <f>SUM(Table1[[#This Row],[Total ODA Spend in 2012 (in USD mn)]:[Total OOF Spend in 2012 (USD n)]])</f>
        <v>2372</v>
      </c>
      <c r="AA26" s="9" t="s">
        <v>2937</v>
      </c>
      <c r="AB26" s="6" t="s">
        <v>3025</v>
      </c>
      <c r="AC26" s="9" t="s">
        <v>3026</v>
      </c>
    </row>
    <row r="27" spans="1:29" ht="27" customHeight="1" x14ac:dyDescent="0.25">
      <c r="A27" s="177">
        <v>47122</v>
      </c>
      <c r="B27" s="4" t="s">
        <v>1319</v>
      </c>
      <c r="C27" s="4" t="s">
        <v>1319</v>
      </c>
      <c r="D27" s="5" t="s">
        <v>2931</v>
      </c>
      <c r="E27" s="5"/>
      <c r="F27" s="5" t="s">
        <v>2986</v>
      </c>
      <c r="G27" s="5"/>
      <c r="H27" s="6"/>
      <c r="I27" s="6"/>
      <c r="J27" s="6"/>
      <c r="K27" s="6"/>
      <c r="L27" s="6" t="s">
        <v>3166</v>
      </c>
      <c r="M27" s="6"/>
      <c r="N27" s="6" t="s">
        <v>2940</v>
      </c>
      <c r="O27" s="6" t="s">
        <v>2933</v>
      </c>
      <c r="P27" s="6" t="s">
        <v>2934</v>
      </c>
      <c r="Q27" s="6">
        <v>98</v>
      </c>
      <c r="R27" s="6" t="s">
        <v>2987</v>
      </c>
      <c r="S27" s="175"/>
      <c r="T27" s="6"/>
      <c r="U27" s="6" t="s">
        <v>2936</v>
      </c>
      <c r="V27" s="6"/>
      <c r="W27" s="6"/>
      <c r="X27" s="7">
        <v>1068.2603169999993</v>
      </c>
      <c r="Y27" s="8"/>
      <c r="Z27" s="180">
        <f>SUM(Table1[[#This Row],[Total ODA Spend in 2012 (in USD mn)]:[Total OOF Spend in 2012 (USD n)]])</f>
        <v>1068.2603169999993</v>
      </c>
      <c r="AA27" s="9" t="s">
        <v>2937</v>
      </c>
      <c r="AB27" s="6" t="s">
        <v>2988</v>
      </c>
      <c r="AC27" s="9" t="s">
        <v>2937</v>
      </c>
    </row>
    <row r="28" spans="1:29" ht="27" customHeight="1" x14ac:dyDescent="0.25">
      <c r="A28" s="177" t="s">
        <v>2422</v>
      </c>
      <c r="B28" s="4" t="s">
        <v>3210</v>
      </c>
      <c r="C28" s="4" t="s">
        <v>2421</v>
      </c>
      <c r="D28" s="5" t="s">
        <v>2943</v>
      </c>
      <c r="E28" s="5"/>
      <c r="F28" s="5"/>
      <c r="G28" s="5"/>
      <c r="H28" s="6" t="s">
        <v>2948</v>
      </c>
      <c r="I28" s="6"/>
      <c r="J28" s="6"/>
      <c r="K28" s="6" t="s">
        <v>2944</v>
      </c>
      <c r="L28" s="6" t="s">
        <v>3166</v>
      </c>
      <c r="M28" s="6" t="s">
        <v>3163</v>
      </c>
      <c r="N28" s="6" t="s">
        <v>2933</v>
      </c>
      <c r="O28" s="6" t="s">
        <v>2991</v>
      </c>
      <c r="P28" s="6" t="s">
        <v>2934</v>
      </c>
      <c r="Q28" s="6">
        <v>56</v>
      </c>
      <c r="R28" s="6" t="s">
        <v>2990</v>
      </c>
      <c r="S28" s="175">
        <v>39692</v>
      </c>
      <c r="T28" s="6" t="s">
        <v>3174</v>
      </c>
      <c r="U28" s="6" t="s">
        <v>2949</v>
      </c>
      <c r="V28" s="6"/>
      <c r="W28" s="6"/>
      <c r="X28" s="8">
        <v>5780.12</v>
      </c>
      <c r="Y28" s="8"/>
      <c r="Z28" s="180">
        <f>SUM(Table1[[#This Row],[Total ODA Spend in 2012 (in USD mn)]:[Total OOF Spend in 2012 (USD n)]])</f>
        <v>5780.12</v>
      </c>
      <c r="AA28" s="9" t="s">
        <v>2937</v>
      </c>
      <c r="AB28" s="6" t="s">
        <v>2992</v>
      </c>
      <c r="AC28" s="9" t="s">
        <v>2937</v>
      </c>
    </row>
    <row r="29" spans="1:29" ht="27" customHeight="1" x14ac:dyDescent="0.25">
      <c r="A29" s="177" t="s">
        <v>2463</v>
      </c>
      <c r="B29" s="4" t="s">
        <v>3211</v>
      </c>
      <c r="C29" s="4" t="s">
        <v>2993</v>
      </c>
      <c r="D29" s="5" t="s">
        <v>2943</v>
      </c>
      <c r="E29" s="5"/>
      <c r="F29" s="5"/>
      <c r="G29" s="5"/>
      <c r="H29" s="6" t="s">
        <v>2948</v>
      </c>
      <c r="I29" s="6"/>
      <c r="J29" s="6"/>
      <c r="K29" s="6" t="s">
        <v>2944</v>
      </c>
      <c r="L29" s="6" t="s">
        <v>3166</v>
      </c>
      <c r="M29" s="6" t="s">
        <v>3163</v>
      </c>
      <c r="N29" s="6" t="s">
        <v>2933</v>
      </c>
      <c r="O29" s="6" t="s">
        <v>2991</v>
      </c>
      <c r="P29" s="6" t="s">
        <v>2934</v>
      </c>
      <c r="Q29" s="6">
        <v>56</v>
      </c>
      <c r="R29" s="6" t="s">
        <v>2990</v>
      </c>
      <c r="S29" s="175">
        <v>39692</v>
      </c>
      <c r="T29" s="6" t="s">
        <v>3174</v>
      </c>
      <c r="U29" s="6" t="s">
        <v>2949</v>
      </c>
      <c r="V29" s="6"/>
      <c r="W29" s="6"/>
      <c r="X29" s="7">
        <v>885.11110287999873</v>
      </c>
      <c r="Y29" s="7">
        <v>433.81922552999885</v>
      </c>
      <c r="Z29" s="180">
        <f>SUM(Table1[[#This Row],[Total ODA Spend in 2012 (in USD mn)]:[Total OOF Spend in 2012 (USD n)]])</f>
        <v>1318.9303284099976</v>
      </c>
      <c r="AA29" s="9" t="s">
        <v>2937</v>
      </c>
      <c r="AB29" s="6" t="s">
        <v>2994</v>
      </c>
      <c r="AC29" s="9" t="s">
        <v>2937</v>
      </c>
    </row>
    <row r="30" spans="1:29" ht="27" customHeight="1" x14ac:dyDescent="0.25">
      <c r="A30" s="177" t="s">
        <v>1645</v>
      </c>
      <c r="B30" s="4" t="s">
        <v>3212</v>
      </c>
      <c r="C30" s="4" t="s">
        <v>2989</v>
      </c>
      <c r="D30" s="5" t="s">
        <v>2943</v>
      </c>
      <c r="E30" s="5"/>
      <c r="F30" s="5"/>
      <c r="G30" s="5"/>
      <c r="H30" s="6" t="s">
        <v>2948</v>
      </c>
      <c r="I30" s="6"/>
      <c r="J30" s="6"/>
      <c r="K30" s="6" t="s">
        <v>2944</v>
      </c>
      <c r="L30" s="6"/>
      <c r="M30" s="6"/>
      <c r="N30" s="6"/>
      <c r="O30" s="6"/>
      <c r="P30" s="6" t="s">
        <v>2934</v>
      </c>
      <c r="Q30" s="6">
        <v>56</v>
      </c>
      <c r="R30" s="6" t="s">
        <v>2990</v>
      </c>
      <c r="S30" s="175">
        <v>39692</v>
      </c>
      <c r="T30" s="6" t="s">
        <v>3174</v>
      </c>
      <c r="U30" s="6" t="s">
        <v>2949</v>
      </c>
      <c r="V30" s="6"/>
      <c r="W30" s="6"/>
      <c r="X30" s="7">
        <v>1055.9043893499988</v>
      </c>
      <c r="Y30" s="8"/>
      <c r="Z30" s="180">
        <f>SUM(Table1[[#This Row],[Total ODA Spend in 2012 (in USD mn)]:[Total OOF Spend in 2012 (USD n)]])</f>
        <v>1055.9043893499988</v>
      </c>
      <c r="AA30" s="9" t="s">
        <v>2937</v>
      </c>
      <c r="AB30" s="6" t="s">
        <v>2970</v>
      </c>
      <c r="AC30" s="9" t="s">
        <v>2937</v>
      </c>
    </row>
    <row r="31" spans="1:29" ht="27" customHeight="1" x14ac:dyDescent="0.25">
      <c r="A31" s="177">
        <v>47045</v>
      </c>
      <c r="B31" s="4" t="s">
        <v>3027</v>
      </c>
      <c r="C31" s="4" t="s">
        <v>1238</v>
      </c>
      <c r="D31" s="5" t="s">
        <v>2931</v>
      </c>
      <c r="E31" s="5"/>
      <c r="F31" s="5" t="s">
        <v>2986</v>
      </c>
      <c r="G31" s="5"/>
      <c r="H31" s="6"/>
      <c r="I31" s="6"/>
      <c r="J31" s="6"/>
      <c r="K31" s="6"/>
      <c r="L31" s="6" t="s">
        <v>3166</v>
      </c>
      <c r="M31" s="6" t="s">
        <v>3163</v>
      </c>
      <c r="N31" s="6" t="s">
        <v>2940</v>
      </c>
      <c r="O31" s="6" t="s">
        <v>2940</v>
      </c>
      <c r="P31" s="6" t="s">
        <v>2934</v>
      </c>
      <c r="Q31" s="6">
        <v>71</v>
      </c>
      <c r="R31" s="6" t="s">
        <v>2941</v>
      </c>
      <c r="S31" s="175">
        <v>40695</v>
      </c>
      <c r="T31" s="6"/>
      <c r="U31" s="6" t="s">
        <v>2936</v>
      </c>
      <c r="V31" s="6"/>
      <c r="W31" s="6"/>
      <c r="X31" s="7">
        <v>3358.8449999999966</v>
      </c>
      <c r="Y31" s="8"/>
      <c r="Z31" s="180">
        <f>SUM(Table1[[#This Row],[Total ODA Spend in 2012 (in USD mn)]:[Total OOF Spend in 2012 (USD n)]])</f>
        <v>3358.8449999999966</v>
      </c>
      <c r="AA31" s="9" t="s">
        <v>2937</v>
      </c>
      <c r="AB31" s="6" t="s">
        <v>3028</v>
      </c>
      <c r="AC31" s="9" t="s">
        <v>2937</v>
      </c>
    </row>
    <row r="32" spans="1:29" ht="27" customHeight="1" x14ac:dyDescent="0.25">
      <c r="A32" s="177" t="s">
        <v>418</v>
      </c>
      <c r="B32" s="4" t="s">
        <v>3213</v>
      </c>
      <c r="C32" s="4" t="s">
        <v>417</v>
      </c>
      <c r="D32" s="5" t="s">
        <v>2943</v>
      </c>
      <c r="E32" s="5"/>
      <c r="F32" s="5"/>
      <c r="G32" s="5"/>
      <c r="H32" s="6" t="s">
        <v>2948</v>
      </c>
      <c r="I32" s="6"/>
      <c r="J32" s="6"/>
      <c r="K32" s="6" t="s">
        <v>2944</v>
      </c>
      <c r="L32" s="6"/>
      <c r="M32" s="6"/>
      <c r="N32" s="6"/>
      <c r="O32" s="6"/>
      <c r="P32" s="6"/>
      <c r="Q32" s="6"/>
      <c r="R32" s="6"/>
      <c r="S32" s="175"/>
      <c r="T32" s="6"/>
      <c r="U32" s="6" t="s">
        <v>3177</v>
      </c>
      <c r="V32" s="6"/>
      <c r="W32" s="6"/>
      <c r="X32" s="7">
        <v>107.31433477172212</v>
      </c>
      <c r="Y32" s="8"/>
      <c r="Z32" s="180">
        <f>SUM(Table1[[#This Row],[Total ODA Spend in 2012 (in USD mn)]:[Total OOF Spend in 2012 (USD n)]])</f>
        <v>107.31433477172212</v>
      </c>
      <c r="AA32" s="9" t="s">
        <v>2937</v>
      </c>
      <c r="AB32" s="6" t="s">
        <v>2995</v>
      </c>
      <c r="AC32" s="9" t="s">
        <v>2937</v>
      </c>
    </row>
    <row r="33" spans="1:29" ht="27" customHeight="1" x14ac:dyDescent="0.25">
      <c r="A33" s="177" t="s">
        <v>459</v>
      </c>
      <c r="B33" s="4" t="s">
        <v>3214</v>
      </c>
      <c r="C33" s="4" t="s">
        <v>458</v>
      </c>
      <c r="D33" s="5" t="s">
        <v>2943</v>
      </c>
      <c r="E33" s="5"/>
      <c r="F33" s="5"/>
      <c r="G33" s="5"/>
      <c r="H33" s="6" t="s">
        <v>2948</v>
      </c>
      <c r="I33" s="6"/>
      <c r="J33" s="6"/>
      <c r="K33" s="6" t="s">
        <v>2955</v>
      </c>
      <c r="L33" s="6"/>
      <c r="M33" s="6"/>
      <c r="N33" s="6"/>
      <c r="O33" s="6"/>
      <c r="P33" s="6"/>
      <c r="Q33" s="6"/>
      <c r="R33" s="6"/>
      <c r="S33" s="175"/>
      <c r="T33" s="6"/>
      <c r="U33" s="6" t="s">
        <v>3177</v>
      </c>
      <c r="V33" s="6"/>
      <c r="W33" s="6" t="s">
        <v>2923</v>
      </c>
      <c r="X33" s="8">
        <v>118.38</v>
      </c>
      <c r="Y33" s="8"/>
      <c r="Z33" s="180">
        <f>SUM(Table1[[#This Row],[Total ODA Spend in 2012 (in USD mn)]:[Total OOF Spend in 2012 (USD n)]])</f>
        <v>118.38</v>
      </c>
      <c r="AA33" s="9" t="s">
        <v>2956</v>
      </c>
      <c r="AB33" s="6" t="s">
        <v>2996</v>
      </c>
      <c r="AC33" s="9" t="s">
        <v>2997</v>
      </c>
    </row>
    <row r="34" spans="1:29" ht="27" customHeight="1" x14ac:dyDescent="0.25">
      <c r="A34" s="177">
        <v>46012</v>
      </c>
      <c r="B34" s="4" t="s">
        <v>2998</v>
      </c>
      <c r="C34" s="4" t="s">
        <v>951</v>
      </c>
      <c r="D34" s="5" t="s">
        <v>2931</v>
      </c>
      <c r="E34" s="5" t="s">
        <v>2912</v>
      </c>
      <c r="F34" s="5"/>
      <c r="G34" s="5"/>
      <c r="H34" s="6"/>
      <c r="I34" s="6"/>
      <c r="J34" s="6"/>
      <c r="K34" s="6"/>
      <c r="L34" s="6" t="s">
        <v>3166</v>
      </c>
      <c r="M34" s="6" t="s">
        <v>3163</v>
      </c>
      <c r="N34" s="6" t="s">
        <v>2933</v>
      </c>
      <c r="O34" s="6" t="s">
        <v>2933</v>
      </c>
      <c r="P34" s="6" t="s">
        <v>2934</v>
      </c>
      <c r="Q34" s="6">
        <v>74</v>
      </c>
      <c r="R34" s="6" t="s">
        <v>2990</v>
      </c>
      <c r="S34" s="175">
        <v>40848</v>
      </c>
      <c r="T34" s="6"/>
      <c r="U34" s="6" t="s">
        <v>3179</v>
      </c>
      <c r="V34" s="6"/>
      <c r="W34" s="6"/>
      <c r="X34" s="7">
        <v>1606.0488129999985</v>
      </c>
      <c r="Y34" s="7">
        <v>6508.4570809999977</v>
      </c>
      <c r="Z34" s="180">
        <f>SUM(Table1[[#This Row],[Total ODA Spend in 2012 (in USD mn)]:[Total OOF Spend in 2012 (USD n)]])</f>
        <v>8114.5058939999963</v>
      </c>
      <c r="AA34" s="9" t="s">
        <v>2937</v>
      </c>
      <c r="AB34" s="6" t="s">
        <v>2999</v>
      </c>
      <c r="AC34" s="9" t="s">
        <v>2937</v>
      </c>
    </row>
    <row r="35" spans="1:29" ht="27" customHeight="1" x14ac:dyDescent="0.25">
      <c r="A35" s="177">
        <v>43000</v>
      </c>
      <c r="B35" s="4" t="s">
        <v>3000</v>
      </c>
      <c r="C35" s="4" t="s">
        <v>499</v>
      </c>
      <c r="D35" s="5" t="s">
        <v>2931</v>
      </c>
      <c r="E35" s="5" t="s">
        <v>2912</v>
      </c>
      <c r="F35" s="5"/>
      <c r="G35" s="5"/>
      <c r="H35" s="6"/>
      <c r="I35" s="6"/>
      <c r="J35" s="6"/>
      <c r="K35" s="6"/>
      <c r="L35" s="6"/>
      <c r="M35" s="6"/>
      <c r="N35" s="6"/>
      <c r="O35" s="6"/>
      <c r="P35" s="6"/>
      <c r="Q35" s="6"/>
      <c r="R35" s="6"/>
      <c r="S35" s="175"/>
      <c r="T35" s="6"/>
      <c r="U35" s="6" t="s">
        <v>2936</v>
      </c>
      <c r="V35" s="6"/>
      <c r="W35" s="6"/>
      <c r="X35" s="8">
        <v>1506.4470299999971</v>
      </c>
      <c r="Y35" s="8"/>
      <c r="Z35" s="180">
        <f>SUM(Table1[[#This Row],[Total ODA Spend in 2012 (in USD mn)]:[Total OOF Spend in 2012 (USD n)]])</f>
        <v>1506.4470299999971</v>
      </c>
      <c r="AA35" s="9" t="s">
        <v>2937</v>
      </c>
      <c r="AB35" s="6" t="s">
        <v>2983</v>
      </c>
      <c r="AC35" s="9" t="s">
        <v>2937</v>
      </c>
    </row>
    <row r="36" spans="1:29" ht="27" customHeight="1" x14ac:dyDescent="0.25">
      <c r="A36" s="177" t="s">
        <v>1442</v>
      </c>
      <c r="B36" s="4" t="s">
        <v>3215</v>
      </c>
      <c r="C36" s="4" t="s">
        <v>3001</v>
      </c>
      <c r="D36" s="5" t="s">
        <v>2943</v>
      </c>
      <c r="E36" s="5"/>
      <c r="F36" s="5"/>
      <c r="G36" s="5"/>
      <c r="H36" s="6" t="s">
        <v>2948</v>
      </c>
      <c r="I36" s="6"/>
      <c r="J36" s="6"/>
      <c r="K36" s="6" t="s">
        <v>2944</v>
      </c>
      <c r="L36" s="6" t="s">
        <v>3166</v>
      </c>
      <c r="M36" s="6" t="s">
        <v>3163</v>
      </c>
      <c r="N36" s="6" t="s">
        <v>2967</v>
      </c>
      <c r="O36" s="6" t="s">
        <v>3170</v>
      </c>
      <c r="P36" s="6" t="s">
        <v>2934</v>
      </c>
      <c r="Q36" s="6">
        <v>59</v>
      </c>
      <c r="R36" s="6" t="s">
        <v>2935</v>
      </c>
      <c r="S36" s="175">
        <v>39692</v>
      </c>
      <c r="T36" s="6"/>
      <c r="U36" s="6" t="s">
        <v>3251</v>
      </c>
      <c r="V36" s="6"/>
      <c r="W36" s="6"/>
      <c r="X36" s="8">
        <v>528.42339798200351</v>
      </c>
      <c r="Y36" s="8"/>
      <c r="Z36" s="180">
        <f>SUM(Table1[[#This Row],[Total ODA Spend in 2012 (in USD mn)]:[Total OOF Spend in 2012 (USD n)]])</f>
        <v>528.42339798200351</v>
      </c>
      <c r="AA36" s="9" t="s">
        <v>2937</v>
      </c>
      <c r="AB36" s="6" t="s">
        <v>2953</v>
      </c>
      <c r="AC36" s="9" t="s">
        <v>2937</v>
      </c>
    </row>
    <row r="37" spans="1:29" ht="27" customHeight="1" x14ac:dyDescent="0.25">
      <c r="A37" s="177" t="s">
        <v>2341</v>
      </c>
      <c r="B37" s="4" t="s">
        <v>3258</v>
      </c>
      <c r="C37" s="4" t="s">
        <v>2340</v>
      </c>
      <c r="D37" s="5" t="s">
        <v>2943</v>
      </c>
      <c r="E37" s="5"/>
      <c r="F37" s="5"/>
      <c r="G37" s="5"/>
      <c r="H37" s="6" t="s">
        <v>2948</v>
      </c>
      <c r="I37" s="6"/>
      <c r="J37" s="6"/>
      <c r="K37" s="6" t="s">
        <v>2944</v>
      </c>
      <c r="L37" s="6"/>
      <c r="M37" s="6"/>
      <c r="N37" s="6"/>
      <c r="O37" s="6"/>
      <c r="P37" s="6"/>
      <c r="Q37" s="6"/>
      <c r="R37" s="6"/>
      <c r="S37" s="175"/>
      <c r="T37" s="6" t="s">
        <v>3174</v>
      </c>
      <c r="U37" s="6" t="s">
        <v>3177</v>
      </c>
      <c r="V37" s="6"/>
      <c r="W37" s="6"/>
      <c r="X37" s="8">
        <v>252.76032133676014</v>
      </c>
      <c r="Y37" s="8"/>
      <c r="Z37" s="180">
        <f>SUM(Table1[[#This Row],[Total ODA Spend in 2012 (in USD mn)]:[Total OOF Spend in 2012 (USD n)]])</f>
        <v>252.76032133676014</v>
      </c>
      <c r="AA37" s="9" t="s">
        <v>2937</v>
      </c>
      <c r="AB37" s="6" t="s">
        <v>2970</v>
      </c>
      <c r="AC37" s="9" t="s">
        <v>2937</v>
      </c>
    </row>
    <row r="38" spans="1:29" ht="27" customHeight="1" x14ac:dyDescent="0.25">
      <c r="A38" s="177" t="s">
        <v>540</v>
      </c>
      <c r="B38" s="4" t="s">
        <v>3217</v>
      </c>
      <c r="C38" s="4" t="s">
        <v>539</v>
      </c>
      <c r="D38" s="5" t="s">
        <v>2943</v>
      </c>
      <c r="E38" s="5"/>
      <c r="F38" s="5"/>
      <c r="G38" s="5"/>
      <c r="H38" s="6"/>
      <c r="I38" s="6"/>
      <c r="J38" s="6"/>
      <c r="K38" s="6" t="s">
        <v>2944</v>
      </c>
      <c r="L38" s="6" t="s">
        <v>3166</v>
      </c>
      <c r="M38" s="6"/>
      <c r="N38" s="6" t="s">
        <v>2967</v>
      </c>
      <c r="O38" s="6" t="s">
        <v>3170</v>
      </c>
      <c r="P38" s="6"/>
      <c r="Q38" s="6"/>
      <c r="R38" s="10">
        <v>41791</v>
      </c>
      <c r="S38" s="175"/>
      <c r="T38" s="6" t="s">
        <v>3174</v>
      </c>
      <c r="U38" s="6" t="s">
        <v>2949</v>
      </c>
      <c r="V38" s="6"/>
      <c r="W38" s="6"/>
      <c r="X38" s="7">
        <v>10066.530127697526</v>
      </c>
      <c r="Y38" s="8"/>
      <c r="Z38" s="180">
        <f>SUM(Table1[[#This Row],[Total ODA Spend in 2012 (in USD mn)]:[Total OOF Spend in 2012 (USD n)]])</f>
        <v>10066.530127697526</v>
      </c>
      <c r="AA38" s="9" t="s">
        <v>2937</v>
      </c>
      <c r="AB38" s="6" t="s">
        <v>3002</v>
      </c>
      <c r="AC38" s="9" t="s">
        <v>2937</v>
      </c>
    </row>
    <row r="39" spans="1:29" ht="27" customHeight="1" x14ac:dyDescent="0.25">
      <c r="A39" s="177" t="s">
        <v>582</v>
      </c>
      <c r="B39" s="4" t="s">
        <v>3003</v>
      </c>
      <c r="C39" s="4" t="s">
        <v>581</v>
      </c>
      <c r="D39" s="5" t="s">
        <v>2943</v>
      </c>
      <c r="E39" s="5"/>
      <c r="F39" s="5"/>
      <c r="G39" s="5"/>
      <c r="H39" s="6"/>
      <c r="I39" s="6"/>
      <c r="J39" s="6"/>
      <c r="K39" s="6" t="s">
        <v>2944</v>
      </c>
      <c r="L39" s="6" t="s">
        <v>3167</v>
      </c>
      <c r="M39" s="6"/>
      <c r="N39" s="6"/>
      <c r="O39" s="6"/>
      <c r="P39" s="6"/>
      <c r="Q39" s="6"/>
      <c r="R39" s="10">
        <v>41791</v>
      </c>
      <c r="S39" s="175"/>
      <c r="T39" s="6" t="s">
        <v>3174</v>
      </c>
      <c r="U39" s="6" t="s">
        <v>2949</v>
      </c>
      <c r="V39" s="6"/>
      <c r="W39" s="6"/>
      <c r="X39" s="7">
        <v>3886.126811428383</v>
      </c>
      <c r="Y39" s="8"/>
      <c r="Z39" s="180">
        <f>SUM(Table1[[#This Row],[Total ODA Spend in 2012 (in USD mn)]:[Total OOF Spend in 2012 (USD n)]])</f>
        <v>3886.126811428383</v>
      </c>
      <c r="AA39" s="9" t="s">
        <v>2937</v>
      </c>
      <c r="AB39" s="6" t="s">
        <v>2970</v>
      </c>
      <c r="AC39" s="9" t="s">
        <v>2937</v>
      </c>
    </row>
    <row r="40" spans="1:29" ht="27" customHeight="1" x14ac:dyDescent="0.25">
      <c r="A40" s="177" t="s">
        <v>623</v>
      </c>
      <c r="B40" s="4" t="s">
        <v>3216</v>
      </c>
      <c r="C40" s="4" t="s">
        <v>622</v>
      </c>
      <c r="D40" s="5" t="s">
        <v>2943</v>
      </c>
      <c r="E40" s="5"/>
      <c r="F40" s="5"/>
      <c r="G40" s="5"/>
      <c r="H40" s="6"/>
      <c r="I40" s="6"/>
      <c r="J40" s="6"/>
      <c r="K40" s="6" t="s">
        <v>2944</v>
      </c>
      <c r="L40" s="6"/>
      <c r="M40" s="6"/>
      <c r="N40" s="6"/>
      <c r="O40" s="6"/>
      <c r="P40" s="6"/>
      <c r="Q40" s="6"/>
      <c r="R40" s="6"/>
      <c r="S40" s="175"/>
      <c r="T40" s="6"/>
      <c r="U40" s="6" t="s">
        <v>3177</v>
      </c>
      <c r="V40" s="6"/>
      <c r="W40" s="6"/>
      <c r="X40" s="8">
        <v>444.53731199999686</v>
      </c>
      <c r="Y40" s="8"/>
      <c r="Z40" s="180">
        <f>SUM(Table1[[#This Row],[Total ODA Spend in 2012 (in USD mn)]:[Total OOF Spend in 2012 (USD n)]])</f>
        <v>444.53731199999686</v>
      </c>
      <c r="AA40" s="9" t="s">
        <v>2937</v>
      </c>
      <c r="AB40" s="6" t="s">
        <v>3004</v>
      </c>
      <c r="AC40" s="9" t="s">
        <v>2937</v>
      </c>
    </row>
    <row r="41" spans="1:29" ht="27" customHeight="1" x14ac:dyDescent="0.25">
      <c r="A41" s="177" t="s">
        <v>664</v>
      </c>
      <c r="B41" s="4" t="s">
        <v>3218</v>
      </c>
      <c r="C41" s="4" t="s">
        <v>663</v>
      </c>
      <c r="D41" s="5" t="s">
        <v>2943</v>
      </c>
      <c r="E41" s="5"/>
      <c r="F41" s="5"/>
      <c r="G41" s="5"/>
      <c r="H41" s="6" t="s">
        <v>2948</v>
      </c>
      <c r="I41" s="6"/>
      <c r="J41" s="6"/>
      <c r="K41" s="6" t="s">
        <v>2955</v>
      </c>
      <c r="L41" s="6"/>
      <c r="M41" s="6"/>
      <c r="N41" s="6"/>
      <c r="O41" s="6"/>
      <c r="P41" s="6"/>
      <c r="Q41" s="6"/>
      <c r="R41" s="6"/>
      <c r="S41" s="175"/>
      <c r="T41" s="6"/>
      <c r="U41" s="6" t="s">
        <v>3177</v>
      </c>
      <c r="V41" s="6"/>
      <c r="W41" s="6" t="s">
        <v>2923</v>
      </c>
      <c r="X41" s="8">
        <v>21.11</v>
      </c>
      <c r="Y41" s="8"/>
      <c r="Z41" s="180">
        <f>SUM(Table1[[#This Row],[Total ODA Spend in 2012 (in USD mn)]:[Total OOF Spend in 2012 (USD n)]])</f>
        <v>21.11</v>
      </c>
      <c r="AA41" s="9" t="s">
        <v>2956</v>
      </c>
      <c r="AB41" s="6" t="s">
        <v>2970</v>
      </c>
      <c r="AC41" s="9" t="s">
        <v>3005</v>
      </c>
    </row>
    <row r="42" spans="1:29" ht="27" customHeight="1" x14ac:dyDescent="0.25">
      <c r="A42" s="177" t="s">
        <v>2014</v>
      </c>
      <c r="B42" s="4" t="s">
        <v>3219</v>
      </c>
      <c r="C42" s="4" t="s">
        <v>2013</v>
      </c>
      <c r="D42" s="5" t="s">
        <v>2943</v>
      </c>
      <c r="E42" s="5"/>
      <c r="F42" s="5"/>
      <c r="G42" s="5"/>
      <c r="H42" s="6" t="s">
        <v>2948</v>
      </c>
      <c r="I42" s="6"/>
      <c r="J42" s="6"/>
      <c r="K42" s="6" t="s">
        <v>2955</v>
      </c>
      <c r="L42" s="6"/>
      <c r="M42" s="6"/>
      <c r="N42" s="6"/>
      <c r="O42" s="6"/>
      <c r="P42" s="6"/>
      <c r="Q42" s="6"/>
      <c r="R42" s="6"/>
      <c r="S42" s="175"/>
      <c r="T42" s="6"/>
      <c r="U42" s="6" t="s">
        <v>3177</v>
      </c>
      <c r="V42" s="6"/>
      <c r="W42" s="6" t="s">
        <v>2923</v>
      </c>
      <c r="X42" s="8">
        <v>51.91</v>
      </c>
      <c r="Y42" s="8"/>
      <c r="Z42" s="180">
        <f>SUM(Table1[[#This Row],[Total ODA Spend in 2012 (in USD mn)]:[Total OOF Spend in 2012 (USD n)]])</f>
        <v>51.91</v>
      </c>
      <c r="AA42" s="9" t="s">
        <v>2956</v>
      </c>
      <c r="AB42" s="6" t="s">
        <v>3006</v>
      </c>
      <c r="AC42" s="9" t="s">
        <v>3007</v>
      </c>
    </row>
    <row r="43" spans="1:29" ht="27" customHeight="1" x14ac:dyDescent="0.25">
      <c r="A43" s="177" t="s">
        <v>1809</v>
      </c>
      <c r="B43" s="4" t="s">
        <v>3220</v>
      </c>
      <c r="C43" s="4" t="s">
        <v>1808</v>
      </c>
      <c r="D43" s="5" t="s">
        <v>2943</v>
      </c>
      <c r="E43" s="5"/>
      <c r="F43" s="5"/>
      <c r="G43" s="5"/>
      <c r="H43" s="6" t="s">
        <v>2948</v>
      </c>
      <c r="I43" s="6"/>
      <c r="J43" s="6"/>
      <c r="K43" s="6" t="s">
        <v>2944</v>
      </c>
      <c r="L43" s="6"/>
      <c r="M43" s="6"/>
      <c r="N43" s="6"/>
      <c r="O43" s="6"/>
      <c r="P43" s="6"/>
      <c r="Q43" s="6"/>
      <c r="R43" s="6"/>
      <c r="S43" s="175"/>
      <c r="T43" s="6"/>
      <c r="U43" s="6" t="s">
        <v>2949</v>
      </c>
      <c r="V43" s="6"/>
      <c r="W43" s="6"/>
      <c r="X43" s="8">
        <v>279.49746323341827</v>
      </c>
      <c r="Y43" s="8"/>
      <c r="Z43" s="180">
        <f>SUM(Table1[[#This Row],[Total ODA Spend in 2012 (in USD mn)]:[Total OOF Spend in 2012 (USD n)]])</f>
        <v>279.49746323341827</v>
      </c>
      <c r="AA43" s="9" t="s">
        <v>2937</v>
      </c>
      <c r="AB43" s="6" t="s">
        <v>3008</v>
      </c>
      <c r="AC43" s="9" t="s">
        <v>2937</v>
      </c>
    </row>
    <row r="44" spans="1:29" ht="27" customHeight="1" x14ac:dyDescent="0.25">
      <c r="A44" s="177" t="s">
        <v>2259</v>
      </c>
      <c r="B44" s="4" t="s">
        <v>3221</v>
      </c>
      <c r="C44" s="4" t="s">
        <v>2258</v>
      </c>
      <c r="D44" s="5" t="s">
        <v>2943</v>
      </c>
      <c r="E44" s="5"/>
      <c r="F44" s="5"/>
      <c r="G44" s="5"/>
      <c r="H44" s="6" t="s">
        <v>2948</v>
      </c>
      <c r="I44" s="6"/>
      <c r="J44" s="6"/>
      <c r="K44" s="6" t="s">
        <v>2955</v>
      </c>
      <c r="L44" s="6"/>
      <c r="M44" s="6"/>
      <c r="N44" s="6"/>
      <c r="O44" s="6"/>
      <c r="P44" s="6"/>
      <c r="Q44" s="6"/>
      <c r="R44" s="6"/>
      <c r="S44" s="175"/>
      <c r="T44" s="6"/>
      <c r="U44" s="6" t="s">
        <v>3177</v>
      </c>
      <c r="V44" s="6"/>
      <c r="W44" s="6" t="s">
        <v>2923</v>
      </c>
      <c r="X44" s="8">
        <v>18.579999999999998</v>
      </c>
      <c r="Y44" s="8"/>
      <c r="Z44" s="180">
        <f>SUM(Table1[[#This Row],[Total ODA Spend in 2012 (in USD mn)]:[Total OOF Spend in 2012 (USD n)]])</f>
        <v>18.579999999999998</v>
      </c>
      <c r="AA44" s="9" t="s">
        <v>2956</v>
      </c>
      <c r="AB44" s="6" t="s">
        <v>2992</v>
      </c>
      <c r="AC44" s="9" t="s">
        <v>3009</v>
      </c>
    </row>
    <row r="45" spans="1:29" ht="27" customHeight="1" x14ac:dyDescent="0.25">
      <c r="A45" s="177" t="s">
        <v>1768</v>
      </c>
      <c r="B45" s="4" t="s">
        <v>3222</v>
      </c>
      <c r="C45" s="4" t="s">
        <v>1767</v>
      </c>
      <c r="D45" s="5" t="s">
        <v>2943</v>
      </c>
      <c r="E45" s="5"/>
      <c r="F45" s="5"/>
      <c r="G45" s="5"/>
      <c r="H45" s="6" t="s">
        <v>2948</v>
      </c>
      <c r="I45" s="6"/>
      <c r="J45" s="6"/>
      <c r="K45" s="6" t="s">
        <v>2944</v>
      </c>
      <c r="L45" s="6" t="s">
        <v>3166</v>
      </c>
      <c r="M45" s="6" t="s">
        <v>3163</v>
      </c>
      <c r="N45" s="6" t="s">
        <v>2940</v>
      </c>
      <c r="O45" s="6" t="s">
        <v>2940</v>
      </c>
      <c r="P45" s="6" t="s">
        <v>2934</v>
      </c>
      <c r="Q45" s="6">
        <v>76</v>
      </c>
      <c r="R45" s="6" t="s">
        <v>2946</v>
      </c>
      <c r="S45" s="175">
        <v>39692</v>
      </c>
      <c r="T45" s="6"/>
      <c r="U45" s="6" t="s">
        <v>3177</v>
      </c>
      <c r="V45" s="6" t="s">
        <v>2922</v>
      </c>
      <c r="W45" s="6"/>
      <c r="X45" s="7">
        <v>3963.9788207670044</v>
      </c>
      <c r="Y45" s="8"/>
      <c r="Z45" s="180">
        <f>SUM(Table1[[#This Row],[Total ODA Spend in 2012 (in USD mn)]:[Total OOF Spend in 2012 (USD n)]])</f>
        <v>3963.9788207670044</v>
      </c>
      <c r="AA45" s="9" t="s">
        <v>2937</v>
      </c>
      <c r="AB45" s="6" t="s">
        <v>3010</v>
      </c>
      <c r="AC45" s="9" t="s">
        <v>2937</v>
      </c>
    </row>
    <row r="46" spans="1:29" ht="27" customHeight="1" x14ac:dyDescent="0.25">
      <c r="A46" s="177" t="s">
        <v>1524</v>
      </c>
      <c r="B46" s="4" t="s">
        <v>3223</v>
      </c>
      <c r="C46" s="4" t="s">
        <v>1523</v>
      </c>
      <c r="D46" s="5" t="s">
        <v>2943</v>
      </c>
      <c r="E46" s="5"/>
      <c r="F46" s="5"/>
      <c r="G46" s="5"/>
      <c r="H46" s="6"/>
      <c r="I46" s="6"/>
      <c r="J46" s="6"/>
      <c r="K46" s="6" t="s">
        <v>2944</v>
      </c>
      <c r="L46" s="6" t="s">
        <v>3166</v>
      </c>
      <c r="M46" s="6" t="s">
        <v>3163</v>
      </c>
      <c r="N46" s="6" t="s">
        <v>2933</v>
      </c>
      <c r="O46" s="6" t="s">
        <v>2991</v>
      </c>
      <c r="P46" s="6" t="s">
        <v>2934</v>
      </c>
      <c r="Q46" s="6">
        <v>54</v>
      </c>
      <c r="R46" s="6" t="s">
        <v>2935</v>
      </c>
      <c r="S46" s="175">
        <v>39783</v>
      </c>
      <c r="T46" s="6"/>
      <c r="U46" s="6" t="s">
        <v>3175</v>
      </c>
      <c r="V46" s="6"/>
      <c r="W46" s="6"/>
      <c r="X46" s="8">
        <v>346.23670742570158</v>
      </c>
      <c r="Y46" s="8"/>
      <c r="Z46" s="180">
        <f>SUM(Table1[[#This Row],[Total ODA Spend in 2012 (in USD mn)]:[Total OOF Spend in 2012 (USD n)]])</f>
        <v>346.23670742570158</v>
      </c>
      <c r="AA46" s="9" t="s">
        <v>2937</v>
      </c>
      <c r="AB46" s="6" t="s">
        <v>3011</v>
      </c>
      <c r="AC46" s="9" t="s">
        <v>2937</v>
      </c>
    </row>
    <row r="47" spans="1:29" ht="27" customHeight="1" x14ac:dyDescent="0.25">
      <c r="A47" s="177" t="s">
        <v>1727</v>
      </c>
      <c r="B47" s="4" t="s">
        <v>3224</v>
      </c>
      <c r="C47" s="4" t="s">
        <v>1726</v>
      </c>
      <c r="D47" s="5" t="s">
        <v>2943</v>
      </c>
      <c r="E47" s="5"/>
      <c r="F47" s="5"/>
      <c r="G47" s="5"/>
      <c r="H47" s="6"/>
      <c r="I47" s="6"/>
      <c r="J47" s="6"/>
      <c r="K47" s="6" t="s">
        <v>2944</v>
      </c>
      <c r="L47" s="6"/>
      <c r="M47" s="6" t="s">
        <v>3163</v>
      </c>
      <c r="N47" s="6"/>
      <c r="O47" s="6"/>
      <c r="P47" s="6" t="s">
        <v>2934</v>
      </c>
      <c r="Q47" s="6">
        <v>68</v>
      </c>
      <c r="R47" s="6"/>
      <c r="S47" s="175">
        <v>39692</v>
      </c>
      <c r="T47" s="6"/>
      <c r="U47" s="6" t="s">
        <v>3177</v>
      </c>
      <c r="V47" s="6"/>
      <c r="W47" s="6"/>
      <c r="X47" s="8">
        <v>3212.27</v>
      </c>
      <c r="Y47" s="8"/>
      <c r="Z47" s="180">
        <f>SUM(Table1[[#This Row],[Total ODA Spend in 2012 (in USD mn)]:[Total OOF Spend in 2012 (USD n)]])</f>
        <v>3212.27</v>
      </c>
      <c r="AA47" s="9" t="s">
        <v>2937</v>
      </c>
      <c r="AB47" s="6" t="s">
        <v>2970</v>
      </c>
      <c r="AC47" s="9" t="s">
        <v>2937</v>
      </c>
    </row>
    <row r="48" spans="1:29" ht="27" customHeight="1" x14ac:dyDescent="0.25">
      <c r="A48" s="177" t="s">
        <v>1565</v>
      </c>
      <c r="B48" s="4" t="s">
        <v>3225</v>
      </c>
      <c r="C48" s="4" t="s">
        <v>1564</v>
      </c>
      <c r="D48" s="5" t="s">
        <v>2943</v>
      </c>
      <c r="E48" s="5"/>
      <c r="F48" s="5"/>
      <c r="G48" s="5"/>
      <c r="H48" s="6" t="s">
        <v>2948</v>
      </c>
      <c r="I48" s="6"/>
      <c r="J48" s="6"/>
      <c r="K48" s="6" t="s">
        <v>2944</v>
      </c>
      <c r="L48" s="6"/>
      <c r="M48" s="6"/>
      <c r="N48" s="6"/>
      <c r="O48" s="6"/>
      <c r="P48" s="6"/>
      <c r="Q48" s="6"/>
      <c r="R48" s="6"/>
      <c r="S48" s="175"/>
      <c r="T48" s="6"/>
      <c r="U48" s="6" t="s">
        <v>2949</v>
      </c>
      <c r="V48" s="6"/>
      <c r="W48" s="6" t="s">
        <v>2923</v>
      </c>
      <c r="X48" s="8">
        <v>483.09</v>
      </c>
      <c r="Y48" s="8"/>
      <c r="Z48" s="180">
        <f>SUM(Table1[[#This Row],[Total ODA Spend in 2012 (in USD mn)]:[Total OOF Spend in 2012 (USD n)]])</f>
        <v>483.09</v>
      </c>
      <c r="AA48" s="9" t="s">
        <v>3012</v>
      </c>
      <c r="AB48" s="6" t="s">
        <v>3006</v>
      </c>
      <c r="AC48" s="9" t="s">
        <v>3013</v>
      </c>
    </row>
    <row r="49" spans="1:29" ht="27" customHeight="1" x14ac:dyDescent="0.25">
      <c r="A49" s="177" t="s">
        <v>705</v>
      </c>
      <c r="B49" s="4" t="s">
        <v>3226</v>
      </c>
      <c r="C49" s="4" t="s">
        <v>704</v>
      </c>
      <c r="D49" s="5" t="s">
        <v>2943</v>
      </c>
      <c r="E49" s="5"/>
      <c r="F49" s="5"/>
      <c r="G49" s="5"/>
      <c r="H49" s="6" t="s">
        <v>2948</v>
      </c>
      <c r="I49" s="6"/>
      <c r="J49" s="6"/>
      <c r="K49" s="6" t="s">
        <v>2944</v>
      </c>
      <c r="L49" s="6"/>
      <c r="M49" s="6"/>
      <c r="N49" s="6"/>
      <c r="O49" s="6"/>
      <c r="P49" s="6"/>
      <c r="Q49" s="6"/>
      <c r="R49" s="6"/>
      <c r="S49" s="175"/>
      <c r="T49" s="6"/>
      <c r="U49" s="6" t="s">
        <v>2949</v>
      </c>
      <c r="V49" s="6"/>
      <c r="W49" s="6"/>
      <c r="X49" s="8">
        <v>27.877892030848262</v>
      </c>
      <c r="Y49" s="8"/>
      <c r="Z49" s="180">
        <f>SUM(Table1[[#This Row],[Total ODA Spend in 2012 (in USD mn)]:[Total OOF Spend in 2012 (USD n)]])</f>
        <v>27.877892030848262</v>
      </c>
      <c r="AA49" s="9" t="s">
        <v>2937</v>
      </c>
      <c r="AB49" s="6" t="s">
        <v>3014</v>
      </c>
      <c r="AC49" s="9" t="s">
        <v>2937</v>
      </c>
    </row>
    <row r="50" spans="1:29" ht="27" customHeight="1" x14ac:dyDescent="0.25">
      <c r="A50" s="177" t="s">
        <v>746</v>
      </c>
      <c r="B50" s="4" t="s">
        <v>3227</v>
      </c>
      <c r="C50" s="4" t="s">
        <v>745</v>
      </c>
      <c r="D50" s="5" t="s">
        <v>2943</v>
      </c>
      <c r="E50" s="5"/>
      <c r="F50" s="5"/>
      <c r="G50" s="5"/>
      <c r="H50" s="6" t="s">
        <v>2948</v>
      </c>
      <c r="I50" s="6"/>
      <c r="J50" s="6"/>
      <c r="K50" s="6" t="s">
        <v>2955</v>
      </c>
      <c r="L50" s="6"/>
      <c r="M50" s="6"/>
      <c r="N50" s="6"/>
      <c r="O50" s="6"/>
      <c r="P50" s="6"/>
      <c r="Q50" s="6"/>
      <c r="R50" s="6"/>
      <c r="S50" s="175"/>
      <c r="T50" s="6"/>
      <c r="U50" s="6" t="s">
        <v>3177</v>
      </c>
      <c r="V50" s="6"/>
      <c r="W50" s="6" t="s">
        <v>2923</v>
      </c>
      <c r="X50" s="8">
        <v>142.41</v>
      </c>
      <c r="Y50" s="8"/>
      <c r="Z50" s="180">
        <f>SUM(Table1[[#This Row],[Total ODA Spend in 2012 (in USD mn)]:[Total OOF Spend in 2012 (USD n)]])</f>
        <v>142.41</v>
      </c>
      <c r="AA50" s="9" t="s">
        <v>2956</v>
      </c>
      <c r="AB50" s="6" t="s">
        <v>2966</v>
      </c>
      <c r="AC50" s="9" t="s">
        <v>3015</v>
      </c>
    </row>
    <row r="51" spans="1:29" ht="27" customHeight="1" x14ac:dyDescent="0.25">
      <c r="A51" s="177" t="s">
        <v>787</v>
      </c>
      <c r="B51" s="4" t="s">
        <v>3228</v>
      </c>
      <c r="C51" s="4" t="s">
        <v>786</v>
      </c>
      <c r="D51" s="5" t="s">
        <v>2943</v>
      </c>
      <c r="E51" s="5"/>
      <c r="F51" s="5"/>
      <c r="G51" s="5"/>
      <c r="H51" s="6" t="s">
        <v>2948</v>
      </c>
      <c r="I51" s="6"/>
      <c r="J51" s="6"/>
      <c r="K51" s="6" t="s">
        <v>2944</v>
      </c>
      <c r="L51" s="6"/>
      <c r="M51" s="6"/>
      <c r="N51" s="6"/>
      <c r="O51" s="6"/>
      <c r="P51" s="6"/>
      <c r="Q51" s="6"/>
      <c r="R51" s="6"/>
      <c r="S51" s="175"/>
      <c r="T51" s="6"/>
      <c r="U51" s="6" t="s">
        <v>3177</v>
      </c>
      <c r="V51" s="6"/>
      <c r="W51" s="6" t="s">
        <v>2923</v>
      </c>
      <c r="X51" s="8">
        <v>82.95</v>
      </c>
      <c r="Y51" s="8"/>
      <c r="Z51" s="180">
        <f>SUM(Table1[[#This Row],[Total ODA Spend in 2012 (in USD mn)]:[Total OOF Spend in 2012 (USD n)]])</f>
        <v>82.95</v>
      </c>
      <c r="AA51" s="9" t="s">
        <v>3016</v>
      </c>
      <c r="AB51" s="6" t="s">
        <v>2992</v>
      </c>
      <c r="AC51" s="9" t="s">
        <v>3017</v>
      </c>
    </row>
    <row r="52" spans="1:29" ht="27" customHeight="1" x14ac:dyDescent="0.25">
      <c r="A52" s="177" t="s">
        <v>828</v>
      </c>
      <c r="B52" s="4" t="s">
        <v>3229</v>
      </c>
      <c r="C52" s="4" t="s">
        <v>827</v>
      </c>
      <c r="D52" s="5" t="s">
        <v>2943</v>
      </c>
      <c r="E52" s="5"/>
      <c r="F52" s="5"/>
      <c r="G52" s="5"/>
      <c r="H52" s="6" t="s">
        <v>2948</v>
      </c>
      <c r="I52" s="6"/>
      <c r="J52" s="6"/>
      <c r="K52" s="6" t="s">
        <v>2944</v>
      </c>
      <c r="L52" s="6"/>
      <c r="M52" s="6"/>
      <c r="N52" s="6"/>
      <c r="O52" s="6"/>
      <c r="P52" s="6"/>
      <c r="Q52" s="6"/>
      <c r="R52" s="6"/>
      <c r="S52" s="175"/>
      <c r="T52" s="6"/>
      <c r="U52" s="6" t="s">
        <v>2949</v>
      </c>
      <c r="V52" s="6"/>
      <c r="W52" s="6" t="s">
        <v>2923</v>
      </c>
      <c r="X52" s="8">
        <v>58</v>
      </c>
      <c r="Y52" s="8"/>
      <c r="Z52" s="180">
        <f>SUM(Table1[[#This Row],[Total ODA Spend in 2012 (in USD mn)]:[Total OOF Spend in 2012 (USD n)]])</f>
        <v>58</v>
      </c>
      <c r="AA52" s="9" t="s">
        <v>3018</v>
      </c>
      <c r="AB52" s="6" t="s">
        <v>3019</v>
      </c>
      <c r="AC52" s="9" t="s">
        <v>3020</v>
      </c>
    </row>
    <row r="53" spans="1:29" ht="27" customHeight="1" x14ac:dyDescent="0.25">
      <c r="A53" s="177" t="s">
        <v>1891</v>
      </c>
      <c r="B53" s="4" t="s">
        <v>3230</v>
      </c>
      <c r="C53" s="4" t="s">
        <v>1890</v>
      </c>
      <c r="D53" s="5" t="s">
        <v>2943</v>
      </c>
      <c r="E53" s="5"/>
      <c r="F53" s="5"/>
      <c r="G53" s="5"/>
      <c r="H53" s="6" t="s">
        <v>2948</v>
      </c>
      <c r="I53" s="6"/>
      <c r="J53" s="6"/>
      <c r="K53" s="6" t="s">
        <v>2944</v>
      </c>
      <c r="L53" s="6" t="s">
        <v>3166</v>
      </c>
      <c r="M53" s="6"/>
      <c r="N53" s="6" t="s">
        <v>2940</v>
      </c>
      <c r="O53" s="6" t="s">
        <v>2940</v>
      </c>
      <c r="P53" s="6" t="s">
        <v>2934</v>
      </c>
      <c r="Q53" s="6">
        <v>60</v>
      </c>
      <c r="R53" s="10">
        <v>40817</v>
      </c>
      <c r="S53" s="175"/>
      <c r="T53" s="6"/>
      <c r="U53" s="6" t="s">
        <v>3176</v>
      </c>
      <c r="V53" s="6" t="s">
        <v>2922</v>
      </c>
      <c r="W53" s="6"/>
      <c r="X53" s="8">
        <v>618</v>
      </c>
      <c r="Y53" s="8"/>
      <c r="Z53" s="180">
        <f>SUM(Table1[[#This Row],[Total ODA Spend in 2012 (in USD mn)]:[Total OOF Spend in 2012 (USD n)]])</f>
        <v>618</v>
      </c>
      <c r="AA53" s="9" t="s">
        <v>2937</v>
      </c>
      <c r="AB53" s="6" t="s">
        <v>2984</v>
      </c>
      <c r="AC53" s="9" t="s">
        <v>2937</v>
      </c>
    </row>
    <row r="54" spans="1:29" ht="27" customHeight="1" x14ac:dyDescent="0.25">
      <c r="A54" s="177" t="s">
        <v>1116</v>
      </c>
      <c r="B54" s="4" t="s">
        <v>3231</v>
      </c>
      <c r="C54" s="4" t="s">
        <v>1115</v>
      </c>
      <c r="D54" s="5" t="s">
        <v>2943</v>
      </c>
      <c r="E54" s="5"/>
      <c r="F54" s="5"/>
      <c r="G54" s="5"/>
      <c r="H54" s="6" t="s">
        <v>2948</v>
      </c>
      <c r="I54" s="6"/>
      <c r="J54" s="6"/>
      <c r="K54" s="6" t="s">
        <v>2944</v>
      </c>
      <c r="L54" s="6" t="s">
        <v>3166</v>
      </c>
      <c r="M54" s="6" t="s">
        <v>3163</v>
      </c>
      <c r="N54" s="6" t="s">
        <v>2940</v>
      </c>
      <c r="O54" s="6" t="s">
        <v>2940</v>
      </c>
      <c r="P54" s="6" t="s">
        <v>2934</v>
      </c>
      <c r="Q54" s="6">
        <v>95</v>
      </c>
      <c r="R54" s="6" t="s">
        <v>2941</v>
      </c>
      <c r="S54" s="175">
        <v>39692</v>
      </c>
      <c r="T54" s="6"/>
      <c r="U54" s="6" t="s">
        <v>3176</v>
      </c>
      <c r="V54" s="6" t="s">
        <v>2922</v>
      </c>
      <c r="W54" s="6"/>
      <c r="X54" s="8">
        <v>3587.0513101094398</v>
      </c>
      <c r="Y54" s="8"/>
      <c r="Z54" s="180">
        <f>SUM(Table1[[#This Row],[Total ODA Spend in 2012 (in USD mn)]:[Total OOF Spend in 2012 (USD n)]])</f>
        <v>3587.0513101094398</v>
      </c>
      <c r="AA54" s="9" t="s">
        <v>2937</v>
      </c>
      <c r="AB54" s="6" t="s">
        <v>2953</v>
      </c>
      <c r="AC54" s="9" t="s">
        <v>2937</v>
      </c>
    </row>
    <row r="55" spans="1:29" ht="27" customHeight="1" x14ac:dyDescent="0.25">
      <c r="A55" s="177" t="s">
        <v>1198</v>
      </c>
      <c r="B55" s="4" t="s">
        <v>3021</v>
      </c>
      <c r="C55" s="4" t="s">
        <v>1197</v>
      </c>
      <c r="D55" s="5" t="s">
        <v>2943</v>
      </c>
      <c r="E55" s="5"/>
      <c r="F55" s="5"/>
      <c r="G55" s="5"/>
      <c r="H55" s="6"/>
      <c r="I55" s="6"/>
      <c r="J55" s="6"/>
      <c r="K55" s="6" t="s">
        <v>2944</v>
      </c>
      <c r="L55" s="6" t="s">
        <v>3166</v>
      </c>
      <c r="M55" s="6" t="s">
        <v>3163</v>
      </c>
      <c r="N55" s="6" t="s">
        <v>2933</v>
      </c>
      <c r="O55" s="6" t="s">
        <v>2940</v>
      </c>
      <c r="P55" s="6" t="s">
        <v>2934</v>
      </c>
      <c r="Q55" s="6">
        <v>50</v>
      </c>
      <c r="R55" s="10">
        <v>41579</v>
      </c>
      <c r="S55" s="175">
        <v>39965</v>
      </c>
      <c r="T55" s="6"/>
      <c r="U55" s="6" t="s">
        <v>2949</v>
      </c>
      <c r="V55" s="6"/>
      <c r="W55" s="6"/>
      <c r="X55" s="8">
        <v>1283.0058815999946</v>
      </c>
      <c r="Y55" s="8"/>
      <c r="Z55" s="180">
        <f>SUM(Table1[[#This Row],[Total ODA Spend in 2012 (in USD mn)]:[Total OOF Spend in 2012 (USD n)]])</f>
        <v>1283.0058815999946</v>
      </c>
      <c r="AA55" s="9" t="s">
        <v>2937</v>
      </c>
      <c r="AB55" s="6" t="s">
        <v>3022</v>
      </c>
      <c r="AC55" s="9" t="s">
        <v>2937</v>
      </c>
    </row>
    <row r="56" spans="1:29" ht="27" customHeight="1" x14ac:dyDescent="0.25">
      <c r="A56" s="177" t="s">
        <v>2667</v>
      </c>
      <c r="B56" s="4" t="s">
        <v>3232</v>
      </c>
      <c r="C56" s="4" t="s">
        <v>2666</v>
      </c>
      <c r="D56" s="5" t="s">
        <v>2943</v>
      </c>
      <c r="E56" s="5"/>
      <c r="F56" s="5"/>
      <c r="G56" s="5"/>
      <c r="H56" s="6"/>
      <c r="I56" s="6" t="s">
        <v>2916</v>
      </c>
      <c r="J56" s="6"/>
      <c r="K56" s="6" t="s">
        <v>2944</v>
      </c>
      <c r="L56" s="6" t="s">
        <v>3166</v>
      </c>
      <c r="M56" s="6" t="s">
        <v>3163</v>
      </c>
      <c r="N56" s="6" t="s">
        <v>2940</v>
      </c>
      <c r="O56" s="6" t="s">
        <v>2933</v>
      </c>
      <c r="P56" s="6" t="s">
        <v>2934</v>
      </c>
      <c r="Q56" s="6">
        <v>31</v>
      </c>
      <c r="R56" s="6" t="s">
        <v>3034</v>
      </c>
      <c r="S56" s="175">
        <v>40848</v>
      </c>
      <c r="T56" s="6" t="s">
        <v>3174</v>
      </c>
      <c r="U56" s="6" t="s">
        <v>3176</v>
      </c>
      <c r="V56" s="6"/>
      <c r="W56" s="6"/>
      <c r="X56" s="8">
        <v>489.80787199999969</v>
      </c>
      <c r="Y56" s="8"/>
      <c r="Z56" s="180">
        <f>SUM(Table1[[#This Row],[Total ODA Spend in 2012 (in USD mn)]:[Total OOF Spend in 2012 (USD n)]])</f>
        <v>489.80787199999969</v>
      </c>
      <c r="AA56" s="9" t="s">
        <v>2937</v>
      </c>
      <c r="AB56" s="6" t="s">
        <v>2970</v>
      </c>
      <c r="AC56" s="9" t="s">
        <v>2937</v>
      </c>
    </row>
    <row r="57" spans="1:29" ht="27" customHeight="1" x14ac:dyDescent="0.25">
      <c r="A57" s="177" t="s">
        <v>2626</v>
      </c>
      <c r="B57" s="4" t="s">
        <v>3233</v>
      </c>
      <c r="C57" s="4" t="s">
        <v>2625</v>
      </c>
      <c r="D57" s="5" t="s">
        <v>2943</v>
      </c>
      <c r="E57" s="5"/>
      <c r="F57" s="5"/>
      <c r="G57" s="5"/>
      <c r="H57" s="6"/>
      <c r="I57" s="6" t="s">
        <v>2916</v>
      </c>
      <c r="J57" s="6"/>
      <c r="K57" s="6" t="s">
        <v>2944</v>
      </c>
      <c r="L57" s="6" t="s">
        <v>3166</v>
      </c>
      <c r="M57" s="6" t="s">
        <v>3163</v>
      </c>
      <c r="N57" s="6" t="s">
        <v>2940</v>
      </c>
      <c r="O57" s="6" t="s">
        <v>2933</v>
      </c>
      <c r="P57" s="6" t="s">
        <v>2934</v>
      </c>
      <c r="Q57" s="6">
        <v>75</v>
      </c>
      <c r="R57" s="6" t="s">
        <v>2968</v>
      </c>
      <c r="S57" s="175">
        <v>40848</v>
      </c>
      <c r="T57" s="6" t="s">
        <v>3174</v>
      </c>
      <c r="U57" s="6" t="s">
        <v>3176</v>
      </c>
      <c r="V57" s="6"/>
      <c r="W57" s="6"/>
      <c r="X57" s="8">
        <v>1354.5793899999994</v>
      </c>
      <c r="Y57" s="8"/>
      <c r="Z57" s="180">
        <f>SUM(Table1[[#This Row],[Total ODA Spend in 2012 (in USD mn)]:[Total OOF Spend in 2012 (USD n)]])</f>
        <v>1354.5793899999994</v>
      </c>
      <c r="AA57" s="9" t="s">
        <v>2937</v>
      </c>
      <c r="AB57" s="6" t="s">
        <v>3035</v>
      </c>
      <c r="AC57" s="9" t="s">
        <v>2937</v>
      </c>
    </row>
    <row r="58" spans="1:29" ht="27" customHeight="1" x14ac:dyDescent="0.25">
      <c r="A58" s="177" t="s">
        <v>2055</v>
      </c>
      <c r="B58" s="4" t="s">
        <v>3237</v>
      </c>
      <c r="C58" s="4" t="s">
        <v>2054</v>
      </c>
      <c r="D58" s="5" t="s">
        <v>2943</v>
      </c>
      <c r="E58" s="5"/>
      <c r="F58" s="5" t="s">
        <v>2986</v>
      </c>
      <c r="G58" s="5"/>
      <c r="H58" s="6"/>
      <c r="I58" s="6" t="s">
        <v>2916</v>
      </c>
      <c r="J58" s="6"/>
      <c r="K58" s="6" t="s">
        <v>2944</v>
      </c>
      <c r="L58" s="6" t="s">
        <v>3166</v>
      </c>
      <c r="M58" s="6" t="s">
        <v>3163</v>
      </c>
      <c r="N58" s="6" t="s">
        <v>2940</v>
      </c>
      <c r="O58" s="6" t="s">
        <v>2933</v>
      </c>
      <c r="P58" s="6" t="s">
        <v>2934</v>
      </c>
      <c r="Q58" s="6">
        <v>31</v>
      </c>
      <c r="R58" s="10">
        <v>41791</v>
      </c>
      <c r="S58" s="175">
        <v>40848</v>
      </c>
      <c r="T58" s="6" t="s">
        <v>3174</v>
      </c>
      <c r="U58" s="6" t="s">
        <v>3176</v>
      </c>
      <c r="V58" s="6"/>
      <c r="W58" s="6"/>
      <c r="X58" s="8">
        <v>6639</v>
      </c>
      <c r="Y58" s="8"/>
      <c r="Z58" s="180">
        <f>SUM(Table1[[#This Row],[Total ODA Spend in 2012 (in USD mn)]:[Total OOF Spend in 2012 (USD n)]])</f>
        <v>6639</v>
      </c>
      <c r="AA58" s="9" t="s">
        <v>3036</v>
      </c>
      <c r="AB58" s="6" t="s">
        <v>3037</v>
      </c>
      <c r="AC58" s="9" t="s">
        <v>3038</v>
      </c>
    </row>
    <row r="59" spans="1:29" ht="27" customHeight="1" x14ac:dyDescent="0.25">
      <c r="A59" s="177" t="s">
        <v>1401</v>
      </c>
      <c r="B59" s="4" t="s">
        <v>3234</v>
      </c>
      <c r="C59" s="4" t="s">
        <v>1400</v>
      </c>
      <c r="D59" s="5" t="s">
        <v>2943</v>
      </c>
      <c r="E59" s="5"/>
      <c r="F59" s="5"/>
      <c r="G59" s="5"/>
      <c r="H59" s="6"/>
      <c r="I59" s="6" t="s">
        <v>2916</v>
      </c>
      <c r="J59" s="6"/>
      <c r="K59" s="6" t="s">
        <v>2944</v>
      </c>
      <c r="L59" s="6" t="s">
        <v>3166</v>
      </c>
      <c r="M59" s="6" t="s">
        <v>3163</v>
      </c>
      <c r="N59" s="6" t="s">
        <v>2940</v>
      </c>
      <c r="O59" s="6" t="s">
        <v>2933</v>
      </c>
      <c r="P59" s="6" t="s">
        <v>2934</v>
      </c>
      <c r="Q59" s="6">
        <v>31</v>
      </c>
      <c r="R59" s="10">
        <v>41791</v>
      </c>
      <c r="S59" s="175">
        <v>40848</v>
      </c>
      <c r="T59" s="6" t="s">
        <v>3174</v>
      </c>
      <c r="U59" s="6" t="s">
        <v>3176</v>
      </c>
      <c r="V59" s="6"/>
      <c r="W59" s="6"/>
      <c r="X59" s="8">
        <v>4198.1307190000043</v>
      </c>
      <c r="Y59" s="8"/>
      <c r="Z59" s="180">
        <f>SUM(Table1[[#This Row],[Total ODA Spend in 2012 (in USD mn)]:[Total OOF Spend in 2012 (USD n)]])</f>
        <v>4198.1307190000043</v>
      </c>
      <c r="AA59" s="9" t="s">
        <v>2937</v>
      </c>
      <c r="AB59" s="6" t="s">
        <v>2970</v>
      </c>
      <c r="AC59" s="9" t="s">
        <v>2937</v>
      </c>
    </row>
    <row r="60" spans="1:29" ht="27" customHeight="1" x14ac:dyDescent="0.25">
      <c r="A60" s="177" t="s">
        <v>2585</v>
      </c>
      <c r="B60" s="4" t="s">
        <v>3235</v>
      </c>
      <c r="C60" s="4" t="s">
        <v>2584</v>
      </c>
      <c r="D60" s="5" t="s">
        <v>2943</v>
      </c>
      <c r="E60" s="5"/>
      <c r="F60" s="5"/>
      <c r="G60" s="5"/>
      <c r="H60" s="6"/>
      <c r="I60" s="6" t="s">
        <v>2916</v>
      </c>
      <c r="J60" s="6"/>
      <c r="K60" s="6" t="s">
        <v>2944</v>
      </c>
      <c r="L60" s="6" t="s">
        <v>3167</v>
      </c>
      <c r="M60" s="6" t="s">
        <v>3163</v>
      </c>
      <c r="N60" s="6" t="s">
        <v>2940</v>
      </c>
      <c r="O60" s="6" t="s">
        <v>2933</v>
      </c>
      <c r="P60" s="6" t="s">
        <v>2934</v>
      </c>
      <c r="Q60" s="6">
        <v>31</v>
      </c>
      <c r="R60" s="6" t="s">
        <v>3034</v>
      </c>
      <c r="S60" s="175">
        <v>40848</v>
      </c>
      <c r="T60" s="6" t="s">
        <v>3174</v>
      </c>
      <c r="U60" s="6" t="s">
        <v>3176</v>
      </c>
      <c r="V60" s="6"/>
      <c r="W60" s="6"/>
      <c r="X60" s="8">
        <v>184.68668000000005</v>
      </c>
      <c r="Y60" s="8"/>
      <c r="Z60" s="180">
        <f>SUM(Table1[[#This Row],[Total ODA Spend in 2012 (in USD mn)]:[Total OOF Spend in 2012 (USD n)]])</f>
        <v>184.68668000000005</v>
      </c>
      <c r="AA60" s="9" t="s">
        <v>2937</v>
      </c>
      <c r="AB60" s="6" t="s">
        <v>2970</v>
      </c>
      <c r="AC60" s="9" t="s">
        <v>2937</v>
      </c>
    </row>
    <row r="61" spans="1:29" ht="27" customHeight="1" x14ac:dyDescent="0.25">
      <c r="A61" s="177" t="s">
        <v>1279</v>
      </c>
      <c r="B61" s="4" t="s">
        <v>3236</v>
      </c>
      <c r="C61" s="4" t="s">
        <v>1278</v>
      </c>
      <c r="D61" s="5" t="s">
        <v>2943</v>
      </c>
      <c r="E61" s="5"/>
      <c r="F61" s="5"/>
      <c r="G61" s="5"/>
      <c r="H61" s="6"/>
      <c r="I61" s="6" t="s">
        <v>2916</v>
      </c>
      <c r="J61" s="6"/>
      <c r="K61" s="6" t="s">
        <v>2944</v>
      </c>
      <c r="L61" s="6" t="s">
        <v>3166</v>
      </c>
      <c r="M61" s="6" t="s">
        <v>3163</v>
      </c>
      <c r="N61" s="6" t="s">
        <v>2940</v>
      </c>
      <c r="O61" s="6" t="s">
        <v>2933</v>
      </c>
      <c r="P61" s="6" t="s">
        <v>2934</v>
      </c>
      <c r="Q61" s="6">
        <v>31</v>
      </c>
      <c r="R61" s="6" t="s">
        <v>2968</v>
      </c>
      <c r="S61" s="175">
        <v>40848</v>
      </c>
      <c r="T61" s="6" t="s">
        <v>3174</v>
      </c>
      <c r="U61" s="6" t="s">
        <v>3176</v>
      </c>
      <c r="V61" s="6" t="s">
        <v>2922</v>
      </c>
      <c r="W61" s="6"/>
      <c r="X61" s="8">
        <v>15572.462420999709</v>
      </c>
      <c r="Y61" s="8"/>
      <c r="Z61" s="180">
        <f>SUM(Table1[[#This Row],[Total ODA Spend in 2012 (in USD mn)]:[Total OOF Spend in 2012 (USD n)]])</f>
        <v>15572.462420999709</v>
      </c>
      <c r="AA61" s="9" t="s">
        <v>2937</v>
      </c>
      <c r="AB61" s="6" t="s">
        <v>2970</v>
      </c>
      <c r="AC61" s="9" t="s">
        <v>2937</v>
      </c>
    </row>
    <row r="62" spans="1:29" ht="27" customHeight="1" x14ac:dyDescent="0.25">
      <c r="A62" s="177" t="s">
        <v>2544</v>
      </c>
      <c r="B62" s="4" t="s">
        <v>3238</v>
      </c>
      <c r="C62" s="4" t="s">
        <v>2543</v>
      </c>
      <c r="D62" s="5" t="s">
        <v>2943</v>
      </c>
      <c r="E62" s="5"/>
      <c r="F62" s="5"/>
      <c r="G62" s="5"/>
      <c r="H62" s="6" t="s">
        <v>2948</v>
      </c>
      <c r="I62" s="6"/>
      <c r="J62" s="6"/>
      <c r="K62" s="6" t="s">
        <v>2944</v>
      </c>
      <c r="L62" s="6" t="s">
        <v>3166</v>
      </c>
      <c r="M62" s="6" t="s">
        <v>3163</v>
      </c>
      <c r="N62" s="6" t="s">
        <v>2940</v>
      </c>
      <c r="O62" s="6" t="s">
        <v>2940</v>
      </c>
      <c r="P62" s="6" t="s">
        <v>2934</v>
      </c>
      <c r="Q62" s="6">
        <v>88</v>
      </c>
      <c r="R62" s="6" t="s">
        <v>3029</v>
      </c>
      <c r="S62" s="175">
        <v>39692</v>
      </c>
      <c r="T62" s="6" t="s">
        <v>3174</v>
      </c>
      <c r="U62" s="6" t="s">
        <v>3176</v>
      </c>
      <c r="V62" s="6" t="s">
        <v>2922</v>
      </c>
      <c r="W62" s="6"/>
      <c r="X62" s="8">
        <v>7227.8603810489385</v>
      </c>
      <c r="Y62" s="8"/>
      <c r="Z62" s="180">
        <f>SUM(Table1[[#This Row],[Total ODA Spend in 2012 (in USD mn)]:[Total OOF Spend in 2012 (USD n)]])</f>
        <v>7227.8603810489385</v>
      </c>
      <c r="AA62" s="9" t="s">
        <v>2937</v>
      </c>
      <c r="AB62" s="6" t="s">
        <v>3010</v>
      </c>
      <c r="AC62" s="9" t="s">
        <v>2937</v>
      </c>
    </row>
    <row r="63" spans="1:29" ht="27" customHeight="1" x14ac:dyDescent="0.25">
      <c r="A63" s="177" t="s">
        <v>1360</v>
      </c>
      <c r="B63" s="4" t="s">
        <v>3239</v>
      </c>
      <c r="C63" s="4" t="s">
        <v>1359</v>
      </c>
      <c r="D63" s="5" t="s">
        <v>2943</v>
      </c>
      <c r="E63" s="5"/>
      <c r="F63" s="5"/>
      <c r="G63" s="5"/>
      <c r="H63" s="6" t="s">
        <v>2948</v>
      </c>
      <c r="I63" s="6"/>
      <c r="J63" s="6"/>
      <c r="K63" s="6" t="s">
        <v>2944</v>
      </c>
      <c r="L63" s="6" t="s">
        <v>3166</v>
      </c>
      <c r="M63" s="6"/>
      <c r="N63" s="6" t="s">
        <v>2933</v>
      </c>
      <c r="O63" s="6" t="s">
        <v>2933</v>
      </c>
      <c r="P63" s="6" t="s">
        <v>2934</v>
      </c>
      <c r="Q63" s="6">
        <v>63</v>
      </c>
      <c r="R63" s="6" t="s">
        <v>2935</v>
      </c>
      <c r="S63" s="175"/>
      <c r="T63" s="6" t="s">
        <v>3174</v>
      </c>
      <c r="U63" s="6" t="s">
        <v>3176</v>
      </c>
      <c r="V63" s="6" t="s">
        <v>2922</v>
      </c>
      <c r="W63" s="6"/>
      <c r="X63" s="8">
        <v>413.36551334336815</v>
      </c>
      <c r="Y63" s="8"/>
      <c r="Z63" s="180">
        <f>SUM(Table1[[#This Row],[Total ODA Spend in 2012 (in USD mn)]:[Total OOF Spend in 2012 (USD n)]])</f>
        <v>413.36551334336815</v>
      </c>
      <c r="AA63" s="9" t="s">
        <v>2937</v>
      </c>
      <c r="AB63" s="6" t="s">
        <v>2994</v>
      </c>
      <c r="AC63" s="9" t="s">
        <v>2937</v>
      </c>
    </row>
    <row r="64" spans="1:29" ht="27" customHeight="1" x14ac:dyDescent="0.25">
      <c r="A64" s="177" t="s">
        <v>2177</v>
      </c>
      <c r="B64" s="4" t="s">
        <v>3240</v>
      </c>
      <c r="C64" s="4" t="s">
        <v>2176</v>
      </c>
      <c r="D64" s="5" t="s">
        <v>2943</v>
      </c>
      <c r="E64" s="5"/>
      <c r="F64" s="5"/>
      <c r="G64" s="5"/>
      <c r="H64" s="6" t="s">
        <v>2948</v>
      </c>
      <c r="I64" s="6"/>
      <c r="J64" s="6"/>
      <c r="K64" s="6" t="s">
        <v>2944</v>
      </c>
      <c r="L64" s="6"/>
      <c r="M64" s="6"/>
      <c r="N64" s="6"/>
      <c r="O64" s="6"/>
      <c r="P64" s="6"/>
      <c r="Q64" s="6"/>
      <c r="R64" s="6"/>
      <c r="S64" s="175"/>
      <c r="T64" s="6" t="s">
        <v>3174</v>
      </c>
      <c r="U64" s="6" t="s">
        <v>3176</v>
      </c>
      <c r="V64" s="6" t="s">
        <v>2922</v>
      </c>
      <c r="W64" s="6"/>
      <c r="X64" s="8">
        <v>7.9226746949770197</v>
      </c>
      <c r="Y64" s="8"/>
      <c r="Z64" s="180">
        <f>SUM(Table1[[#This Row],[Total ODA Spend in 2012 (in USD mn)]:[Total OOF Spend in 2012 (USD n)]])</f>
        <v>7.9226746949770197</v>
      </c>
      <c r="AA64" s="9" t="s">
        <v>2937</v>
      </c>
      <c r="AB64" s="6" t="s">
        <v>2970</v>
      </c>
      <c r="AC64" s="9" t="s">
        <v>3030</v>
      </c>
    </row>
    <row r="65" spans="1:29" ht="27" customHeight="1" x14ac:dyDescent="0.25">
      <c r="A65" s="177">
        <v>41127</v>
      </c>
      <c r="B65" s="4" t="s">
        <v>3241</v>
      </c>
      <c r="C65" s="4" t="s">
        <v>1032</v>
      </c>
      <c r="D65" s="5" t="s">
        <v>2931</v>
      </c>
      <c r="E65" s="5"/>
      <c r="F65" s="5"/>
      <c r="G65" s="5" t="s">
        <v>2914</v>
      </c>
      <c r="H65" s="6"/>
      <c r="I65" s="6"/>
      <c r="J65" s="6" t="s">
        <v>2917</v>
      </c>
      <c r="K65" s="6"/>
      <c r="L65" s="6" t="s">
        <v>3166</v>
      </c>
      <c r="M65" s="6" t="s">
        <v>3163</v>
      </c>
      <c r="N65" s="6" t="s">
        <v>2940</v>
      </c>
      <c r="O65" s="6" t="s">
        <v>2940</v>
      </c>
      <c r="P65" s="6" t="s">
        <v>2934</v>
      </c>
      <c r="Q65" s="6">
        <v>32</v>
      </c>
      <c r="R65" s="6" t="s">
        <v>2990</v>
      </c>
      <c r="S65" s="175">
        <v>41122</v>
      </c>
      <c r="T65" s="6"/>
      <c r="U65" s="6" t="s">
        <v>2936</v>
      </c>
      <c r="V65" s="6"/>
      <c r="W65" s="6"/>
      <c r="X65" s="8">
        <v>919</v>
      </c>
      <c r="Y65" s="8"/>
      <c r="Z65" s="180">
        <f>SUM(Table1[[#This Row],[Total ODA Spend in 2012 (in USD mn)]:[Total OOF Spend in 2012 (USD n)]])</f>
        <v>919</v>
      </c>
      <c r="AA65" s="9" t="s">
        <v>3032</v>
      </c>
      <c r="AB65" s="6" t="s">
        <v>3033</v>
      </c>
      <c r="AC65" s="9" t="s">
        <v>3032</v>
      </c>
    </row>
    <row r="66" spans="1:29" ht="27" customHeight="1" x14ac:dyDescent="0.25">
      <c r="A66" s="177">
        <v>41114</v>
      </c>
      <c r="B66" s="4" t="s">
        <v>3242</v>
      </c>
      <c r="C66" s="4" t="s">
        <v>1605</v>
      </c>
      <c r="D66" s="5" t="s">
        <v>2931</v>
      </c>
      <c r="E66" s="5"/>
      <c r="F66" s="5"/>
      <c r="G66" s="5"/>
      <c r="H66" s="6"/>
      <c r="I66" s="6"/>
      <c r="J66" s="6" t="s">
        <v>2917</v>
      </c>
      <c r="K66" s="6"/>
      <c r="L66" s="6" t="s">
        <v>3166</v>
      </c>
      <c r="M66" s="6" t="s">
        <v>3163</v>
      </c>
      <c r="N66" s="6" t="s">
        <v>2940</v>
      </c>
      <c r="O66" s="6" t="s">
        <v>2940</v>
      </c>
      <c r="P66" s="6" t="s">
        <v>2934</v>
      </c>
      <c r="Q66" s="6">
        <v>97</v>
      </c>
      <c r="R66" s="6" t="s">
        <v>2941</v>
      </c>
      <c r="S66" s="175">
        <v>40848</v>
      </c>
      <c r="T66" s="6"/>
      <c r="U66" s="6" t="s">
        <v>3179</v>
      </c>
      <c r="V66" s="6"/>
      <c r="W66" s="6"/>
      <c r="X66" s="8">
        <v>487.21</v>
      </c>
      <c r="Y66" s="8"/>
      <c r="Z66" s="180">
        <f>SUM(Table1[[#This Row],[Total ODA Spend in 2012 (in USD mn)]:[Total OOF Spend in 2012 (USD n)]])</f>
        <v>487.21</v>
      </c>
      <c r="AA66" s="9" t="s">
        <v>2937</v>
      </c>
      <c r="AB66" s="6" t="s">
        <v>3010</v>
      </c>
      <c r="AC66" s="9" t="s">
        <v>2937</v>
      </c>
    </row>
    <row r="67" spans="1:29" ht="27" customHeight="1" x14ac:dyDescent="0.25">
      <c r="A67" s="177">
        <v>41122</v>
      </c>
      <c r="B67" s="4" t="s">
        <v>3243</v>
      </c>
      <c r="C67" s="4" t="s">
        <v>2095</v>
      </c>
      <c r="D67" s="5" t="s">
        <v>2931</v>
      </c>
      <c r="E67" s="5"/>
      <c r="F67" s="5"/>
      <c r="G67" s="5"/>
      <c r="H67" s="6"/>
      <c r="I67" s="6"/>
      <c r="J67" s="6" t="s">
        <v>2917</v>
      </c>
      <c r="K67" s="6"/>
      <c r="L67" s="6" t="s">
        <v>3166</v>
      </c>
      <c r="M67" s="6" t="s">
        <v>3163</v>
      </c>
      <c r="N67" s="6" t="s">
        <v>2933</v>
      </c>
      <c r="O67" s="6" t="s">
        <v>2945</v>
      </c>
      <c r="P67" s="6" t="s">
        <v>2934</v>
      </c>
      <c r="Q67" s="6">
        <v>94</v>
      </c>
      <c r="R67" s="6" t="s">
        <v>3031</v>
      </c>
      <c r="S67" s="175">
        <v>40969</v>
      </c>
      <c r="T67" s="6"/>
      <c r="U67" s="6" t="s">
        <v>2936</v>
      </c>
      <c r="V67" s="6"/>
      <c r="W67" s="6"/>
      <c r="X67" s="8">
        <v>1154.9704235904981</v>
      </c>
      <c r="Y67" s="8"/>
      <c r="Z67" s="180">
        <f>SUM(Table1[[#This Row],[Total ODA Spend in 2012 (in USD mn)]:[Total OOF Spend in 2012 (USD n)]])</f>
        <v>1154.9704235904981</v>
      </c>
      <c r="AA67" s="9" t="s">
        <v>2937</v>
      </c>
      <c r="AB67" s="6" t="s">
        <v>3028</v>
      </c>
      <c r="AC67" s="9" t="s">
        <v>2937</v>
      </c>
    </row>
    <row r="68" spans="1:29" ht="27" customHeight="1" x14ac:dyDescent="0.25">
      <c r="A68" s="177">
        <v>44002</v>
      </c>
      <c r="B68" s="4" t="s">
        <v>3244</v>
      </c>
      <c r="C68" s="4" t="s">
        <v>2707</v>
      </c>
      <c r="D68" s="5" t="s">
        <v>2931</v>
      </c>
      <c r="E68" s="5"/>
      <c r="F68" s="5"/>
      <c r="G68" s="5"/>
      <c r="H68" s="6"/>
      <c r="I68" s="6"/>
      <c r="J68" s="6"/>
      <c r="K68" s="6"/>
      <c r="L68" s="6" t="s">
        <v>3166</v>
      </c>
      <c r="M68" s="6" t="s">
        <v>3163</v>
      </c>
      <c r="N68" s="6" t="s">
        <v>2933</v>
      </c>
      <c r="O68" s="6" t="s">
        <v>2933</v>
      </c>
      <c r="P68" s="6" t="s">
        <v>2934</v>
      </c>
      <c r="Q68" s="6">
        <v>89</v>
      </c>
      <c r="R68" s="6" t="s">
        <v>3039</v>
      </c>
      <c r="S68" s="175">
        <v>39692</v>
      </c>
      <c r="T68" s="6"/>
      <c r="U68" s="6" t="s">
        <v>3179</v>
      </c>
      <c r="V68" s="6" t="s">
        <v>2922</v>
      </c>
      <c r="W68" s="6"/>
      <c r="X68" s="8">
        <v>12163.364455978917</v>
      </c>
      <c r="Y68" s="8"/>
      <c r="Z68" s="180">
        <f>SUM(Table1[[#This Row],[Total ODA Spend in 2012 (in USD mn)]:[Total OOF Spend in 2012 (USD n)]])</f>
        <v>12163.364455978917</v>
      </c>
      <c r="AA68" s="9" t="s">
        <v>2937</v>
      </c>
      <c r="AB68" s="6" t="s">
        <v>2983</v>
      </c>
      <c r="AC68" s="9" t="s">
        <v>2937</v>
      </c>
    </row>
    <row r="69" spans="1:29" ht="27" customHeight="1" x14ac:dyDescent="0.25">
      <c r="A69" s="179">
        <v>44004</v>
      </c>
      <c r="B69" s="12" t="s">
        <v>3245</v>
      </c>
      <c r="C69" s="12" t="s">
        <v>2503</v>
      </c>
      <c r="D69" s="13" t="s">
        <v>2931</v>
      </c>
      <c r="E69" s="13" t="s">
        <v>2912</v>
      </c>
      <c r="F69" s="13"/>
      <c r="G69" s="13"/>
      <c r="H69" s="14"/>
      <c r="I69" s="14"/>
      <c r="J69" s="14"/>
      <c r="K69" s="14"/>
      <c r="L69" s="14"/>
      <c r="M69" s="6" t="s">
        <v>3163</v>
      </c>
      <c r="N69" s="14"/>
      <c r="O69" s="14"/>
      <c r="P69" s="14"/>
      <c r="Q69" s="14"/>
      <c r="R69" s="14"/>
      <c r="S69" s="175"/>
      <c r="T69" s="14"/>
      <c r="U69" s="14" t="s">
        <v>3179</v>
      </c>
      <c r="V69" s="14" t="s">
        <v>2922</v>
      </c>
      <c r="W69" s="14"/>
      <c r="X69" s="15">
        <v>18000</v>
      </c>
      <c r="Y69" s="15"/>
      <c r="Z69" s="180">
        <f>SUM(Table1[[#This Row],[Total ODA Spend in 2012 (in USD mn)]:[Total OOF Spend in 2012 (USD n)]])</f>
        <v>18000</v>
      </c>
      <c r="AA69" s="16" t="s">
        <v>3026</v>
      </c>
      <c r="AB69" s="14" t="s">
        <v>3040</v>
      </c>
      <c r="AC69" s="16" t="s">
        <v>3026</v>
      </c>
    </row>
  </sheetData>
  <hyperlinks>
    <hyperlink ref="AA18" r:id="rId1"/>
    <hyperlink ref="AC18" r:id="rId2"/>
    <hyperlink ref="AA52" r:id="rId3"/>
    <hyperlink ref="AC52" r:id="rId4"/>
    <hyperlink ref="AA65" r:id="rId5"/>
    <hyperlink ref="AC65" r:id="rId6"/>
    <hyperlink ref="AA58" r:id="rId7"/>
    <hyperlink ref="AC58" r:id="rId8"/>
    <hyperlink ref="AA17" r:id="rId9"/>
    <hyperlink ref="AC17" r:id="rId10"/>
    <hyperlink ref="AC21" r:id="rId11"/>
    <hyperlink ref="AC12" r:id="rId12"/>
    <hyperlink ref="AC41" r:id="rId13"/>
    <hyperlink ref="AC42" r:id="rId14"/>
    <hyperlink ref="AC50" r:id="rId15"/>
    <hyperlink ref="AC64" r:id="rId16"/>
    <hyperlink ref="AA11" r:id="rId17"/>
    <hyperlink ref="AC10" r:id="rId18"/>
    <hyperlink ref="AC33" r:id="rId19"/>
    <hyperlink ref="AC8" r:id="rId20"/>
    <hyperlink ref="AC7" r:id="rId21"/>
    <hyperlink ref="AA19" r:id="rId22"/>
  </hyperlinks>
  <pageMargins left="0.7" right="0.7" top="0.75" bottom="0.75" header="0.3" footer="0.3"/>
  <tableParts count="1">
    <tablePart r:id="rId2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I126"/>
  <sheetViews>
    <sheetView workbookViewId="0">
      <selection activeCell="B1" sqref="B1"/>
    </sheetView>
  </sheetViews>
  <sheetFormatPr defaultRowHeight="15" x14ac:dyDescent="0.25"/>
  <cols>
    <col min="1" max="1" width="20.140625" customWidth="1"/>
    <col min="2" max="2" width="39.7109375" bestFit="1" customWidth="1"/>
    <col min="3" max="3" width="16" customWidth="1"/>
    <col min="4" max="4" width="17.42578125" customWidth="1"/>
    <col min="5" max="5" width="14.28515625" bestFit="1" customWidth="1"/>
    <col min="6" max="6" width="5.5703125" customWidth="1"/>
    <col min="7" max="7" width="10.28515625" bestFit="1" customWidth="1"/>
    <col min="8" max="8" width="9" customWidth="1"/>
    <col min="9" max="9" width="9.85546875" bestFit="1" customWidth="1"/>
    <col min="10" max="10" width="6.85546875" customWidth="1"/>
    <col min="11" max="11" width="3.7109375" customWidth="1"/>
    <col min="12" max="12" width="12.5703125" bestFit="1" customWidth="1"/>
    <col min="13" max="13" width="12.7109375" bestFit="1" customWidth="1"/>
    <col min="14" max="14" width="11.42578125" bestFit="1" customWidth="1"/>
    <col min="15" max="15" width="12" bestFit="1" customWidth="1"/>
    <col min="16" max="16" width="14.42578125" bestFit="1" customWidth="1"/>
    <col min="17" max="17" width="16.85546875" bestFit="1" customWidth="1"/>
    <col min="18" max="18" width="5.5703125" customWidth="1"/>
    <col min="19" max="19" width="18.140625" bestFit="1" customWidth="1"/>
    <col min="20" max="20" width="19.28515625" bestFit="1" customWidth="1"/>
    <col min="21" max="21" width="12.5703125" bestFit="1" customWidth="1"/>
    <col min="22" max="22" width="11.7109375" bestFit="1" customWidth="1"/>
    <col min="23" max="23" width="19" bestFit="1" customWidth="1"/>
    <col min="24" max="24" width="13.5703125" bestFit="1" customWidth="1"/>
    <col min="25" max="25" width="5.28515625" customWidth="1"/>
    <col min="26" max="26" width="4.42578125" customWidth="1"/>
    <col min="27" max="27" width="15.28515625" bestFit="1" customWidth="1"/>
    <col min="28" max="28" width="10" bestFit="1" customWidth="1"/>
    <col min="29" max="29" width="10.7109375" bestFit="1" customWidth="1"/>
    <col min="30" max="30" width="12.5703125" bestFit="1" customWidth="1"/>
    <col min="31" max="31" width="12.7109375" bestFit="1" customWidth="1"/>
    <col min="32" max="32" width="11.28515625" bestFit="1" customWidth="1"/>
    <col min="33" max="33" width="14.42578125" bestFit="1" customWidth="1"/>
    <col min="34" max="34" width="17.42578125" bestFit="1" customWidth="1"/>
    <col min="35" max="35" width="11.28515625" bestFit="1" customWidth="1"/>
    <col min="36" max="36" width="17.42578125" bestFit="1" customWidth="1"/>
    <col min="37" max="37" width="19" bestFit="1" customWidth="1"/>
    <col min="38" max="38" width="13.140625" bestFit="1" customWidth="1"/>
    <col min="39" max="39" width="12.28515625" bestFit="1" customWidth="1"/>
    <col min="40" max="40" width="13.28515625" bestFit="1" customWidth="1"/>
    <col min="41" max="41" width="14" bestFit="1" customWidth="1"/>
    <col min="42" max="42" width="14.7109375" bestFit="1" customWidth="1"/>
    <col min="43" max="43" width="13.85546875" bestFit="1" customWidth="1"/>
    <col min="44" max="44" width="12.140625" bestFit="1" customWidth="1"/>
    <col min="45" max="45" width="18" bestFit="1" customWidth="1"/>
    <col min="46" max="46" width="16" bestFit="1" customWidth="1"/>
    <col min="47" max="47" width="13.140625" bestFit="1" customWidth="1"/>
    <col min="48" max="48" width="9.7109375" bestFit="1" customWidth="1"/>
    <col min="49" max="49" width="12.28515625" bestFit="1" customWidth="1"/>
    <col min="50" max="50" width="10.140625" bestFit="1" customWidth="1"/>
    <col min="51" max="51" width="13.28515625" bestFit="1" customWidth="1"/>
    <col min="52" max="52" width="11.140625" bestFit="1" customWidth="1"/>
    <col min="53" max="53" width="8.7109375" customWidth="1"/>
    <col min="54" max="54" width="8.140625" customWidth="1"/>
    <col min="56" max="56" width="9.42578125" bestFit="1" customWidth="1"/>
    <col min="57" max="57" width="6.28515625" customWidth="1"/>
    <col min="58" max="58" width="7.5703125" customWidth="1"/>
    <col min="59" max="59" width="15.5703125" bestFit="1" customWidth="1"/>
    <col min="60" max="60" width="15.140625" bestFit="1" customWidth="1"/>
    <col min="61" max="61" width="11.28515625" bestFit="1" customWidth="1"/>
  </cols>
  <sheetData>
    <row r="1" spans="1:4" s="167" customFormat="1" ht="21" x14ac:dyDescent="0.35">
      <c r="A1" s="167" t="s">
        <v>3252</v>
      </c>
    </row>
    <row r="3" spans="1:4" x14ac:dyDescent="0.25">
      <c r="A3" s="23" t="s">
        <v>3042</v>
      </c>
      <c r="B3" s="24" t="s">
        <v>3044</v>
      </c>
      <c r="C3" s="99" t="s">
        <v>3045</v>
      </c>
      <c r="D3" s="99" t="s">
        <v>3098</v>
      </c>
    </row>
    <row r="4" spans="1:4" x14ac:dyDescent="0.25">
      <c r="A4" s="25" t="s">
        <v>1605</v>
      </c>
      <c r="B4" s="163">
        <v>90.637111812083049</v>
      </c>
      <c r="C4" s="26">
        <f t="shared" ref="C4:C35" si="0">RANK(B4,$B$4:$B$71,0)</f>
        <v>1</v>
      </c>
      <c r="D4" s="72" t="str">
        <f>IF(B4&gt;79.99,"Very good",IF(B4&gt;59.99,"Good",IF(B4&gt;39.99,"Fair",IF(B4&gt;19.99,"Poor","Very Poor"))))</f>
        <v>Very good</v>
      </c>
    </row>
    <row r="5" spans="1:4" x14ac:dyDescent="0.25">
      <c r="A5" s="25" t="s">
        <v>2543</v>
      </c>
      <c r="B5" s="163">
        <v>88.336740299014735</v>
      </c>
      <c r="C5" s="26">
        <f t="shared" si="0"/>
        <v>2</v>
      </c>
      <c r="D5" s="72" t="str">
        <f t="shared" ref="D5:D68" si="1">IF(B5&gt;79.99,"Very good",IF(B5&gt;59.99,"Good",IF(B5&gt;39.99,"Fair",IF(B5&gt;19.99,"Poor","Very Poor"))))</f>
        <v>Very good</v>
      </c>
    </row>
    <row r="6" spans="1:4" x14ac:dyDescent="0.25">
      <c r="A6" s="25" t="s">
        <v>2625</v>
      </c>
      <c r="B6" s="163">
        <v>86.894622379238967</v>
      </c>
      <c r="C6" s="26">
        <f t="shared" si="0"/>
        <v>3</v>
      </c>
      <c r="D6" s="72" t="str">
        <f t="shared" si="1"/>
        <v>Very good</v>
      </c>
    </row>
    <row r="7" spans="1:4" x14ac:dyDescent="0.25">
      <c r="A7" s="25" t="s">
        <v>1319</v>
      </c>
      <c r="B7" s="163">
        <v>86.745722206106777</v>
      </c>
      <c r="C7" s="26">
        <f t="shared" si="0"/>
        <v>4</v>
      </c>
      <c r="D7" s="72" t="str">
        <f t="shared" si="1"/>
        <v>Very good</v>
      </c>
    </row>
    <row r="8" spans="1:4" x14ac:dyDescent="0.25">
      <c r="A8" s="25" t="s">
        <v>2381</v>
      </c>
      <c r="B8" s="163">
        <v>83.842838162282519</v>
      </c>
      <c r="C8" s="26">
        <f t="shared" si="0"/>
        <v>5</v>
      </c>
      <c r="D8" s="72" t="str">
        <f t="shared" si="1"/>
        <v>Very good</v>
      </c>
    </row>
    <row r="9" spans="1:4" x14ac:dyDescent="0.25">
      <c r="A9" s="25" t="s">
        <v>1115</v>
      </c>
      <c r="B9" s="163">
        <v>83.274009759093047</v>
      </c>
      <c r="C9" s="26">
        <f t="shared" si="0"/>
        <v>6</v>
      </c>
      <c r="D9" s="72" t="str">
        <f t="shared" si="1"/>
        <v>Very good</v>
      </c>
    </row>
    <row r="10" spans="1:4" ht="15.75" thickBot="1" x14ac:dyDescent="0.3">
      <c r="A10" s="138" t="s">
        <v>2707</v>
      </c>
      <c r="B10" s="164">
        <v>82.268961451623738</v>
      </c>
      <c r="C10" s="139">
        <f t="shared" si="0"/>
        <v>7</v>
      </c>
      <c r="D10" s="140" t="str">
        <f t="shared" si="1"/>
        <v>Very good</v>
      </c>
    </row>
    <row r="11" spans="1:4" x14ac:dyDescent="0.25">
      <c r="A11" s="25" t="s">
        <v>2747</v>
      </c>
      <c r="B11" s="163">
        <v>74.51602883307369</v>
      </c>
      <c r="C11" s="136">
        <f t="shared" si="0"/>
        <v>8</v>
      </c>
      <c r="D11" s="137" t="str">
        <f t="shared" si="1"/>
        <v>Good</v>
      </c>
    </row>
    <row r="12" spans="1:4" x14ac:dyDescent="0.25">
      <c r="A12" s="25" t="s">
        <v>951</v>
      </c>
      <c r="B12" s="163">
        <v>73.917398103455028</v>
      </c>
      <c r="C12" s="26">
        <f t="shared" si="0"/>
        <v>9</v>
      </c>
      <c r="D12" s="72" t="str">
        <f t="shared" si="1"/>
        <v>Good</v>
      </c>
    </row>
    <row r="13" spans="1:4" x14ac:dyDescent="0.25">
      <c r="A13" s="25" t="s">
        <v>1238</v>
      </c>
      <c r="B13" s="163">
        <v>73.298105355600043</v>
      </c>
      <c r="C13" s="26">
        <f t="shared" si="0"/>
        <v>10</v>
      </c>
      <c r="D13" s="72" t="str">
        <f t="shared" si="1"/>
        <v>Good</v>
      </c>
    </row>
    <row r="14" spans="1:4" x14ac:dyDescent="0.25">
      <c r="A14" s="25" t="s">
        <v>910</v>
      </c>
      <c r="B14" s="163">
        <v>71.671348938086496</v>
      </c>
      <c r="C14" s="26">
        <f t="shared" si="0"/>
        <v>11</v>
      </c>
      <c r="D14" s="72" t="str">
        <f t="shared" si="1"/>
        <v>Good</v>
      </c>
    </row>
    <row r="15" spans="1:4" x14ac:dyDescent="0.25">
      <c r="A15" s="25" t="s">
        <v>2217</v>
      </c>
      <c r="B15" s="163">
        <v>69.076054883904291</v>
      </c>
      <c r="C15" s="26">
        <f t="shared" si="0"/>
        <v>12</v>
      </c>
      <c r="D15" s="72" t="str">
        <f t="shared" si="1"/>
        <v>Good</v>
      </c>
    </row>
    <row r="16" spans="1:4" x14ac:dyDescent="0.25">
      <c r="A16" s="25" t="s">
        <v>868</v>
      </c>
      <c r="B16" s="163">
        <v>68.230851769636672</v>
      </c>
      <c r="C16" s="26">
        <f t="shared" si="0"/>
        <v>13</v>
      </c>
      <c r="D16" s="72" t="str">
        <f t="shared" si="1"/>
        <v>Good</v>
      </c>
    </row>
    <row r="17" spans="1:4" x14ac:dyDescent="0.25">
      <c r="A17" s="25" t="s">
        <v>2095</v>
      </c>
      <c r="B17" s="163">
        <v>64.648942945170745</v>
      </c>
      <c r="C17" s="26">
        <f t="shared" si="0"/>
        <v>14</v>
      </c>
      <c r="D17" s="72" t="str">
        <f t="shared" si="1"/>
        <v>Good</v>
      </c>
    </row>
    <row r="18" spans="1:4" ht="15.75" thickBot="1" x14ac:dyDescent="0.3">
      <c r="A18" s="138" t="s">
        <v>1482</v>
      </c>
      <c r="B18" s="164">
        <v>61.767921206882917</v>
      </c>
      <c r="C18" s="139">
        <f t="shared" si="0"/>
        <v>15</v>
      </c>
      <c r="D18" s="140" t="str">
        <f t="shared" si="1"/>
        <v>Good</v>
      </c>
    </row>
    <row r="19" spans="1:4" x14ac:dyDescent="0.25">
      <c r="A19" s="25" t="s">
        <v>1685</v>
      </c>
      <c r="B19" s="163">
        <v>59.913796849686776</v>
      </c>
      <c r="C19" s="136">
        <f t="shared" si="0"/>
        <v>16</v>
      </c>
      <c r="D19" s="137" t="str">
        <f t="shared" si="1"/>
        <v>Fair</v>
      </c>
    </row>
    <row r="20" spans="1:4" x14ac:dyDescent="0.25">
      <c r="A20" s="25" t="s">
        <v>2421</v>
      </c>
      <c r="B20" s="163">
        <v>53.922389450033187</v>
      </c>
      <c r="C20" s="26">
        <f t="shared" si="0"/>
        <v>17</v>
      </c>
      <c r="D20" s="72" t="str">
        <f t="shared" si="1"/>
        <v>Fair</v>
      </c>
    </row>
    <row r="21" spans="1:4" x14ac:dyDescent="0.25">
      <c r="A21" s="25" t="s">
        <v>1197</v>
      </c>
      <c r="B21" s="163">
        <v>53.780289086474419</v>
      </c>
      <c r="C21" s="26">
        <f t="shared" si="0"/>
        <v>18</v>
      </c>
      <c r="D21" s="72" t="str">
        <f t="shared" si="1"/>
        <v>Fair</v>
      </c>
    </row>
    <row r="22" spans="1:4" x14ac:dyDescent="0.25">
      <c r="A22" s="25" t="s">
        <v>1767</v>
      </c>
      <c r="B22" s="163">
        <v>53.764271701626981</v>
      </c>
      <c r="C22" s="26">
        <f t="shared" si="0"/>
        <v>19</v>
      </c>
      <c r="D22" s="72" t="str">
        <f t="shared" si="1"/>
        <v>Fair</v>
      </c>
    </row>
    <row r="23" spans="1:4" x14ac:dyDescent="0.25">
      <c r="A23" s="25" t="s">
        <v>2462</v>
      </c>
      <c r="B23" s="163">
        <v>50.824189529418135</v>
      </c>
      <c r="C23" s="26">
        <f t="shared" si="0"/>
        <v>20</v>
      </c>
      <c r="D23" s="72" t="str">
        <f t="shared" si="1"/>
        <v>Fair</v>
      </c>
    </row>
    <row r="24" spans="1:4" x14ac:dyDescent="0.25">
      <c r="A24" s="25" t="s">
        <v>1890</v>
      </c>
      <c r="B24" s="163">
        <v>50.598212522694539</v>
      </c>
      <c r="C24" s="26">
        <f t="shared" si="0"/>
        <v>21</v>
      </c>
      <c r="D24" s="72" t="str">
        <f t="shared" si="1"/>
        <v>Fair</v>
      </c>
    </row>
    <row r="25" spans="1:4" x14ac:dyDescent="0.25">
      <c r="A25" s="25" t="s">
        <v>2787</v>
      </c>
      <c r="B25" s="163">
        <v>49.639004137678008</v>
      </c>
      <c r="C25" s="26">
        <f t="shared" si="0"/>
        <v>22</v>
      </c>
      <c r="D25" s="72" t="str">
        <f t="shared" si="1"/>
        <v>Fair</v>
      </c>
    </row>
    <row r="26" spans="1:4" x14ac:dyDescent="0.25">
      <c r="A26" s="25" t="s">
        <v>1073</v>
      </c>
      <c r="B26" s="163">
        <v>46.551687042519696</v>
      </c>
      <c r="C26" s="26">
        <f t="shared" si="0"/>
        <v>23</v>
      </c>
      <c r="D26" s="72" t="str">
        <f t="shared" si="1"/>
        <v>Fair</v>
      </c>
    </row>
    <row r="27" spans="1:4" x14ac:dyDescent="0.25">
      <c r="A27" s="25" t="s">
        <v>991</v>
      </c>
      <c r="B27" s="163">
        <v>46.272840186650129</v>
      </c>
      <c r="C27" s="26">
        <f t="shared" si="0"/>
        <v>24</v>
      </c>
      <c r="D27" s="72" t="str">
        <f t="shared" si="1"/>
        <v>Fair</v>
      </c>
    </row>
    <row r="28" spans="1:4" x14ac:dyDescent="0.25">
      <c r="A28" s="25" t="s">
        <v>2299</v>
      </c>
      <c r="B28" s="163">
        <v>45.912189861504473</v>
      </c>
      <c r="C28" s="26">
        <f t="shared" si="0"/>
        <v>25</v>
      </c>
      <c r="D28" s="72" t="str">
        <f t="shared" si="1"/>
        <v>Fair</v>
      </c>
    </row>
    <row r="29" spans="1:4" x14ac:dyDescent="0.25">
      <c r="A29" s="25" t="s">
        <v>1523</v>
      </c>
      <c r="B29" s="163">
        <v>45.12154717964065</v>
      </c>
      <c r="C29" s="26">
        <f t="shared" si="0"/>
        <v>26</v>
      </c>
      <c r="D29" s="72" t="str">
        <f t="shared" si="1"/>
        <v>Fair</v>
      </c>
    </row>
    <row r="30" spans="1:4" x14ac:dyDescent="0.25">
      <c r="A30" s="25" t="s">
        <v>1441</v>
      </c>
      <c r="B30" s="163">
        <v>42.468069724950233</v>
      </c>
      <c r="C30" s="26">
        <f t="shared" si="0"/>
        <v>27</v>
      </c>
      <c r="D30" s="72" t="str">
        <f t="shared" si="1"/>
        <v>Fair</v>
      </c>
    </row>
    <row r="31" spans="1:4" x14ac:dyDescent="0.25">
      <c r="A31" s="165" t="s">
        <v>3188</v>
      </c>
      <c r="B31" s="163">
        <v>42.402737318470088</v>
      </c>
      <c r="C31" s="26">
        <f t="shared" si="0"/>
        <v>28</v>
      </c>
      <c r="D31" s="72" t="str">
        <f t="shared" si="1"/>
        <v>Fair</v>
      </c>
    </row>
    <row r="32" spans="1:4" x14ac:dyDescent="0.25">
      <c r="A32" s="25" t="s">
        <v>1032</v>
      </c>
      <c r="B32" s="163">
        <v>41.297011839690136</v>
      </c>
      <c r="C32" s="26">
        <f t="shared" si="0"/>
        <v>29</v>
      </c>
      <c r="D32" s="72" t="str">
        <f t="shared" si="1"/>
        <v>Fair</v>
      </c>
    </row>
    <row r="33" spans="1:4" x14ac:dyDescent="0.25">
      <c r="A33" s="25" t="s">
        <v>2054</v>
      </c>
      <c r="B33" s="163">
        <v>40.666519451891098</v>
      </c>
      <c r="C33" s="26">
        <f t="shared" si="0"/>
        <v>30</v>
      </c>
      <c r="D33" s="72" t="str">
        <f t="shared" si="1"/>
        <v>Fair</v>
      </c>
    </row>
    <row r="34" spans="1:4" ht="15.75" thickBot="1" x14ac:dyDescent="0.3">
      <c r="A34" s="138" t="s">
        <v>1278</v>
      </c>
      <c r="B34" s="164">
        <v>40.312333617246189</v>
      </c>
      <c r="C34" s="139">
        <f t="shared" si="0"/>
        <v>31</v>
      </c>
      <c r="D34" s="140" t="str">
        <f t="shared" si="1"/>
        <v>Fair</v>
      </c>
    </row>
    <row r="35" spans="1:4" x14ac:dyDescent="0.25">
      <c r="A35" s="25" t="s">
        <v>1400</v>
      </c>
      <c r="B35" s="163">
        <v>38.802452131578917</v>
      </c>
      <c r="C35" s="136">
        <f t="shared" si="0"/>
        <v>32</v>
      </c>
      <c r="D35" s="137" t="str">
        <f t="shared" si="1"/>
        <v>Poor</v>
      </c>
    </row>
    <row r="36" spans="1:4" x14ac:dyDescent="0.25">
      <c r="A36" s="25" t="s">
        <v>539</v>
      </c>
      <c r="B36" s="163">
        <v>37.214129285714243</v>
      </c>
      <c r="C36" s="26">
        <f t="shared" ref="C36:C67" si="2">RANK(B36,$B$4:$B$71,0)</f>
        <v>33</v>
      </c>
      <c r="D36" s="72" t="str">
        <f t="shared" si="1"/>
        <v>Poor</v>
      </c>
    </row>
    <row r="37" spans="1:4" x14ac:dyDescent="0.25">
      <c r="A37" s="25" t="s">
        <v>622</v>
      </c>
      <c r="B37" s="163">
        <v>36.894750999999985</v>
      </c>
      <c r="C37" s="26">
        <f t="shared" si="2"/>
        <v>34</v>
      </c>
      <c r="D37" s="72" t="str">
        <f t="shared" si="1"/>
        <v>Poor</v>
      </c>
    </row>
    <row r="38" spans="1:4" x14ac:dyDescent="0.25">
      <c r="A38" s="25" t="s">
        <v>1359</v>
      </c>
      <c r="B38" s="163">
        <v>35.797104351262803</v>
      </c>
      <c r="C38" s="26">
        <f t="shared" si="2"/>
        <v>35</v>
      </c>
      <c r="D38" s="72" t="str">
        <f t="shared" si="1"/>
        <v>Poor</v>
      </c>
    </row>
    <row r="39" spans="1:4" x14ac:dyDescent="0.25">
      <c r="A39" s="25" t="s">
        <v>2584</v>
      </c>
      <c r="B39" s="163">
        <v>34.8284995</v>
      </c>
      <c r="C39" s="26">
        <f t="shared" si="2"/>
        <v>36</v>
      </c>
      <c r="D39" s="72" t="str">
        <f t="shared" si="1"/>
        <v>Poor</v>
      </c>
    </row>
    <row r="40" spans="1:4" x14ac:dyDescent="0.25">
      <c r="A40" s="25" t="s">
        <v>499</v>
      </c>
      <c r="B40" s="163">
        <v>31.595881999999996</v>
      </c>
      <c r="C40" s="26">
        <f t="shared" si="2"/>
        <v>37</v>
      </c>
      <c r="D40" s="72" t="str">
        <f t="shared" si="1"/>
        <v>Poor</v>
      </c>
    </row>
    <row r="41" spans="1:4" x14ac:dyDescent="0.25">
      <c r="A41" s="25" t="s">
        <v>2666</v>
      </c>
      <c r="B41" s="163">
        <v>30.756310119433174</v>
      </c>
      <c r="C41" s="26">
        <f t="shared" si="2"/>
        <v>38</v>
      </c>
      <c r="D41" s="72" t="str">
        <f t="shared" si="1"/>
        <v>Poor</v>
      </c>
    </row>
    <row r="42" spans="1:4" x14ac:dyDescent="0.25">
      <c r="A42" s="25" t="s">
        <v>2503</v>
      </c>
      <c r="B42" s="163">
        <v>30.617910000000002</v>
      </c>
      <c r="C42" s="26">
        <f t="shared" si="2"/>
        <v>39</v>
      </c>
      <c r="D42" s="72" t="str">
        <f t="shared" si="1"/>
        <v>Poor</v>
      </c>
    </row>
    <row r="43" spans="1:4" x14ac:dyDescent="0.25">
      <c r="A43" s="25" t="s">
        <v>214</v>
      </c>
      <c r="B43" s="163">
        <v>29.489809999999995</v>
      </c>
      <c r="C43" s="26">
        <f t="shared" si="2"/>
        <v>40</v>
      </c>
      <c r="D43" s="72" t="str">
        <f t="shared" si="1"/>
        <v>Poor</v>
      </c>
    </row>
    <row r="44" spans="1:4" x14ac:dyDescent="0.25">
      <c r="A44" s="25" t="s">
        <v>335</v>
      </c>
      <c r="B44" s="163">
        <v>28.231219999999993</v>
      </c>
      <c r="C44" s="26">
        <f t="shared" si="2"/>
        <v>41</v>
      </c>
      <c r="D44" s="72" t="str">
        <f t="shared" si="1"/>
        <v>Poor</v>
      </c>
    </row>
    <row r="45" spans="1:4" x14ac:dyDescent="0.25">
      <c r="A45" s="25" t="s">
        <v>1726</v>
      </c>
      <c r="B45" s="163">
        <v>27.648543999999998</v>
      </c>
      <c r="C45" s="26">
        <f t="shared" si="2"/>
        <v>42</v>
      </c>
      <c r="D45" s="72" t="str">
        <f t="shared" si="1"/>
        <v>Poor</v>
      </c>
    </row>
    <row r="46" spans="1:4" x14ac:dyDescent="0.25">
      <c r="A46" s="25" t="s">
        <v>704</v>
      </c>
      <c r="B46" s="163">
        <v>26.544537499999997</v>
      </c>
      <c r="C46" s="26">
        <f t="shared" si="2"/>
        <v>43</v>
      </c>
      <c r="D46" s="72" t="str">
        <f t="shared" si="1"/>
        <v>Poor</v>
      </c>
    </row>
    <row r="47" spans="1:4" x14ac:dyDescent="0.25">
      <c r="A47" s="25" t="s">
        <v>2135</v>
      </c>
      <c r="B47" s="163">
        <v>24.667978499999986</v>
      </c>
      <c r="C47" s="26">
        <f t="shared" si="2"/>
        <v>44</v>
      </c>
      <c r="D47" s="72" t="str">
        <f t="shared" si="1"/>
        <v>Poor</v>
      </c>
    </row>
    <row r="48" spans="1:4" x14ac:dyDescent="0.25">
      <c r="A48" s="25" t="s">
        <v>295</v>
      </c>
      <c r="B48" s="163">
        <v>24.577408999999996</v>
      </c>
      <c r="C48" s="26">
        <f t="shared" si="2"/>
        <v>45</v>
      </c>
      <c r="D48" s="72" t="str">
        <f t="shared" si="1"/>
        <v>Poor</v>
      </c>
    </row>
    <row r="49" spans="1:4" ht="15.75" thickBot="1" x14ac:dyDescent="0.3">
      <c r="A49" s="138" t="s">
        <v>255</v>
      </c>
      <c r="B49" s="164">
        <v>24.502645999999995</v>
      </c>
      <c r="C49" s="139">
        <f t="shared" si="2"/>
        <v>46</v>
      </c>
      <c r="D49" s="140" t="str">
        <f t="shared" si="1"/>
        <v>Poor</v>
      </c>
    </row>
    <row r="50" spans="1:4" x14ac:dyDescent="0.25">
      <c r="A50" s="25" t="s">
        <v>28</v>
      </c>
      <c r="B50" s="163">
        <v>19.072684999999986</v>
      </c>
      <c r="C50" s="136">
        <f t="shared" si="2"/>
        <v>47</v>
      </c>
      <c r="D50" s="137" t="str">
        <f t="shared" si="1"/>
        <v>Very Poor</v>
      </c>
    </row>
    <row r="51" spans="1:4" x14ac:dyDescent="0.25">
      <c r="A51" s="25" t="s">
        <v>663</v>
      </c>
      <c r="B51" s="163">
        <v>19.032905999999997</v>
      </c>
      <c r="C51" s="26">
        <f t="shared" si="2"/>
        <v>48</v>
      </c>
      <c r="D51" s="72" t="str">
        <f t="shared" si="1"/>
        <v>Very Poor</v>
      </c>
    </row>
    <row r="52" spans="1:4" x14ac:dyDescent="0.25">
      <c r="A52" s="25" t="s">
        <v>1931</v>
      </c>
      <c r="B52" s="163">
        <v>18.846488999999988</v>
      </c>
      <c r="C52" s="26">
        <f t="shared" si="2"/>
        <v>49</v>
      </c>
      <c r="D52" s="72" t="str">
        <f t="shared" si="1"/>
        <v>Very Poor</v>
      </c>
    </row>
    <row r="53" spans="1:4" x14ac:dyDescent="0.25">
      <c r="A53" s="25" t="s">
        <v>1808</v>
      </c>
      <c r="B53" s="163">
        <v>18.812663999999987</v>
      </c>
      <c r="C53" s="26">
        <f t="shared" si="2"/>
        <v>50</v>
      </c>
      <c r="D53" s="72" t="str">
        <f t="shared" si="1"/>
        <v>Very Poor</v>
      </c>
    </row>
    <row r="54" spans="1:4" x14ac:dyDescent="0.25">
      <c r="A54" s="25" t="s">
        <v>786</v>
      </c>
      <c r="B54" s="163">
        <v>18.250666999999986</v>
      </c>
      <c r="C54" s="26">
        <f t="shared" si="2"/>
        <v>51</v>
      </c>
      <c r="D54" s="72" t="str">
        <f t="shared" si="1"/>
        <v>Very Poor</v>
      </c>
    </row>
    <row r="55" spans="1:4" x14ac:dyDescent="0.25">
      <c r="A55" s="25" t="s">
        <v>827</v>
      </c>
      <c r="B55" s="163">
        <v>17.784162999999985</v>
      </c>
      <c r="C55" s="26">
        <f t="shared" si="2"/>
        <v>52</v>
      </c>
      <c r="D55" s="72" t="str">
        <f t="shared" si="1"/>
        <v>Very Poor</v>
      </c>
    </row>
    <row r="56" spans="1:4" x14ac:dyDescent="0.25">
      <c r="A56" s="25" t="s">
        <v>581</v>
      </c>
      <c r="B56" s="163">
        <v>17.012573999999987</v>
      </c>
      <c r="C56" s="26">
        <f t="shared" si="2"/>
        <v>53</v>
      </c>
      <c r="D56" s="72" t="str">
        <f t="shared" si="1"/>
        <v>Very Poor</v>
      </c>
    </row>
    <row r="57" spans="1:4" x14ac:dyDescent="0.25">
      <c r="A57" s="25" t="s">
        <v>2340</v>
      </c>
      <c r="B57" s="163">
        <v>15.646043999999986</v>
      </c>
      <c r="C57" s="26">
        <f t="shared" si="2"/>
        <v>54</v>
      </c>
      <c r="D57" s="72" t="str">
        <f t="shared" si="1"/>
        <v>Very Poor</v>
      </c>
    </row>
    <row r="58" spans="1:4" x14ac:dyDescent="0.25">
      <c r="A58" s="25" t="s">
        <v>1564</v>
      </c>
      <c r="B58" s="163">
        <v>14.359405999999987</v>
      </c>
      <c r="C58" s="26">
        <f t="shared" si="2"/>
        <v>55</v>
      </c>
      <c r="D58" s="72" t="str">
        <f t="shared" si="1"/>
        <v>Very Poor</v>
      </c>
    </row>
    <row r="59" spans="1:4" x14ac:dyDescent="0.25">
      <c r="A59" s="25" t="s">
        <v>173</v>
      </c>
      <c r="B59" s="163">
        <v>11.814868499999999</v>
      </c>
      <c r="C59" s="26">
        <f t="shared" si="2"/>
        <v>56</v>
      </c>
      <c r="D59" s="72" t="str">
        <f t="shared" si="1"/>
        <v>Very Poor</v>
      </c>
    </row>
    <row r="60" spans="1:4" x14ac:dyDescent="0.25">
      <c r="A60" s="25" t="s">
        <v>745</v>
      </c>
      <c r="B60" s="163">
        <v>10.551111499999996</v>
      </c>
      <c r="C60" s="26">
        <f t="shared" si="2"/>
        <v>57</v>
      </c>
      <c r="D60" s="72" t="str">
        <f t="shared" si="1"/>
        <v>Very Poor</v>
      </c>
    </row>
    <row r="61" spans="1:4" x14ac:dyDescent="0.25">
      <c r="A61" s="25" t="s">
        <v>376</v>
      </c>
      <c r="B61" s="163">
        <v>10.3011585</v>
      </c>
      <c r="C61" s="26">
        <f t="shared" si="2"/>
        <v>58</v>
      </c>
      <c r="D61" s="72" t="str">
        <f t="shared" si="1"/>
        <v>Very Poor</v>
      </c>
    </row>
    <row r="62" spans="1:4" x14ac:dyDescent="0.25">
      <c r="A62" s="25" t="s">
        <v>1156</v>
      </c>
      <c r="B62" s="163">
        <v>9.6461599999999983</v>
      </c>
      <c r="C62" s="26">
        <f t="shared" si="2"/>
        <v>59</v>
      </c>
      <c r="D62" s="72" t="str">
        <f t="shared" si="1"/>
        <v>Very Poor</v>
      </c>
    </row>
    <row r="63" spans="1:4" x14ac:dyDescent="0.25">
      <c r="A63" s="25" t="s">
        <v>2176</v>
      </c>
      <c r="B63" s="163">
        <v>9.6282870000000003</v>
      </c>
      <c r="C63" s="26">
        <f t="shared" si="2"/>
        <v>60</v>
      </c>
      <c r="D63" s="72" t="str">
        <f t="shared" si="1"/>
        <v>Very Poor</v>
      </c>
    </row>
    <row r="64" spans="1:4" x14ac:dyDescent="0.25">
      <c r="A64" s="165" t="s">
        <v>2989</v>
      </c>
      <c r="B64" s="163">
        <v>9.1154984999999993</v>
      </c>
      <c r="C64" s="26">
        <f t="shared" si="2"/>
        <v>61</v>
      </c>
      <c r="D64" s="72" t="str">
        <f t="shared" si="1"/>
        <v>Very Poor</v>
      </c>
    </row>
    <row r="65" spans="1:4" x14ac:dyDescent="0.25">
      <c r="A65" s="25" t="s">
        <v>458</v>
      </c>
      <c r="B65" s="163">
        <v>8.3047779999999989</v>
      </c>
      <c r="C65" s="26">
        <f t="shared" si="2"/>
        <v>62</v>
      </c>
      <c r="D65" s="72" t="str">
        <f t="shared" si="1"/>
        <v>Very Poor</v>
      </c>
    </row>
    <row r="66" spans="1:4" x14ac:dyDescent="0.25">
      <c r="A66" s="25" t="s">
        <v>1849</v>
      </c>
      <c r="B66" s="163">
        <v>8.1649999999999991</v>
      </c>
      <c r="C66" s="26">
        <f t="shared" si="2"/>
        <v>63</v>
      </c>
      <c r="D66" s="72" t="str">
        <f t="shared" si="1"/>
        <v>Very Poor</v>
      </c>
    </row>
    <row r="67" spans="1:4" x14ac:dyDescent="0.25">
      <c r="A67" s="25" t="s">
        <v>2258</v>
      </c>
      <c r="B67" s="163">
        <v>6.5897159999999975</v>
      </c>
      <c r="C67" s="26">
        <f t="shared" si="2"/>
        <v>64</v>
      </c>
      <c r="D67" s="72" t="str">
        <f t="shared" si="1"/>
        <v>Very Poor</v>
      </c>
    </row>
    <row r="68" spans="1:4" x14ac:dyDescent="0.25">
      <c r="A68" s="25" t="s">
        <v>2013</v>
      </c>
      <c r="B68" s="163">
        <v>6.5130569999999999</v>
      </c>
      <c r="C68" s="26">
        <f t="shared" ref="C68:C71" si="3">RANK(B68,$B$4:$B$71,0)</f>
        <v>65</v>
      </c>
      <c r="D68" s="72" t="str">
        <f t="shared" si="1"/>
        <v>Very Poor</v>
      </c>
    </row>
    <row r="69" spans="1:4" x14ac:dyDescent="0.25">
      <c r="A69" s="25" t="s">
        <v>1972</v>
      </c>
      <c r="B69" s="163">
        <v>5.909658999999988</v>
      </c>
      <c r="C69" s="26">
        <f t="shared" si="3"/>
        <v>66</v>
      </c>
      <c r="D69" s="72" t="str">
        <f t="shared" ref="D69:D71" si="4">IF(B69&gt;79.99,"Very good",IF(B69&gt;59.99,"Good",IF(B69&gt;39.99,"Fair",IF(B69&gt;19.99,"Poor","Very Poor"))))</f>
        <v>Very Poor</v>
      </c>
    </row>
    <row r="70" spans="1:4" x14ac:dyDescent="0.25">
      <c r="A70" s="25" t="s">
        <v>417</v>
      </c>
      <c r="B70" s="163">
        <v>4.7197779999999998</v>
      </c>
      <c r="C70" s="26">
        <f t="shared" si="3"/>
        <v>67</v>
      </c>
      <c r="D70" s="72" t="str">
        <f t="shared" si="4"/>
        <v>Very Poor</v>
      </c>
    </row>
    <row r="71" spans="1:4" x14ac:dyDescent="0.25">
      <c r="A71" s="25" t="s">
        <v>2869</v>
      </c>
      <c r="B71" s="163">
        <v>2.2197779999999998</v>
      </c>
      <c r="C71" s="26">
        <f t="shared" si="3"/>
        <v>68</v>
      </c>
      <c r="D71" s="72" t="str">
        <f t="shared" si="4"/>
        <v>Very Poor</v>
      </c>
    </row>
    <row r="72" spans="1:4" x14ac:dyDescent="0.25">
      <c r="A72" s="92" t="s">
        <v>3095</v>
      </c>
      <c r="B72" s="160">
        <f>SUBTOTAL(1,B4:B71)</f>
        <v>38.92704969107966</v>
      </c>
      <c r="C72" s="94"/>
      <c r="D72" s="94"/>
    </row>
    <row r="73" spans="1:4" x14ac:dyDescent="0.25">
      <c r="B73" s="44"/>
    </row>
    <row r="79" spans="1:4" x14ac:dyDescent="0.25">
      <c r="C79" s="44"/>
    </row>
    <row r="119" spans="9:9" x14ac:dyDescent="0.25">
      <c r="I119" s="30"/>
    </row>
    <row r="120" spans="9:9" x14ac:dyDescent="0.25">
      <c r="I120" s="30"/>
    </row>
    <row r="121" spans="9:9" x14ac:dyDescent="0.25">
      <c r="I121" s="30"/>
    </row>
    <row r="122" spans="9:9" x14ac:dyDescent="0.25">
      <c r="I122" s="30"/>
    </row>
    <row r="123" spans="9:9" x14ac:dyDescent="0.25">
      <c r="I123" s="30"/>
    </row>
    <row r="124" spans="9:9" x14ac:dyDescent="0.25">
      <c r="I124" s="30"/>
    </row>
    <row r="125" spans="9:9" x14ac:dyDescent="0.25">
      <c r="I125" s="30"/>
    </row>
    <row r="126" spans="9:9" x14ac:dyDescent="0.25">
      <c r="I126" s="30"/>
    </row>
  </sheetData>
  <autoFilter ref="A3:D71"/>
  <pageMargins left="0.7" right="0.7" top="0.75" bottom="0.75" header="0.3" footer="0.3"/>
  <pageSetup paperSize="9" orientation="portrait"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K28"/>
  <sheetViews>
    <sheetView workbookViewId="0">
      <selection activeCell="L9" sqref="L9"/>
    </sheetView>
  </sheetViews>
  <sheetFormatPr defaultRowHeight="15" x14ac:dyDescent="0.25"/>
  <cols>
    <col min="1" max="1" width="19.140625" bestFit="1" customWidth="1"/>
    <col min="2" max="2" width="11.140625" customWidth="1"/>
    <col min="3" max="3" width="15.7109375" bestFit="1" customWidth="1"/>
    <col min="4" max="4" width="12.5703125" customWidth="1"/>
    <col min="5" max="5" width="18.85546875" bestFit="1" customWidth="1"/>
    <col min="6" max="6" width="9.7109375" customWidth="1"/>
    <col min="7" max="7" width="20.140625" bestFit="1" customWidth="1"/>
    <col min="8" max="8" width="10.28515625" customWidth="1"/>
    <col min="9" max="9" width="16.85546875" customWidth="1"/>
    <col min="10" max="10" width="13.5703125" customWidth="1"/>
  </cols>
  <sheetData>
    <row r="1" spans="1:10" s="167" customFormat="1" ht="21" x14ac:dyDescent="0.35">
      <c r="A1" s="167" t="s">
        <v>3253</v>
      </c>
    </row>
    <row r="2" spans="1:10" ht="15.75" thickBot="1" x14ac:dyDescent="0.3"/>
    <row r="3" spans="1:10" ht="21.75" thickBot="1" x14ac:dyDescent="0.4">
      <c r="A3" s="198" t="s">
        <v>3049</v>
      </c>
      <c r="B3" s="199"/>
      <c r="C3" s="194" t="s">
        <v>3050</v>
      </c>
      <c r="D3" s="195"/>
      <c r="E3" s="190" t="s">
        <v>3051</v>
      </c>
      <c r="F3" s="191"/>
      <c r="G3" s="186" t="s">
        <v>3052</v>
      </c>
      <c r="H3" s="187"/>
      <c r="I3" s="182" t="s">
        <v>3053</v>
      </c>
      <c r="J3" s="183"/>
    </row>
    <row r="4" spans="1:10" ht="15.75" thickBot="1" x14ac:dyDescent="0.3">
      <c r="A4" s="200" t="s">
        <v>3054</v>
      </c>
      <c r="B4" s="201"/>
      <c r="C4" s="196" t="s">
        <v>3055</v>
      </c>
      <c r="D4" s="197"/>
      <c r="E4" s="192" t="s">
        <v>3056</v>
      </c>
      <c r="F4" s="193"/>
      <c r="G4" s="188" t="s">
        <v>3057</v>
      </c>
      <c r="H4" s="189"/>
      <c r="I4" s="184" t="s">
        <v>3058</v>
      </c>
      <c r="J4" s="185"/>
    </row>
    <row r="5" spans="1:10" x14ac:dyDescent="0.25">
      <c r="A5" s="202" t="s">
        <v>1605</v>
      </c>
      <c r="B5" s="203">
        <f>VLOOKUP(A5,'Overall scores and ranking'!$A$4:$B$71,2,FALSE)</f>
        <v>90.637111812083049</v>
      </c>
      <c r="C5" s="204" t="s">
        <v>2747</v>
      </c>
      <c r="D5" s="205">
        <f>VLOOKUP(C5,'Overall scores and ranking'!$A$4:$B$71,2,FALSE)</f>
        <v>74.51602883307369</v>
      </c>
      <c r="E5" s="206" t="s">
        <v>1685</v>
      </c>
      <c r="F5" s="207">
        <f>VLOOKUP(E5,'Overall scores and ranking'!$A$4:$B$71,2,FALSE)</f>
        <v>59.913796849686776</v>
      </c>
      <c r="G5" s="208" t="s">
        <v>1400</v>
      </c>
      <c r="H5" s="209">
        <f>VLOOKUP(G5,'Overall scores and ranking'!$A$4:$B$71,2,FALSE)</f>
        <v>38.802452131578917</v>
      </c>
      <c r="I5" s="210" t="s">
        <v>28</v>
      </c>
      <c r="J5" s="211">
        <f>VLOOKUP(I5,'Overall scores and ranking'!$A$4:$B$71,2,FALSE)</f>
        <v>19.072684999999986</v>
      </c>
    </row>
    <row r="6" spans="1:10" x14ac:dyDescent="0.25">
      <c r="A6" s="202" t="s">
        <v>2543</v>
      </c>
      <c r="B6" s="203">
        <f>VLOOKUP(A6,'Overall scores and ranking'!$A$4:$B$71,2,FALSE)</f>
        <v>88.336740299014735</v>
      </c>
      <c r="C6" s="204" t="s">
        <v>951</v>
      </c>
      <c r="D6" s="205">
        <f>VLOOKUP(C6,'Overall scores and ranking'!$A$4:$B$71,2,FALSE)</f>
        <v>73.917398103455028</v>
      </c>
      <c r="E6" s="212" t="s">
        <v>2421</v>
      </c>
      <c r="F6" s="207">
        <f>VLOOKUP(E6,'Overall scores and ranking'!$A$4:$B$71,2,FALSE)</f>
        <v>53.922389450033187</v>
      </c>
      <c r="G6" s="208" t="s">
        <v>539</v>
      </c>
      <c r="H6" s="209">
        <f>VLOOKUP(G6,'Overall scores and ranking'!$A$4:$B$71,2,FALSE)</f>
        <v>37.214129285714243</v>
      </c>
      <c r="I6" s="210" t="s">
        <v>663</v>
      </c>
      <c r="J6" s="211">
        <f>VLOOKUP(I6,'Overall scores and ranking'!$A$4:$B$71,2,FALSE)</f>
        <v>19.032905999999997</v>
      </c>
    </row>
    <row r="7" spans="1:10" x14ac:dyDescent="0.25">
      <c r="A7" s="202" t="s">
        <v>2625</v>
      </c>
      <c r="B7" s="203">
        <f>VLOOKUP(A7,'Overall scores and ranking'!$A$4:$B$71,2,FALSE)</f>
        <v>86.894622379238967</v>
      </c>
      <c r="C7" s="204" t="s">
        <v>1238</v>
      </c>
      <c r="D7" s="205">
        <f>VLOOKUP(C7,'Overall scores and ranking'!$A$4:$B$71,2,FALSE)</f>
        <v>73.298105355600043</v>
      </c>
      <c r="E7" s="212" t="s">
        <v>1197</v>
      </c>
      <c r="F7" s="207">
        <f>VLOOKUP(E7,'Overall scores and ranking'!$A$4:$B$71,2,FALSE)</f>
        <v>53.780289086474419</v>
      </c>
      <c r="G7" s="208" t="s">
        <v>622</v>
      </c>
      <c r="H7" s="209">
        <f>VLOOKUP(G7,'Overall scores and ranking'!$A$4:$B$71,2,FALSE)</f>
        <v>36.894750999999985</v>
      </c>
      <c r="I7" s="210" t="s">
        <v>1931</v>
      </c>
      <c r="J7" s="211">
        <f>VLOOKUP(I7,'Overall scores and ranking'!$A$4:$B$71,2,FALSE)</f>
        <v>18.846488999999988</v>
      </c>
    </row>
    <row r="8" spans="1:10" x14ac:dyDescent="0.25">
      <c r="A8" s="202" t="s">
        <v>1319</v>
      </c>
      <c r="B8" s="203">
        <f>VLOOKUP(A8,'Overall scores and ranking'!$A$4:$B$71,2,FALSE)</f>
        <v>86.745722206106777</v>
      </c>
      <c r="C8" s="204" t="s">
        <v>910</v>
      </c>
      <c r="D8" s="205">
        <f>VLOOKUP(C8,'Overall scores and ranking'!$A$4:$B$71,2,FALSE)</f>
        <v>71.671348938086496</v>
      </c>
      <c r="E8" s="212" t="s">
        <v>1767</v>
      </c>
      <c r="F8" s="207">
        <f>VLOOKUP(E8,'Overall scores and ranking'!$A$4:$B$71,2,FALSE)</f>
        <v>53.764271701626981</v>
      </c>
      <c r="G8" s="208" t="s">
        <v>1359</v>
      </c>
      <c r="H8" s="209">
        <f>VLOOKUP(G8,'Overall scores and ranking'!$A$4:$B$71,2,FALSE)</f>
        <v>35.797104351262803</v>
      </c>
      <c r="I8" s="210" t="s">
        <v>1808</v>
      </c>
      <c r="J8" s="211">
        <f>VLOOKUP(I8,'Overall scores and ranking'!$A$4:$B$71,2,FALSE)</f>
        <v>18.812663999999987</v>
      </c>
    </row>
    <row r="9" spans="1:10" x14ac:dyDescent="0.25">
      <c r="A9" s="202" t="s">
        <v>2381</v>
      </c>
      <c r="B9" s="203">
        <f>VLOOKUP(A9,'Overall scores and ranking'!$A$4:$B$71,2,FALSE)</f>
        <v>83.842838162282519</v>
      </c>
      <c r="C9" s="204" t="s">
        <v>2217</v>
      </c>
      <c r="D9" s="205">
        <f>VLOOKUP(C9,'Overall scores and ranking'!$A$4:$B$71,2,FALSE)</f>
        <v>69.076054883904291</v>
      </c>
      <c r="E9" s="212" t="s">
        <v>2462</v>
      </c>
      <c r="F9" s="207">
        <f>VLOOKUP(E9,'Overall scores and ranking'!$A$4:$B$71,2,FALSE)</f>
        <v>50.824189529418135</v>
      </c>
      <c r="G9" s="208" t="s">
        <v>2584</v>
      </c>
      <c r="H9" s="209">
        <f>VLOOKUP(G9,'Overall scores and ranking'!$A$4:$B$71,2,FALSE)</f>
        <v>34.8284995</v>
      </c>
      <c r="I9" s="210" t="s">
        <v>786</v>
      </c>
      <c r="J9" s="211">
        <f>VLOOKUP(I9,'Overall scores and ranking'!$A$4:$B$71,2,FALSE)</f>
        <v>18.250666999999986</v>
      </c>
    </row>
    <row r="10" spans="1:10" x14ac:dyDescent="0.25">
      <c r="A10" s="202" t="s">
        <v>1115</v>
      </c>
      <c r="B10" s="203">
        <f>VLOOKUP(A10,'Overall scores and ranking'!$A$4:$B$71,2,FALSE)</f>
        <v>83.274009759093047</v>
      </c>
      <c r="C10" s="204" t="s">
        <v>868</v>
      </c>
      <c r="D10" s="205">
        <f>VLOOKUP(C10,'Overall scores and ranking'!$A$4:$B$71,2,FALSE)</f>
        <v>68.230851769636672</v>
      </c>
      <c r="E10" s="212" t="s">
        <v>1890</v>
      </c>
      <c r="F10" s="207">
        <f>VLOOKUP(E10,'Overall scores and ranking'!$A$4:$B$71,2,FALSE)</f>
        <v>50.598212522694539</v>
      </c>
      <c r="G10" s="208" t="s">
        <v>499</v>
      </c>
      <c r="H10" s="209">
        <f>VLOOKUP(G10,'Overall scores and ranking'!$A$4:$B$71,2,FALSE)</f>
        <v>31.595881999999996</v>
      </c>
      <c r="I10" s="210" t="s">
        <v>827</v>
      </c>
      <c r="J10" s="211">
        <f>VLOOKUP(I10,'Overall scores and ranking'!$A$4:$B$71,2,FALSE)</f>
        <v>17.784162999999985</v>
      </c>
    </row>
    <row r="11" spans="1:10" x14ac:dyDescent="0.25">
      <c r="A11" s="202" t="s">
        <v>2707</v>
      </c>
      <c r="B11" s="203">
        <f>VLOOKUP(A11,'Overall scores and ranking'!$A$4:$B$71,2,FALSE)</f>
        <v>82.268961451623738</v>
      </c>
      <c r="C11" s="204" t="s">
        <v>2095</v>
      </c>
      <c r="D11" s="205">
        <f>VLOOKUP(C11,'Overall scores and ranking'!$A$4:$B$71,2,FALSE)</f>
        <v>64.648942945170745</v>
      </c>
      <c r="E11" s="212" t="s">
        <v>2787</v>
      </c>
      <c r="F11" s="207">
        <f>VLOOKUP(E11,'Overall scores and ranking'!$A$4:$B$71,2,FALSE)</f>
        <v>49.639004137678008</v>
      </c>
      <c r="G11" s="208" t="s">
        <v>2666</v>
      </c>
      <c r="H11" s="209">
        <f>VLOOKUP(G11,'Overall scores and ranking'!$A$4:$B$71,2,FALSE)</f>
        <v>30.756310119433174</v>
      </c>
      <c r="I11" s="210" t="s">
        <v>581</v>
      </c>
      <c r="J11" s="211">
        <f>VLOOKUP(I11,'Overall scores and ranking'!$A$4:$B$71,2,FALSE)</f>
        <v>17.012573999999987</v>
      </c>
    </row>
    <row r="12" spans="1:10" x14ac:dyDescent="0.25">
      <c r="A12" s="202"/>
      <c r="B12" s="203"/>
      <c r="C12" s="204" t="s">
        <v>1482</v>
      </c>
      <c r="D12" s="205">
        <f>VLOOKUP(C12,'Overall scores and ranking'!$A$4:$B$71,2,FALSE)</f>
        <v>61.767921206882917</v>
      </c>
      <c r="E12" s="212" t="s">
        <v>1073</v>
      </c>
      <c r="F12" s="207">
        <f>VLOOKUP(E12,'Overall scores and ranking'!$A$4:$B$71,2,FALSE)</f>
        <v>46.551687042519696</v>
      </c>
      <c r="G12" s="208" t="s">
        <v>2503</v>
      </c>
      <c r="H12" s="209">
        <f>VLOOKUP(G12,'Overall scores and ranking'!$A$4:$B$71,2,FALSE)</f>
        <v>30.617910000000002</v>
      </c>
      <c r="I12" s="210" t="s">
        <v>2340</v>
      </c>
      <c r="J12" s="211">
        <f>VLOOKUP(I12,'Overall scores and ranking'!$A$4:$B$71,2,FALSE)</f>
        <v>15.646043999999986</v>
      </c>
    </row>
    <row r="13" spans="1:10" x14ac:dyDescent="0.25">
      <c r="A13" s="202"/>
      <c r="B13" s="203"/>
      <c r="C13" s="204"/>
      <c r="D13" s="213"/>
      <c r="E13" s="212" t="s">
        <v>991</v>
      </c>
      <c r="F13" s="207">
        <f>VLOOKUP(E13,'Overall scores and ranking'!$A$4:$B$71,2,FALSE)</f>
        <v>46.272840186650129</v>
      </c>
      <c r="G13" s="208" t="s">
        <v>214</v>
      </c>
      <c r="H13" s="209">
        <f>VLOOKUP(G13,'Overall scores and ranking'!$A$4:$B$71,2,FALSE)</f>
        <v>29.489809999999995</v>
      </c>
      <c r="I13" s="210" t="s">
        <v>1564</v>
      </c>
      <c r="J13" s="211">
        <f>VLOOKUP(I13,'Overall scores and ranking'!$A$4:$B$71,2,FALSE)</f>
        <v>14.359405999999987</v>
      </c>
    </row>
    <row r="14" spans="1:10" x14ac:dyDescent="0.25">
      <c r="A14" s="202"/>
      <c r="B14" s="203"/>
      <c r="C14" s="204"/>
      <c r="D14" s="213"/>
      <c r="E14" s="212" t="s">
        <v>2299</v>
      </c>
      <c r="F14" s="207">
        <f>VLOOKUP(E14,'Overall scores and ranking'!$A$4:$B$71,2,FALSE)</f>
        <v>45.912189861504473</v>
      </c>
      <c r="G14" s="208" t="s">
        <v>335</v>
      </c>
      <c r="H14" s="209">
        <f>VLOOKUP(G14,'Overall scores and ranking'!$A$4:$B$71,2,FALSE)</f>
        <v>28.231219999999993</v>
      </c>
      <c r="I14" s="210" t="s">
        <v>173</v>
      </c>
      <c r="J14" s="211">
        <f>VLOOKUP(I14,'Overall scores and ranking'!$A$4:$B$71,2,FALSE)</f>
        <v>11.814868499999999</v>
      </c>
    </row>
    <row r="15" spans="1:10" x14ac:dyDescent="0.25">
      <c r="A15" s="202"/>
      <c r="B15" s="203"/>
      <c r="C15" s="204"/>
      <c r="D15" s="204"/>
      <c r="E15" s="212" t="s">
        <v>1523</v>
      </c>
      <c r="F15" s="207">
        <f>VLOOKUP(E15,'Overall scores and ranking'!$A$4:$B$71,2,FALSE)</f>
        <v>45.12154717964065</v>
      </c>
      <c r="G15" s="208" t="s">
        <v>1726</v>
      </c>
      <c r="H15" s="209">
        <f>VLOOKUP(G15,'Overall scores and ranking'!$A$4:$B$71,2,FALSE)</f>
        <v>27.648543999999998</v>
      </c>
      <c r="I15" s="210" t="s">
        <v>745</v>
      </c>
      <c r="J15" s="211">
        <f>VLOOKUP(I15,'Overall scores and ranking'!$A$4:$B$71,2,FALSE)</f>
        <v>10.551111499999996</v>
      </c>
    </row>
    <row r="16" spans="1:10" x14ac:dyDescent="0.25">
      <c r="A16" s="202"/>
      <c r="B16" s="203"/>
      <c r="C16" s="204"/>
      <c r="D16" s="204"/>
      <c r="E16" s="212" t="s">
        <v>1441</v>
      </c>
      <c r="F16" s="207">
        <f>VLOOKUP(E16,'Overall scores and ranking'!$A$4:$B$71,2,FALSE)</f>
        <v>42.468069724950233</v>
      </c>
      <c r="G16" s="208" t="s">
        <v>704</v>
      </c>
      <c r="H16" s="209">
        <f>VLOOKUP(G16,'Overall scores and ranking'!$A$4:$B$71,2,FALSE)</f>
        <v>26.544537499999997</v>
      </c>
      <c r="I16" s="210" t="s">
        <v>376</v>
      </c>
      <c r="J16" s="211">
        <f>VLOOKUP(I16,'Overall scores and ranking'!$A$4:$B$71,2,FALSE)</f>
        <v>10.3011585</v>
      </c>
    </row>
    <row r="17" spans="1:11" x14ac:dyDescent="0.25">
      <c r="A17" s="202"/>
      <c r="B17" s="214"/>
      <c r="C17" s="204"/>
      <c r="D17" s="204"/>
      <c r="E17" s="212" t="s">
        <v>3188</v>
      </c>
      <c r="F17" s="207">
        <f>VLOOKUP(E17,'Overall scores and ranking'!$A$4:$B$71,2,FALSE)</f>
        <v>42.402737318470088</v>
      </c>
      <c r="G17" s="208" t="s">
        <v>2135</v>
      </c>
      <c r="H17" s="209">
        <f>VLOOKUP(G17,'Overall scores and ranking'!$A$4:$B$71,2,FALSE)</f>
        <v>24.667978499999986</v>
      </c>
      <c r="I17" s="210" t="s">
        <v>1156</v>
      </c>
      <c r="J17" s="211">
        <f>VLOOKUP(I17,'Overall scores and ranking'!$A$4:$B$71,2,FALSE)</f>
        <v>9.6461599999999983</v>
      </c>
    </row>
    <row r="18" spans="1:11" x14ac:dyDescent="0.25">
      <c r="A18" s="202"/>
      <c r="B18" s="214"/>
      <c r="C18" s="204"/>
      <c r="D18" s="204"/>
      <c r="E18" s="212" t="s">
        <v>1032</v>
      </c>
      <c r="F18" s="207">
        <f>VLOOKUP(E18,'Overall scores and ranking'!$A$4:$B$71,2,FALSE)</f>
        <v>41.297011839690136</v>
      </c>
      <c r="G18" s="215" t="s">
        <v>295</v>
      </c>
      <c r="H18" s="209">
        <f>VLOOKUP(G18,'Overall scores and ranking'!$A$4:$B$71,2,FALSE)</f>
        <v>24.577408999999996</v>
      </c>
      <c r="I18" s="210" t="s">
        <v>2176</v>
      </c>
      <c r="J18" s="211">
        <f>VLOOKUP(I18,'Overall scores and ranking'!$A$4:$B$71,2,FALSE)</f>
        <v>9.6282870000000003</v>
      </c>
    </row>
    <row r="19" spans="1:11" x14ac:dyDescent="0.25">
      <c r="A19" s="202"/>
      <c r="B19" s="214"/>
      <c r="C19" s="204"/>
      <c r="D19" s="204"/>
      <c r="E19" s="212" t="s">
        <v>2054</v>
      </c>
      <c r="F19" s="207">
        <f>VLOOKUP(E19,'Overall scores and ranking'!$A$4:$B$71,2,FALSE)</f>
        <v>40.666519451891098</v>
      </c>
      <c r="G19" s="215" t="s">
        <v>255</v>
      </c>
      <c r="H19" s="209">
        <f>VLOOKUP(G19,'Overall scores and ranking'!$A$4:$B$71,2,FALSE)</f>
        <v>24.502645999999995</v>
      </c>
      <c r="I19" s="210" t="s">
        <v>2989</v>
      </c>
      <c r="J19" s="211">
        <f>VLOOKUP(I19,'Overall scores and ranking'!$A$4:$B$71,2,FALSE)</f>
        <v>9.1154984999999993</v>
      </c>
    </row>
    <row r="20" spans="1:11" x14ac:dyDescent="0.25">
      <c r="A20" s="202"/>
      <c r="B20" s="214"/>
      <c r="C20" s="204"/>
      <c r="D20" s="204"/>
      <c r="E20" s="212" t="s">
        <v>1278</v>
      </c>
      <c r="F20" s="207">
        <f>VLOOKUP(E20,'Overall scores and ranking'!$A$4:$B$71,2,FALSE)</f>
        <v>40.312333617246189</v>
      </c>
      <c r="G20" s="208"/>
      <c r="H20" s="216"/>
      <c r="I20" s="210" t="s">
        <v>458</v>
      </c>
      <c r="J20" s="211">
        <f>VLOOKUP(I20,'Overall scores and ranking'!$A$4:$B$71,2,FALSE)</f>
        <v>8.3047779999999989</v>
      </c>
    </row>
    <row r="21" spans="1:11" x14ac:dyDescent="0.25">
      <c r="A21" s="202"/>
      <c r="B21" s="214"/>
      <c r="C21" s="204"/>
      <c r="D21" s="204"/>
      <c r="E21" s="212"/>
      <c r="F21" s="217"/>
      <c r="G21" s="208"/>
      <c r="H21" s="216"/>
      <c r="I21" s="210" t="s">
        <v>1849</v>
      </c>
      <c r="J21" s="211">
        <f>VLOOKUP(I21,'Overall scores and ranking'!$A$4:$B$71,2,FALSE)</f>
        <v>8.1649999999999991</v>
      </c>
    </row>
    <row r="22" spans="1:11" x14ac:dyDescent="0.25">
      <c r="A22" s="202"/>
      <c r="B22" s="214"/>
      <c r="C22" s="204"/>
      <c r="D22" s="204"/>
      <c r="E22" s="212"/>
      <c r="F22" s="217"/>
      <c r="G22" s="208"/>
      <c r="H22" s="216"/>
      <c r="I22" s="210" t="s">
        <v>2258</v>
      </c>
      <c r="J22" s="211">
        <f>VLOOKUP(I22,'Overall scores and ranking'!$A$4:$B$71,2,FALSE)</f>
        <v>6.5897159999999975</v>
      </c>
    </row>
    <row r="23" spans="1:11" x14ac:dyDescent="0.25">
      <c r="A23" s="202"/>
      <c r="B23" s="214"/>
      <c r="C23" s="204"/>
      <c r="D23" s="204"/>
      <c r="E23" s="212"/>
      <c r="F23" s="218"/>
      <c r="G23" s="208"/>
      <c r="H23" s="219"/>
      <c r="I23" s="210" t="s">
        <v>2013</v>
      </c>
      <c r="J23" s="211">
        <f>VLOOKUP(I23,'Overall scores and ranking'!$A$4:$B$71,2,FALSE)</f>
        <v>6.5130569999999999</v>
      </c>
    </row>
    <row r="24" spans="1:11" x14ac:dyDescent="0.25">
      <c r="A24" s="202"/>
      <c r="B24" s="214"/>
      <c r="C24" s="204"/>
      <c r="D24" s="204"/>
      <c r="E24" s="212"/>
      <c r="F24" s="218"/>
      <c r="G24" s="208"/>
      <c r="H24" s="219"/>
      <c r="I24" s="210" t="s">
        <v>1972</v>
      </c>
      <c r="J24" s="211">
        <f>VLOOKUP(I24,'Overall scores and ranking'!$A$4:$B$71,2,FALSE)</f>
        <v>5.909658999999988</v>
      </c>
    </row>
    <row r="25" spans="1:11" x14ac:dyDescent="0.25">
      <c r="A25" s="202"/>
      <c r="B25" s="214"/>
      <c r="C25" s="204"/>
      <c r="D25" s="204"/>
      <c r="E25" s="212"/>
      <c r="F25" s="218"/>
      <c r="G25" s="208"/>
      <c r="H25" s="219"/>
      <c r="I25" s="210" t="s">
        <v>417</v>
      </c>
      <c r="J25" s="211">
        <f>VLOOKUP(I25,'Overall scores and ranking'!$A$4:$B$71,2,FALSE)</f>
        <v>4.7197779999999998</v>
      </c>
    </row>
    <row r="26" spans="1:11" ht="15.75" thickBot="1" x14ac:dyDescent="0.3">
      <c r="A26" s="220"/>
      <c r="B26" s="221"/>
      <c r="C26" s="222"/>
      <c r="D26" s="222"/>
      <c r="E26" s="223"/>
      <c r="F26" s="224"/>
      <c r="G26" s="225"/>
      <c r="H26" s="226"/>
      <c r="I26" s="227" t="s">
        <v>2869</v>
      </c>
      <c r="J26" s="228">
        <f>VLOOKUP(I26,'Overall scores and ranking'!$A$4:$B$71,2,FALSE)</f>
        <v>2.2197779999999998</v>
      </c>
    </row>
    <row r="28" spans="1:11" x14ac:dyDescent="0.25">
      <c r="A28" t="s">
        <v>3066</v>
      </c>
      <c r="B28" s="22">
        <f>AVERAGE(B5:B11)</f>
        <v>86.000000867063264</v>
      </c>
      <c r="C28" s="22"/>
      <c r="D28" s="22">
        <f>AVERAGE(D5:D12)</f>
        <v>69.640831504476239</v>
      </c>
      <c r="E28" s="22"/>
      <c r="F28" s="22">
        <f>AVERAGE(F5:F20)</f>
        <v>47.715443093760918</v>
      </c>
      <c r="G28" s="22"/>
      <c r="H28" s="22">
        <f>AVERAGE(H5:H19)</f>
        <v>30.811278892532602</v>
      </c>
      <c r="I28" s="22"/>
      <c r="J28" s="22">
        <f>AVERAGE(J5:J26)</f>
        <v>11.922565818181813</v>
      </c>
      <c r="K28" s="22"/>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K81"/>
  <sheetViews>
    <sheetView topLeftCell="B1" zoomScaleNormal="100" workbookViewId="0">
      <selection activeCell="E22" sqref="E22"/>
    </sheetView>
  </sheetViews>
  <sheetFormatPr defaultRowHeight="15" x14ac:dyDescent="0.25"/>
  <cols>
    <col min="1" max="1" width="16.85546875" bestFit="1" customWidth="1"/>
    <col min="2" max="5" width="23.42578125" customWidth="1"/>
    <col min="6" max="6" width="27.28515625" customWidth="1"/>
    <col min="7" max="7" width="15.42578125" customWidth="1"/>
    <col min="8" max="9" width="24.85546875" customWidth="1"/>
    <col min="10" max="10" width="22" customWidth="1"/>
    <col min="11" max="11" width="13.42578125" bestFit="1" customWidth="1"/>
    <col min="12" max="12" width="14.42578125" bestFit="1" customWidth="1"/>
    <col min="13" max="13" width="15.85546875" bestFit="1" customWidth="1"/>
    <col min="14" max="14" width="12.42578125" bestFit="1" customWidth="1"/>
    <col min="15" max="15" width="17.28515625" bestFit="1" customWidth="1"/>
    <col min="16" max="16" width="20.140625" bestFit="1" customWidth="1"/>
    <col min="17" max="17" width="14.28515625" bestFit="1" customWidth="1"/>
    <col min="18" max="18" width="5.5703125" customWidth="1"/>
    <col min="19" max="19" width="10.28515625" bestFit="1" customWidth="1"/>
    <col min="20" max="20" width="9" customWidth="1"/>
    <col min="21" max="21" width="9.85546875" bestFit="1" customWidth="1"/>
    <col min="22" max="22" width="6.85546875" customWidth="1"/>
    <col min="23" max="23" width="3.7109375" customWidth="1"/>
    <col min="24" max="24" width="12.5703125" bestFit="1" customWidth="1"/>
    <col min="25" max="25" width="12.7109375" bestFit="1" customWidth="1"/>
    <col min="26" max="26" width="11.42578125" bestFit="1" customWidth="1"/>
    <col min="27" max="27" width="12" bestFit="1" customWidth="1"/>
    <col min="28" max="28" width="14.42578125" bestFit="1" customWidth="1"/>
    <col min="29" max="29" width="16.85546875" bestFit="1" customWidth="1"/>
    <col min="30" max="30" width="5.5703125" customWidth="1"/>
    <col min="31" max="31" width="18.140625" bestFit="1" customWidth="1"/>
    <col min="32" max="32" width="19.28515625" bestFit="1" customWidth="1"/>
    <col min="33" max="33" width="12.5703125" bestFit="1" customWidth="1"/>
    <col min="34" max="34" width="11.7109375" bestFit="1" customWidth="1"/>
    <col min="35" max="35" width="19" bestFit="1" customWidth="1"/>
    <col min="36" max="36" width="13.5703125" bestFit="1" customWidth="1"/>
    <col min="37" max="37" width="5.28515625" customWidth="1"/>
    <col min="38" max="38" width="4.42578125" customWidth="1"/>
    <col min="39" max="39" width="15.28515625" bestFit="1" customWidth="1"/>
    <col min="40" max="40" width="10" bestFit="1" customWidth="1"/>
    <col min="41" max="41" width="10.7109375" bestFit="1" customWidth="1"/>
    <col min="42" max="42" width="12.5703125" bestFit="1" customWidth="1"/>
    <col min="43" max="43" width="12.7109375" bestFit="1" customWidth="1"/>
    <col min="44" max="44" width="11.28515625" bestFit="1" customWidth="1"/>
    <col min="45" max="45" width="14.42578125" bestFit="1" customWidth="1"/>
    <col min="46" max="46" width="17.42578125" bestFit="1" customWidth="1"/>
    <col min="47" max="47" width="11.28515625" bestFit="1" customWidth="1"/>
    <col min="48" max="48" width="17.42578125" bestFit="1" customWidth="1"/>
    <col min="49" max="49" width="19" bestFit="1" customWidth="1"/>
    <col min="50" max="50" width="13.140625" bestFit="1" customWidth="1"/>
    <col min="51" max="51" width="12.28515625" bestFit="1" customWidth="1"/>
    <col min="52" max="52" width="13.28515625" bestFit="1" customWidth="1"/>
    <col min="53" max="53" width="14" bestFit="1" customWidth="1"/>
    <col min="54" max="54" width="14.7109375" bestFit="1" customWidth="1"/>
    <col min="55" max="55" width="13.85546875" bestFit="1" customWidth="1"/>
    <col min="56" max="56" width="12.140625" bestFit="1" customWidth="1"/>
    <col min="57" max="57" width="18" bestFit="1" customWidth="1"/>
    <col min="58" max="58" width="16" bestFit="1" customWidth="1"/>
    <col min="59" max="59" width="13.140625" bestFit="1" customWidth="1"/>
    <col min="60" max="60" width="9.7109375" bestFit="1" customWidth="1"/>
    <col min="61" max="61" width="12.28515625" bestFit="1" customWidth="1"/>
    <col min="62" max="62" width="10.140625" bestFit="1" customWidth="1"/>
    <col min="63" max="63" width="13.28515625" bestFit="1" customWidth="1"/>
    <col min="64" max="64" width="11.140625" bestFit="1" customWidth="1"/>
    <col min="65" max="65" width="8.7109375" customWidth="1"/>
    <col min="66" max="66" width="8.140625" customWidth="1"/>
    <col min="68" max="68" width="9.42578125" bestFit="1" customWidth="1"/>
    <col min="69" max="69" width="6.28515625" customWidth="1"/>
    <col min="70" max="70" width="7.5703125" customWidth="1"/>
    <col min="71" max="71" width="15.5703125" bestFit="1" customWidth="1"/>
    <col min="72" max="72" width="15.140625" bestFit="1" customWidth="1"/>
    <col min="73" max="73" width="11.28515625" bestFit="1" customWidth="1"/>
  </cols>
  <sheetData>
    <row r="1" spans="1:11" s="169" customFormat="1" ht="23.25" x14ac:dyDescent="0.35">
      <c r="B1" s="169" t="s">
        <v>3254</v>
      </c>
    </row>
    <row r="2" spans="1:11" s="20" customFormat="1" x14ac:dyDescent="0.25"/>
    <row r="3" spans="1:11" x14ac:dyDescent="0.25">
      <c r="A3" s="30" t="s">
        <v>2909</v>
      </c>
      <c r="B3" s="30" t="s">
        <v>3067</v>
      </c>
      <c r="C3" s="30" t="s">
        <v>3068</v>
      </c>
      <c r="D3" s="30" t="s">
        <v>3069</v>
      </c>
      <c r="E3" s="30" t="s">
        <v>3048</v>
      </c>
      <c r="F3" s="30" t="s">
        <v>3061</v>
      </c>
      <c r="G3" s="30" t="s">
        <v>3045</v>
      </c>
      <c r="H3" s="30" t="s">
        <v>3046</v>
      </c>
      <c r="I3" s="30" t="s">
        <v>3070</v>
      </c>
      <c r="J3" s="30" t="s">
        <v>3071</v>
      </c>
    </row>
    <row r="4" spans="1:11" x14ac:dyDescent="0.25">
      <c r="A4" s="31">
        <v>41114</v>
      </c>
      <c r="B4" s="27" t="s">
        <v>1605</v>
      </c>
      <c r="C4" s="29">
        <f>VLOOKUP('Comparison 2013 &amp; 2014'!A4,'2013 ATI summary data'!$A$1:$C$69,3,FALSE)</f>
        <v>83.380783199195051</v>
      </c>
      <c r="D4" s="29">
        <f>VLOOKUP(B4,'Overall scores and ranking'!$A$4:$B$71,2,FALSE)</f>
        <v>90.637111812083049</v>
      </c>
      <c r="E4" s="29">
        <f t="shared" ref="E4:E35" si="0">D4-C4</f>
        <v>7.256328612887998</v>
      </c>
      <c r="F4" s="29"/>
      <c r="G4" s="35">
        <f>VLOOKUP(B4,'Overall scores and ranking'!$A$3:$C$71,3,FALSE)</f>
        <v>1</v>
      </c>
      <c r="H4" s="35">
        <f>VLOOKUP(Table3[[#This Row],[Org ID]],'2013 ATI summary data'!$A$1:$D$69,4,FALSE)</f>
        <v>4</v>
      </c>
      <c r="I4" s="36">
        <f>Table3[[#This Row],[Rank in 2013]]-Table3[[#This Row],[Rank in 2014]]</f>
        <v>3</v>
      </c>
      <c r="J4" s="32"/>
      <c r="K4" s="20"/>
    </row>
    <row r="5" spans="1:11" x14ac:dyDescent="0.25">
      <c r="A5" s="31" t="s">
        <v>2544</v>
      </c>
      <c r="B5" s="27" t="s">
        <v>2543</v>
      </c>
      <c r="C5" s="29">
        <f>VLOOKUP('Comparison 2013 &amp; 2014'!A5,'2013 ATI summary data'!$A$1:$C$69,3,FALSE)</f>
        <v>83.489192526650868</v>
      </c>
      <c r="D5" s="29">
        <f>VLOOKUP(B5,'Overall scores and ranking'!$A$4:$B$71,2,FALSE)</f>
        <v>88.336740299014735</v>
      </c>
      <c r="E5" s="29">
        <f t="shared" si="0"/>
        <v>4.8475477723638676</v>
      </c>
      <c r="F5" s="29"/>
      <c r="G5" s="35">
        <f>VLOOKUP(B5,'Overall scores and ranking'!$A$3:$C$71,3,FALSE)</f>
        <v>2</v>
      </c>
      <c r="H5" s="35">
        <f>VLOOKUP(Table3[[#This Row],[Org ID]],'2013 ATI summary data'!$A$1:$D$69,4,FALSE)</f>
        <v>3</v>
      </c>
      <c r="I5" s="36">
        <f>Table3[[#This Row],[Rank in 2013]]-Table3[[#This Row],[Rank in 2014]]</f>
        <v>1</v>
      </c>
      <c r="J5" s="32"/>
    </row>
    <row r="6" spans="1:11" x14ac:dyDescent="0.25">
      <c r="A6" s="31" t="s">
        <v>2626</v>
      </c>
      <c r="B6" s="27" t="s">
        <v>2625</v>
      </c>
      <c r="C6" s="29">
        <f>VLOOKUP('Comparison 2013 &amp; 2014'!A6,'2013 ATI summary data'!$A$1:$C$69,3,FALSE)</f>
        <v>88.877778520740193</v>
      </c>
      <c r="D6" s="29">
        <f>VLOOKUP(B6,'Overall scores and ranking'!$A$4:$B$71,2,FALSE)</f>
        <v>86.894622379238967</v>
      </c>
      <c r="E6" s="29">
        <f t="shared" si="0"/>
        <v>-1.983156141501226</v>
      </c>
      <c r="F6" s="29"/>
      <c r="G6" s="35">
        <f>VLOOKUP(B6,'Overall scores and ranking'!$A$3:$C$71,3,FALSE)</f>
        <v>3</v>
      </c>
      <c r="H6" s="35">
        <f>VLOOKUP(Table3[[#This Row],[Org ID]],'2013 ATI summary data'!$A$1:$D$69,4,FALSE)</f>
        <v>1</v>
      </c>
      <c r="I6" s="36">
        <f>Table3[[#This Row],[Rank in 2013]]-Table3[[#This Row],[Rank in 2014]]</f>
        <v>-2</v>
      </c>
      <c r="J6" s="32"/>
    </row>
    <row r="7" spans="1:11" x14ac:dyDescent="0.25">
      <c r="A7" s="31">
        <v>47122</v>
      </c>
      <c r="B7" s="27" t="s">
        <v>1319</v>
      </c>
      <c r="C7" s="29">
        <f>VLOOKUP('Comparison 2013 &amp; 2014'!A7,'2013 ATI summary data'!$A$1:$C$69,3,FALSE)</f>
        <v>87.261088999999899</v>
      </c>
      <c r="D7" s="29">
        <f>VLOOKUP(B7,'Overall scores and ranking'!$A$4:$B$71,2,FALSE)</f>
        <v>86.745722206106777</v>
      </c>
      <c r="E7" s="29">
        <f t="shared" si="0"/>
        <v>-0.51536679389312212</v>
      </c>
      <c r="F7" s="29"/>
      <c r="G7" s="35">
        <f>VLOOKUP(B7,'Overall scores and ranking'!$A$3:$C$71,3,FALSE)</f>
        <v>4</v>
      </c>
      <c r="H7" s="35">
        <f>VLOOKUP(Table3[[#This Row],[Org ID]],'2013 ATI summary data'!$A$1:$D$69,4,FALSE)</f>
        <v>2</v>
      </c>
      <c r="I7" s="36">
        <f>Table3[[#This Row],[Rank in 2013]]-Table3[[#This Row],[Rank in 2014]]</f>
        <v>-2</v>
      </c>
      <c r="J7" s="32"/>
    </row>
    <row r="8" spans="1:11" x14ac:dyDescent="0.25">
      <c r="A8" s="33">
        <v>46004</v>
      </c>
      <c r="B8" s="28" t="s">
        <v>2381</v>
      </c>
      <c r="C8" s="29">
        <f>VLOOKUP('Comparison 2013 &amp; 2014'!A8,'2013 ATI summary data'!$A$1:$C$69,3,FALSE)</f>
        <v>57.643515895213767</v>
      </c>
      <c r="D8" s="29">
        <f>VLOOKUP(B8,'Overall scores and ranking'!$A$4:$B$71,2,FALSE)</f>
        <v>83.842838162282519</v>
      </c>
      <c r="E8" s="29">
        <f t="shared" si="0"/>
        <v>26.199322267068752</v>
      </c>
      <c r="F8" s="29"/>
      <c r="G8" s="35">
        <f>VLOOKUP(B8,'Overall scores and ranking'!$A$3:$C$71,3,FALSE)</f>
        <v>5</v>
      </c>
      <c r="H8" s="35">
        <f>VLOOKUP(Table3[[#This Row],[Org ID]],'2013 ATI summary data'!$A$1:$D$69,4,FALSE)</f>
        <v>10</v>
      </c>
      <c r="I8" s="36">
        <f>Table3[[#This Row],[Rank in 2013]]-Table3[[#This Row],[Rank in 2014]]</f>
        <v>5</v>
      </c>
      <c r="J8" s="32"/>
    </row>
    <row r="9" spans="1:11" x14ac:dyDescent="0.25">
      <c r="A9" s="31" t="s">
        <v>1116</v>
      </c>
      <c r="B9" s="27" t="s">
        <v>1115</v>
      </c>
      <c r="C9" s="29">
        <f>VLOOKUP('Comparison 2013 &amp; 2014'!A9,'2013 ATI summary data'!$A$1:$C$69,3,FALSE)</f>
        <v>60.379290286872404</v>
      </c>
      <c r="D9" s="29">
        <f>VLOOKUP(B9,'Overall scores and ranking'!$A$4:$B$71,2,FALSE)</f>
        <v>83.274009759093047</v>
      </c>
      <c r="E9" s="29">
        <f t="shared" si="0"/>
        <v>22.894719472220643</v>
      </c>
      <c r="F9" s="29"/>
      <c r="G9" s="35">
        <f>VLOOKUP(B9,'Overall scores and ranking'!$A$3:$C$71,3,FALSE)</f>
        <v>6</v>
      </c>
      <c r="H9" s="35">
        <f>VLOOKUP(Table3[[#This Row],[Org ID]],'2013 ATI summary data'!$A$1:$D$69,4,FALSE)</f>
        <v>9</v>
      </c>
      <c r="I9" s="36">
        <f>Table3[[#This Row],[Rank in 2013]]-Table3[[#This Row],[Rank in 2014]]</f>
        <v>3</v>
      </c>
      <c r="J9" s="32"/>
    </row>
    <row r="10" spans="1:11" x14ac:dyDescent="0.25">
      <c r="A10" s="31">
        <v>44002</v>
      </c>
      <c r="B10" s="27" t="s">
        <v>2707</v>
      </c>
      <c r="C10" s="29">
        <f>VLOOKUP('Comparison 2013 &amp; 2014'!A10,'2013 ATI summary data'!$A$1:$C$69,3,FALSE)</f>
        <v>73.811278998034524</v>
      </c>
      <c r="D10" s="29">
        <f>VLOOKUP(B10,'Overall scores and ranking'!$A$4:$B$71,2,FALSE)</f>
        <v>82.268961451623738</v>
      </c>
      <c r="E10" s="29">
        <f t="shared" si="0"/>
        <v>8.4576824535892143</v>
      </c>
      <c r="F10" s="29"/>
      <c r="G10" s="35">
        <f>VLOOKUP(B10,'Overall scores and ranking'!$A$3:$C$71,3,FALSE)</f>
        <v>7</v>
      </c>
      <c r="H10" s="35">
        <f>VLOOKUP(Table3[[#This Row],[Org ID]],'2013 ATI summary data'!$A$1:$D$69,4,FALSE)</f>
        <v>5</v>
      </c>
      <c r="I10" s="36">
        <f>Table3[[#This Row],[Rank in 2013]]-Table3[[#This Row],[Rank in 2014]]</f>
        <v>-2</v>
      </c>
      <c r="J10" s="32"/>
    </row>
    <row r="11" spans="1:11" x14ac:dyDescent="0.25">
      <c r="A11" s="31">
        <v>46002</v>
      </c>
      <c r="B11" s="27" t="s">
        <v>2747</v>
      </c>
      <c r="C11" s="29">
        <f>VLOOKUP('Comparison 2013 &amp; 2014'!A11,'2013 ATI summary data'!$A$1:$C$69,3,FALSE)</f>
        <v>63.69639499999991</v>
      </c>
      <c r="D11" s="29">
        <f>VLOOKUP(B11,'Overall scores and ranking'!$A$4:$B$71,2,FALSE)</f>
        <v>74.51602883307369</v>
      </c>
      <c r="E11" s="29">
        <f t="shared" si="0"/>
        <v>10.81963383307378</v>
      </c>
      <c r="F11" s="29"/>
      <c r="G11" s="35">
        <f>VLOOKUP(B11,'Overall scores and ranking'!$A$3:$C$71,3,FALSE)</f>
        <v>8</v>
      </c>
      <c r="H11" s="35">
        <f>VLOOKUP(Table3[[#This Row],[Org ID]],'2013 ATI summary data'!$A$1:$D$69,4,FALSE)</f>
        <v>7</v>
      </c>
      <c r="I11" s="36">
        <f>Table3[[#This Row],[Rank in 2013]]-Table3[[#This Row],[Rank in 2014]]</f>
        <v>-1</v>
      </c>
      <c r="J11" s="32"/>
    </row>
    <row r="12" spans="1:11" x14ac:dyDescent="0.25">
      <c r="A12" s="31">
        <v>46012</v>
      </c>
      <c r="B12" s="27" t="s">
        <v>951</v>
      </c>
      <c r="C12" s="29">
        <f>VLOOKUP('Comparison 2013 &amp; 2014'!A12,'2013 ATI summary data'!$A$1:$C$69,3,FALSE)</f>
        <v>57.111155118447378</v>
      </c>
      <c r="D12" s="29">
        <f>VLOOKUP(B12,'Overall scores and ranking'!$A$4:$B$71,2,FALSE)</f>
        <v>73.917398103455028</v>
      </c>
      <c r="E12" s="29">
        <f t="shared" si="0"/>
        <v>16.80624298500765</v>
      </c>
      <c r="F12" s="29"/>
      <c r="G12" s="35">
        <f>VLOOKUP(B12,'Overall scores and ranking'!$A$3:$C$71,3,FALSE)</f>
        <v>9</v>
      </c>
      <c r="H12" s="35">
        <f>VLOOKUP(Table3[[#This Row],[Org ID]],'2013 ATI summary data'!$A$1:$D$69,4,FALSE)</f>
        <v>11</v>
      </c>
      <c r="I12" s="36">
        <f>Table3[[#This Row],[Rank in 2013]]-Table3[[#This Row],[Rank in 2014]]</f>
        <v>2</v>
      </c>
      <c r="J12" s="32"/>
    </row>
    <row r="13" spans="1:11" x14ac:dyDescent="0.25">
      <c r="A13" s="33">
        <v>47045</v>
      </c>
      <c r="B13" s="28" t="s">
        <v>1238</v>
      </c>
      <c r="C13" s="29">
        <f>VLOOKUP('Comparison 2013 &amp; 2014'!A13,'2013 ATI summary data'!$A$1:$C$69,3,FALSE)</f>
        <v>70.647756975570815</v>
      </c>
      <c r="D13" s="29">
        <f>VLOOKUP(B13,'Overall scores and ranking'!$A$4:$B$71,2,FALSE)</f>
        <v>73.298105355600043</v>
      </c>
      <c r="E13" s="29">
        <f t="shared" si="0"/>
        <v>2.6503483800292287</v>
      </c>
      <c r="F13" s="29"/>
      <c r="G13" s="35">
        <f>VLOOKUP(B13,'Overall scores and ranking'!$A$3:$C$71,3,FALSE)</f>
        <v>10</v>
      </c>
      <c r="H13" s="35">
        <f>VLOOKUP(Table3[[#This Row],[Org ID]],'2013 ATI summary data'!$A$1:$D$69,4,FALSE)</f>
        <v>6</v>
      </c>
      <c r="I13" s="36">
        <f>Table3[[#This Row],[Rank in 2013]]-Table3[[#This Row],[Rank in 2014]]</f>
        <v>-4</v>
      </c>
      <c r="J13" s="32"/>
    </row>
    <row r="14" spans="1:11" x14ac:dyDescent="0.25">
      <c r="A14" s="33" t="s">
        <v>911</v>
      </c>
      <c r="B14" s="28" t="s">
        <v>910</v>
      </c>
      <c r="C14" s="29">
        <f>VLOOKUP('Comparison 2013 &amp; 2014'!A14,'2013 ATI summary data'!$A$1:$C$69,3,FALSE)</f>
        <v>62.581767068752399</v>
      </c>
      <c r="D14" s="29">
        <f>VLOOKUP(B14,'Overall scores and ranking'!$A$4:$B$71,2,FALSE)</f>
        <v>71.671348938086496</v>
      </c>
      <c r="E14" s="29">
        <f t="shared" si="0"/>
        <v>9.0895818693340971</v>
      </c>
      <c r="F14" s="29"/>
      <c r="G14" s="35">
        <f>VLOOKUP(B14,'Overall scores and ranking'!$A$3:$C$71,3,FALSE)</f>
        <v>11</v>
      </c>
      <c r="H14" s="35">
        <f>VLOOKUP(Table3[[#This Row],[Org ID]],'2013 ATI summary data'!$A$1:$D$69,4,FALSE)</f>
        <v>8</v>
      </c>
      <c r="I14" s="36">
        <f>Table3[[#This Row],[Rank in 2013]]-Table3[[#This Row],[Rank in 2014]]</f>
        <v>-3</v>
      </c>
      <c r="J14" s="32"/>
    </row>
    <row r="15" spans="1:11" x14ac:dyDescent="0.25">
      <c r="A15" s="31" t="s">
        <v>2218</v>
      </c>
      <c r="B15" s="27" t="s">
        <v>2217</v>
      </c>
      <c r="C15" s="29">
        <f>VLOOKUP('Comparison 2013 &amp; 2014'!A15,'2013 ATI summary data'!$A$1:$C$69,3,FALSE)</f>
        <v>51.143130499999941</v>
      </c>
      <c r="D15" s="29">
        <f>VLOOKUP(B15,'Overall scores and ranking'!$A$4:$B$71,2,FALSE)</f>
        <v>69.076054883904291</v>
      </c>
      <c r="E15" s="29">
        <f t="shared" si="0"/>
        <v>17.93292438390435</v>
      </c>
      <c r="F15" s="29"/>
      <c r="G15" s="35">
        <f>VLOOKUP(B15,'Overall scores and ranking'!$A$3:$C$71,3,FALSE)</f>
        <v>12</v>
      </c>
      <c r="H15" s="35">
        <f>VLOOKUP(Table3[[#This Row],[Org ID]],'2013 ATI summary data'!$A$1:$D$69,4,FALSE)</f>
        <v>14</v>
      </c>
      <c r="I15" s="36">
        <f>Table3[[#This Row],[Rank in 2013]]-Table3[[#This Row],[Rank in 2014]]</f>
        <v>2</v>
      </c>
      <c r="J15" s="32"/>
    </row>
    <row r="16" spans="1:11" x14ac:dyDescent="0.25">
      <c r="A16" s="33" t="s">
        <v>869</v>
      </c>
      <c r="B16" s="28" t="s">
        <v>868</v>
      </c>
      <c r="C16" s="29">
        <f>VLOOKUP('Comparison 2013 &amp; 2014'!A16,'2013 ATI summary data'!$A$1:$C$69,3,FALSE)</f>
        <v>52.106287102962433</v>
      </c>
      <c r="D16" s="29">
        <f>VLOOKUP(B16,'Overall scores and ranking'!$A$4:$B$71,2,FALSE)</f>
        <v>68.230851769636672</v>
      </c>
      <c r="E16" s="29">
        <f t="shared" si="0"/>
        <v>16.124564666674239</v>
      </c>
      <c r="F16" s="29"/>
      <c r="G16" s="35">
        <f>VLOOKUP(B16,'Overall scores and ranking'!$A$3:$C$71,3,FALSE)</f>
        <v>13</v>
      </c>
      <c r="H16" s="35">
        <f>VLOOKUP(Table3[[#This Row],[Org ID]],'2013 ATI summary data'!$A$1:$D$69,4,FALSE)</f>
        <v>13</v>
      </c>
      <c r="I16" s="36">
        <f>Table3[[#This Row],[Rank in 2013]]-Table3[[#This Row],[Rank in 2014]]</f>
        <v>0</v>
      </c>
      <c r="J16" s="32"/>
    </row>
    <row r="17" spans="1:10" x14ac:dyDescent="0.25">
      <c r="A17" s="33">
        <v>41122</v>
      </c>
      <c r="B17" s="28" t="s">
        <v>2095</v>
      </c>
      <c r="C17" s="29">
        <f>VLOOKUP('Comparison 2013 &amp; 2014'!A17,'2013 ATI summary data'!$A$1:$C$69,3,FALSE)</f>
        <v>44.31061949999993</v>
      </c>
      <c r="D17" s="29">
        <f>VLOOKUP(B17,'Overall scores and ranking'!$A$4:$B$71,2,FALSE)</f>
        <v>64.648942945170745</v>
      </c>
      <c r="E17" s="29">
        <f t="shared" si="0"/>
        <v>20.338323445170815</v>
      </c>
      <c r="F17" s="29"/>
      <c r="G17" s="35">
        <f>VLOOKUP(B17,'Overall scores and ranking'!$A$3:$C$71,3,FALSE)</f>
        <v>14</v>
      </c>
      <c r="H17" s="35">
        <f>VLOOKUP(Table3[[#This Row],[Org ID]],'2013 ATI summary data'!$A$1:$D$69,4,FALSE)</f>
        <v>21</v>
      </c>
      <c r="I17" s="36">
        <f>Table3[[#This Row],[Rank in 2013]]-Table3[[#This Row],[Rank in 2014]]</f>
        <v>7</v>
      </c>
      <c r="J17" s="32"/>
    </row>
    <row r="18" spans="1:10" x14ac:dyDescent="0.25">
      <c r="A18" s="31" t="s">
        <v>1483</v>
      </c>
      <c r="B18" s="27" t="s">
        <v>1482</v>
      </c>
      <c r="C18" s="29">
        <f>VLOOKUP('Comparison 2013 &amp; 2014'!A18,'2013 ATI summary data'!$A$1:$C$69,3,FALSE)</f>
        <v>48.076029141221319</v>
      </c>
      <c r="D18" s="29">
        <f>VLOOKUP(B18,'Overall scores and ranking'!$A$4:$B$71,2,FALSE)</f>
        <v>61.767921206882917</v>
      </c>
      <c r="E18" s="29">
        <f t="shared" si="0"/>
        <v>13.691892065661598</v>
      </c>
      <c r="F18" s="29"/>
      <c r="G18" s="35">
        <f>VLOOKUP(B18,'Overall scores and ranking'!$A$3:$C$71,3,FALSE)</f>
        <v>15</v>
      </c>
      <c r="H18" s="35">
        <f>VLOOKUP(Table3[[#This Row],[Org ID]],'2013 ATI summary data'!$A$1:$D$69,4,FALSE)</f>
        <v>17</v>
      </c>
      <c r="I18" s="36">
        <f>Table3[[#This Row],[Rank in 2013]]-Table3[[#This Row],[Rank in 2014]]</f>
        <v>2</v>
      </c>
      <c r="J18" s="32"/>
    </row>
    <row r="19" spans="1:10" x14ac:dyDescent="0.25">
      <c r="A19" s="33" t="s">
        <v>1686</v>
      </c>
      <c r="B19" s="28" t="s">
        <v>1685</v>
      </c>
      <c r="C19" s="29">
        <f>VLOOKUP('Comparison 2013 &amp; 2014'!A19,'2013 ATI summary data'!$A$1:$C$69,3,FALSE)</f>
        <v>54.240428999999907</v>
      </c>
      <c r="D19" s="29">
        <f>VLOOKUP(B19,'Overall scores and ranking'!$A$4:$B$71,2,FALSE)</f>
        <v>59.913796849686776</v>
      </c>
      <c r="E19" s="29">
        <f t="shared" si="0"/>
        <v>5.6733678496868691</v>
      </c>
      <c r="F19" s="29"/>
      <c r="G19" s="35">
        <f>VLOOKUP(B19,'Overall scores and ranking'!$A$3:$C$71,3,FALSE)</f>
        <v>16</v>
      </c>
      <c r="H19" s="35">
        <f>VLOOKUP(Table3[[#This Row],[Org ID]],'2013 ATI summary data'!$A$1:$D$69,4,FALSE)</f>
        <v>12</v>
      </c>
      <c r="I19" s="36">
        <f>Table3[[#This Row],[Rank in 2013]]-Table3[[#This Row],[Rank in 2014]]</f>
        <v>-4</v>
      </c>
      <c r="J19" s="32"/>
    </row>
    <row r="20" spans="1:10" x14ac:dyDescent="0.25">
      <c r="A20" s="31" t="s">
        <v>2422</v>
      </c>
      <c r="B20" s="27" t="s">
        <v>2421</v>
      </c>
      <c r="C20" s="29">
        <f>VLOOKUP('Comparison 2013 &amp; 2014'!A20,'2013 ATI summary data'!$A$1:$C$69,3,FALSE)</f>
        <v>45.90440938135589</v>
      </c>
      <c r="D20" s="29">
        <f>VLOOKUP(B20,'Overall scores and ranking'!$A$4:$B$71,2,FALSE)</f>
        <v>53.922389450033187</v>
      </c>
      <c r="E20" s="29">
        <f t="shared" si="0"/>
        <v>8.0179800686772964</v>
      </c>
      <c r="F20" s="29"/>
      <c r="G20" s="35">
        <f>VLOOKUP(B20,'Overall scores and ranking'!$A$3:$C$71,3,FALSE)</f>
        <v>17</v>
      </c>
      <c r="H20" s="35">
        <f>VLOOKUP(Table3[[#This Row],[Org ID]],'2013 ATI summary data'!$A$1:$D$69,4,FALSE)</f>
        <v>20</v>
      </c>
      <c r="I20" s="36">
        <f>Table3[[#This Row],[Rank in 2013]]-Table3[[#This Row],[Rank in 2014]]</f>
        <v>3</v>
      </c>
      <c r="J20" s="32"/>
    </row>
    <row r="21" spans="1:10" x14ac:dyDescent="0.25">
      <c r="A21" s="33" t="s">
        <v>1198</v>
      </c>
      <c r="B21" s="28" t="s">
        <v>1197</v>
      </c>
      <c r="C21" s="29">
        <f>VLOOKUP('Comparison 2013 &amp; 2014'!A21,'2013 ATI summary data'!$A$1:$C$69,3,FALSE)</f>
        <v>18.080025499999991</v>
      </c>
      <c r="D21" s="29">
        <f>VLOOKUP(B21,'Overall scores and ranking'!$A$4:$B$71,2,FALSE)</f>
        <v>53.780289086474419</v>
      </c>
      <c r="E21" s="29">
        <f t="shared" si="0"/>
        <v>35.700263586474428</v>
      </c>
      <c r="F21" s="29"/>
      <c r="G21" s="35">
        <f>VLOOKUP(B21,'Overall scores and ranking'!$A$3:$C$71,3,FALSE)</f>
        <v>18</v>
      </c>
      <c r="H21" s="35">
        <f>VLOOKUP(Table3[[#This Row],[Org ID]],'2013 ATI summary data'!$A$1:$D$69,4,FALSE)</f>
        <v>44</v>
      </c>
      <c r="I21" s="36">
        <f>Table3[[#This Row],[Rank in 2013]]-Table3[[#This Row],[Rank in 2014]]</f>
        <v>26</v>
      </c>
      <c r="J21" s="32"/>
    </row>
    <row r="22" spans="1:10" x14ac:dyDescent="0.25">
      <c r="A22" s="33" t="s">
        <v>1768</v>
      </c>
      <c r="B22" s="28" t="s">
        <v>1767</v>
      </c>
      <c r="C22" s="29">
        <f>VLOOKUP('Comparison 2013 &amp; 2014'!A22,'2013 ATI summary data'!$A$1:$C$69,3,FALSE)</f>
        <v>49.368528999999917</v>
      </c>
      <c r="D22" s="29">
        <f>VLOOKUP(B22,'Overall scores and ranking'!$A$4:$B$71,2,FALSE)</f>
        <v>53.764271701626981</v>
      </c>
      <c r="E22" s="29">
        <f t="shared" si="0"/>
        <v>4.3957427016270643</v>
      </c>
      <c r="F22" s="29"/>
      <c r="G22" s="35">
        <f>VLOOKUP(B22,'Overall scores and ranking'!$A$3:$C$71,3,FALSE)</f>
        <v>19</v>
      </c>
      <c r="H22" s="35">
        <f>VLOOKUP(Table3[[#This Row],[Org ID]],'2013 ATI summary data'!$A$1:$D$69,4,FALSE)</f>
        <v>16</v>
      </c>
      <c r="I22" s="36">
        <f>Table3[[#This Row],[Rank in 2013]]-Table3[[#This Row],[Rank in 2014]]</f>
        <v>-3</v>
      </c>
      <c r="J22" s="32"/>
    </row>
    <row r="23" spans="1:10" x14ac:dyDescent="0.25">
      <c r="A23" s="33" t="s">
        <v>2463</v>
      </c>
      <c r="B23" s="28" t="s">
        <v>2993</v>
      </c>
      <c r="C23" s="29">
        <f>VLOOKUP('Comparison 2013 &amp; 2014'!A23,'2013 ATI summary data'!$A$1:$C$69,3,FALSE)</f>
        <v>43.712644881355899</v>
      </c>
      <c r="D23" s="29">
        <f>VLOOKUP(B23,'Overall scores and ranking'!$A$4:$B$71,2,FALSE)</f>
        <v>50.824189529418135</v>
      </c>
      <c r="E23" s="29">
        <f t="shared" si="0"/>
        <v>7.1115446480622353</v>
      </c>
      <c r="F23" s="29"/>
      <c r="G23" s="35">
        <f>VLOOKUP(B23,'Overall scores and ranking'!$A$3:$C$71,3,FALSE)</f>
        <v>20</v>
      </c>
      <c r="H23" s="35">
        <f>VLOOKUP(Table3[[#This Row],[Org ID]],'2013 ATI summary data'!$A$1:$D$69,4,FALSE)</f>
        <v>23</v>
      </c>
      <c r="I23" s="36">
        <f>Table3[[#This Row],[Rank in 2013]]-Table3[[#This Row],[Rank in 2014]]</f>
        <v>3</v>
      </c>
      <c r="J23" s="32"/>
    </row>
    <row r="24" spans="1:10" x14ac:dyDescent="0.25">
      <c r="A24" s="33" t="s">
        <v>1891</v>
      </c>
      <c r="B24" s="28" t="s">
        <v>1890</v>
      </c>
      <c r="C24" s="29">
        <f>VLOOKUP('Comparison 2013 &amp; 2014'!A24,'2013 ATI summary data'!$A$1:$C$69,3,FALSE)</f>
        <v>17.412667999999968</v>
      </c>
      <c r="D24" s="29">
        <f>VLOOKUP(B24,'Overall scores and ranking'!$A$4:$B$71,2,FALSE)</f>
        <v>50.598212522694539</v>
      </c>
      <c r="E24" s="29">
        <f t="shared" si="0"/>
        <v>33.18554452269457</v>
      </c>
      <c r="F24" s="29"/>
      <c r="G24" s="35">
        <f>VLOOKUP(B24,'Overall scores and ranking'!$A$3:$C$71,3,FALSE)</f>
        <v>21</v>
      </c>
      <c r="H24" s="35">
        <f>VLOOKUP(Table3[[#This Row],[Org ID]],'2013 ATI summary data'!$A$1:$D$69,4,FALSE)</f>
        <v>47</v>
      </c>
      <c r="I24" s="36">
        <f>Table3[[#This Row],[Rank in 2013]]-Table3[[#This Row],[Rank in 2014]]</f>
        <v>26</v>
      </c>
      <c r="J24" s="32"/>
    </row>
    <row r="25" spans="1:10" x14ac:dyDescent="0.25">
      <c r="A25" s="31" t="s">
        <v>2788</v>
      </c>
      <c r="B25" s="27" t="s">
        <v>2787</v>
      </c>
      <c r="C25" s="29">
        <f>VLOOKUP('Comparison 2013 &amp; 2014'!A25,'2013 ATI summary data'!$A$1:$C$69,3,FALSE)</f>
        <v>50.7011944999999</v>
      </c>
      <c r="D25" s="29">
        <f>VLOOKUP(B25,'Overall scores and ranking'!$A$4:$B$71,2,FALSE)</f>
        <v>49.639004137678008</v>
      </c>
      <c r="E25" s="29">
        <f t="shared" si="0"/>
        <v>-1.0621903623218927</v>
      </c>
      <c r="F25" s="29"/>
      <c r="G25" s="35">
        <f>VLOOKUP(B25,'Overall scores and ranking'!$A$3:$C$71,3,FALSE)</f>
        <v>22</v>
      </c>
      <c r="H25" s="35">
        <f>VLOOKUP(Table3[[#This Row],[Org ID]],'2013 ATI summary data'!$A$1:$D$69,4,FALSE)</f>
        <v>15</v>
      </c>
      <c r="I25" s="36">
        <f>Table3[[#This Row],[Rank in 2013]]-Table3[[#This Row],[Rank in 2014]]</f>
        <v>-7</v>
      </c>
      <c r="J25" s="32"/>
    </row>
    <row r="26" spans="1:10" x14ac:dyDescent="0.25">
      <c r="A26" s="31" t="s">
        <v>1074</v>
      </c>
      <c r="B26" s="27" t="s">
        <v>1073</v>
      </c>
      <c r="C26" s="29">
        <f>VLOOKUP('Comparison 2013 &amp; 2014'!A26,'2013 ATI summary data'!$A$1:$C$69,3,FALSE)</f>
        <v>18.118105999999994</v>
      </c>
      <c r="D26" s="29">
        <f>VLOOKUP(B26,'Overall scores and ranking'!$A$4:$B$71,2,FALSE)</f>
        <v>46.551687042519696</v>
      </c>
      <c r="E26" s="29">
        <f t="shared" si="0"/>
        <v>28.433581042519702</v>
      </c>
      <c r="F26" s="29"/>
      <c r="G26" s="35">
        <f>VLOOKUP(B26,'Overall scores and ranking'!$A$3:$C$71,3,FALSE)</f>
        <v>23</v>
      </c>
      <c r="H26" s="35">
        <f>VLOOKUP(Table3[[#This Row],[Org ID]],'2013 ATI summary data'!$A$1:$D$69,4,FALSE)</f>
        <v>43</v>
      </c>
      <c r="I26" s="36">
        <f>Table3[[#This Row],[Rank in 2013]]-Table3[[#This Row],[Rank in 2014]]</f>
        <v>20</v>
      </c>
      <c r="J26" s="32"/>
    </row>
    <row r="27" spans="1:10" x14ac:dyDescent="0.25">
      <c r="A27" s="31" t="s">
        <v>992</v>
      </c>
      <c r="B27" s="27" t="s">
        <v>991</v>
      </c>
      <c r="C27" s="29">
        <f>VLOOKUP('Comparison 2013 &amp; 2014'!A27,'2013 ATI summary data'!$A$1:$C$69,3,FALSE)</f>
        <v>22.98703849999999</v>
      </c>
      <c r="D27" s="29">
        <f>VLOOKUP(B27,'Overall scores and ranking'!$A$4:$B$71,2,FALSE)</f>
        <v>46.272840186650129</v>
      </c>
      <c r="E27" s="29">
        <f t="shared" si="0"/>
        <v>23.285801686650139</v>
      </c>
      <c r="F27" s="29"/>
      <c r="G27" s="35">
        <f>VLOOKUP(B27,'Overall scores and ranking'!$A$3:$C$71,3,FALSE)</f>
        <v>24</v>
      </c>
      <c r="H27" s="35">
        <f>VLOOKUP(Table3[[#This Row],[Org ID]],'2013 ATI summary data'!$A$1:$D$69,4,FALSE)</f>
        <v>39</v>
      </c>
      <c r="I27" s="36">
        <f>Table3[[#This Row],[Rank in 2013]]-Table3[[#This Row],[Rank in 2014]]</f>
        <v>15</v>
      </c>
      <c r="J27" s="32"/>
    </row>
    <row r="28" spans="1:10" x14ac:dyDescent="0.25">
      <c r="A28" s="31" t="s">
        <v>2300</v>
      </c>
      <c r="B28" s="27" t="s">
        <v>2299</v>
      </c>
      <c r="C28" s="29">
        <f>VLOOKUP('Comparison 2013 &amp; 2014'!A28,'2013 ATI summary data'!$A$1:$C$69,3,FALSE)</f>
        <v>43.117778999999942</v>
      </c>
      <c r="D28" s="29">
        <f>VLOOKUP(B28,'Overall scores and ranking'!$A$4:$B$71,2,FALSE)</f>
        <v>45.912189861504473</v>
      </c>
      <c r="E28" s="29">
        <f t="shared" si="0"/>
        <v>2.7944108615045309</v>
      </c>
      <c r="F28" s="29"/>
      <c r="G28" s="35">
        <f>VLOOKUP(B28,'Overall scores and ranking'!$A$3:$C$71,3,FALSE)</f>
        <v>25</v>
      </c>
      <c r="H28" s="35">
        <f>VLOOKUP(Table3[[#This Row],[Org ID]],'2013 ATI summary data'!$A$1:$D$69,4,FALSE)</f>
        <v>24</v>
      </c>
      <c r="I28" s="36">
        <f>Table3[[#This Row],[Rank in 2013]]-Table3[[#This Row],[Rank in 2014]]</f>
        <v>-1</v>
      </c>
      <c r="J28" s="32"/>
    </row>
    <row r="29" spans="1:10" x14ac:dyDescent="0.25">
      <c r="A29" s="31" t="s">
        <v>1524</v>
      </c>
      <c r="B29" s="27" t="s">
        <v>1523</v>
      </c>
      <c r="C29" s="29">
        <f>VLOOKUP('Comparison 2013 &amp; 2014'!A29,'2013 ATI summary data'!$A$1:$C$69,3,FALSE)</f>
        <v>47.763188999999933</v>
      </c>
      <c r="D29" s="29">
        <f>VLOOKUP(B29,'Overall scores and ranking'!$A$4:$B$71,2,FALSE)</f>
        <v>45.12154717964065</v>
      </c>
      <c r="E29" s="29">
        <f t="shared" si="0"/>
        <v>-2.6416418203592826</v>
      </c>
      <c r="F29" s="29"/>
      <c r="G29" s="35">
        <f>VLOOKUP(B29,'Overall scores and ranking'!$A$3:$C$71,3,FALSE)</f>
        <v>26</v>
      </c>
      <c r="H29" s="35">
        <f>VLOOKUP(Table3[[#This Row],[Org ID]],'2013 ATI summary data'!$A$1:$D$69,4,FALSE)</f>
        <v>18</v>
      </c>
      <c r="I29" s="36">
        <f>Table3[[#This Row],[Rank in 2013]]-Table3[[#This Row],[Rank in 2014]]</f>
        <v>-8</v>
      </c>
      <c r="J29" s="32"/>
    </row>
    <row r="30" spans="1:10" x14ac:dyDescent="0.25">
      <c r="A30" s="31" t="s">
        <v>1442</v>
      </c>
      <c r="B30" s="27" t="s">
        <v>1441</v>
      </c>
      <c r="C30" s="29">
        <f>VLOOKUP('Comparison 2013 &amp; 2014'!A30,'2013 ATI summary data'!$A$1:$C$69,3,FALSE)</f>
        <v>26.651195999999999</v>
      </c>
      <c r="D30" s="29">
        <f>VLOOKUP(B30,'Overall scores and ranking'!$A$4:$B$71,2,FALSE)</f>
        <v>42.468069724950233</v>
      </c>
      <c r="E30" s="29">
        <f t="shared" si="0"/>
        <v>15.816873724950234</v>
      </c>
      <c r="F30" s="29"/>
      <c r="G30" s="35">
        <f>VLOOKUP(B30,'Overall scores and ranking'!$A$3:$C$71,3,FALSE)</f>
        <v>27</v>
      </c>
      <c r="H30" s="35">
        <f>VLOOKUP(Table3[[#This Row],[Org ID]],'2013 ATI summary data'!$A$1:$D$69,4,FALSE)</f>
        <v>32</v>
      </c>
      <c r="I30" s="36">
        <f>Table3[[#This Row],[Rank in 2013]]-Table3[[#This Row],[Rank in 2014]]</f>
        <v>5</v>
      </c>
      <c r="J30" s="32"/>
    </row>
    <row r="31" spans="1:10" x14ac:dyDescent="0.25">
      <c r="A31" s="31" t="s">
        <v>2829</v>
      </c>
      <c r="B31" s="27" t="s">
        <v>3188</v>
      </c>
      <c r="C31" s="29">
        <f>VLOOKUP('Comparison 2013 &amp; 2014'!A31,'2013 ATI summary data'!$A$1:$C$69,3,FALSE)</f>
        <v>13.254708499999998</v>
      </c>
      <c r="D31" s="29">
        <f>VLOOKUP(B31,'Overall scores and ranking'!$A$4:$B$71,2,FALSE)</f>
        <v>42.402737318470088</v>
      </c>
      <c r="E31" s="29">
        <f t="shared" si="0"/>
        <v>29.148028818470088</v>
      </c>
      <c r="F31" s="29"/>
      <c r="G31" s="35">
        <f>VLOOKUP(B31,'Overall scores and ranking'!$A$3:$C$71,3,FALSE)</f>
        <v>28</v>
      </c>
      <c r="H31" s="35">
        <f>VLOOKUP(Table3[[#This Row],[Org ID]],'2013 ATI summary data'!$A$1:$D$69,4,FALSE)</f>
        <v>52</v>
      </c>
      <c r="I31" s="36">
        <f>Table3[[#This Row],[Rank in 2013]]-Table3[[#This Row],[Rank in 2014]]</f>
        <v>24</v>
      </c>
      <c r="J31" s="32"/>
    </row>
    <row r="32" spans="1:10" x14ac:dyDescent="0.25">
      <c r="A32" s="33">
        <v>41127</v>
      </c>
      <c r="B32" s="28" t="s">
        <v>1032</v>
      </c>
      <c r="C32" s="29">
        <f>VLOOKUP('Comparison 2013 &amp; 2014'!A32,'2013 ATI summary data'!$A$1:$C$69,3,FALSE)</f>
        <v>41.71418631242296</v>
      </c>
      <c r="D32" s="29">
        <f>VLOOKUP(B32,'Overall scores and ranking'!$A$4:$B$71,2,FALSE)</f>
        <v>41.297011839690136</v>
      </c>
      <c r="E32" s="29">
        <f t="shared" si="0"/>
        <v>-0.4171744727328246</v>
      </c>
      <c r="F32" s="29"/>
      <c r="G32" s="35">
        <f>VLOOKUP(B32,'Overall scores and ranking'!$A$3:$C$71,3,FALSE)</f>
        <v>29</v>
      </c>
      <c r="H32" s="35">
        <f>VLOOKUP(Table3[[#This Row],[Org ID]],'2013 ATI summary data'!$A$1:$D$69,4,FALSE)</f>
        <v>25</v>
      </c>
      <c r="I32" s="36">
        <f>Table3[[#This Row],[Rank in 2013]]-Table3[[#This Row],[Rank in 2014]]</f>
        <v>-4</v>
      </c>
      <c r="J32" s="32"/>
    </row>
    <row r="33" spans="1:10" x14ac:dyDescent="0.25">
      <c r="A33" s="33" t="s">
        <v>2055</v>
      </c>
      <c r="B33" s="28" t="s">
        <v>2054</v>
      </c>
      <c r="C33" s="29">
        <f>VLOOKUP('Comparison 2013 &amp; 2014'!A33,'2013 ATI summary data'!$A$1:$C$69,3,FALSE)</f>
        <v>16.089969499999992</v>
      </c>
      <c r="D33" s="29">
        <f>VLOOKUP(B33,'Overall scores and ranking'!$A$4:$B$71,2,FALSE)</f>
        <v>40.666519451891098</v>
      </c>
      <c r="E33" s="29">
        <f t="shared" si="0"/>
        <v>24.576549951891106</v>
      </c>
      <c r="F33" s="29"/>
      <c r="G33" s="35">
        <f>VLOOKUP(B33,'Overall scores and ranking'!$A$3:$C$71,3,FALSE)</f>
        <v>30</v>
      </c>
      <c r="H33" s="35">
        <f>VLOOKUP(Table3[[#This Row],[Org ID]],'2013 ATI summary data'!$A$1:$D$69,4,FALSE)</f>
        <v>50</v>
      </c>
      <c r="I33" s="36">
        <f>Table3[[#This Row],[Rank in 2013]]-Table3[[#This Row],[Rank in 2014]]</f>
        <v>20</v>
      </c>
      <c r="J33" s="32"/>
    </row>
    <row r="34" spans="1:10" x14ac:dyDescent="0.25">
      <c r="A34" s="31" t="s">
        <v>1279</v>
      </c>
      <c r="B34" s="27" t="s">
        <v>1278</v>
      </c>
      <c r="C34" s="29">
        <f>VLOOKUP('Comparison 2013 &amp; 2014'!A34,'2013 ATI summary data'!$A$1:$C$69,3,FALSE)</f>
        <v>44.293991999999953</v>
      </c>
      <c r="D34" s="29">
        <f>VLOOKUP(B34,'Overall scores and ranking'!$A$4:$B$71,2,FALSE)</f>
        <v>40.312333617246189</v>
      </c>
      <c r="E34" s="29">
        <f t="shared" si="0"/>
        <v>-3.9816583827537642</v>
      </c>
      <c r="F34" s="29"/>
      <c r="G34" s="35">
        <f>VLOOKUP(B34,'Overall scores and ranking'!$A$3:$C$71,3,FALSE)</f>
        <v>31</v>
      </c>
      <c r="H34" s="35">
        <f>VLOOKUP(Table3[[#This Row],[Org ID]],'2013 ATI summary data'!$A$1:$D$69,4,FALSE)</f>
        <v>22</v>
      </c>
      <c r="I34" s="36">
        <f>Table3[[#This Row],[Rank in 2013]]-Table3[[#This Row],[Rank in 2014]]</f>
        <v>-9</v>
      </c>
      <c r="J34" s="32"/>
    </row>
    <row r="35" spans="1:10" x14ac:dyDescent="0.25">
      <c r="A35" s="31" t="s">
        <v>1401</v>
      </c>
      <c r="B35" s="27" t="s">
        <v>1400</v>
      </c>
      <c r="C35" s="29">
        <f>VLOOKUP('Comparison 2013 &amp; 2014'!A35,'2013 ATI summary data'!$A$1:$C$69,3,FALSE)</f>
        <v>22.138253999999989</v>
      </c>
      <c r="D35" s="29">
        <f>VLOOKUP(B35,'Overall scores and ranking'!$A$4:$B$71,2,FALSE)</f>
        <v>38.802452131578917</v>
      </c>
      <c r="E35" s="29">
        <f t="shared" si="0"/>
        <v>16.664198131578928</v>
      </c>
      <c r="F35" s="29"/>
      <c r="G35" s="35">
        <f>VLOOKUP(B35,'Overall scores and ranking'!$A$3:$C$71,3,FALSE)</f>
        <v>32</v>
      </c>
      <c r="H35" s="35">
        <f>VLOOKUP(Table3[[#This Row],[Org ID]],'2013 ATI summary data'!$A$1:$D$69,4,FALSE)</f>
        <v>40</v>
      </c>
      <c r="I35" s="36">
        <f>Table3[[#This Row],[Rank in 2013]]-Table3[[#This Row],[Rank in 2014]]</f>
        <v>8</v>
      </c>
      <c r="J35" s="32"/>
    </row>
    <row r="36" spans="1:10" x14ac:dyDescent="0.25">
      <c r="A36" s="31" t="s">
        <v>540</v>
      </c>
      <c r="B36" s="27" t="s">
        <v>539</v>
      </c>
      <c r="C36" s="29">
        <f>VLOOKUP('Comparison 2013 &amp; 2014'!A36,'2013 ATI summary data'!$A$1:$C$69,3,FALSE)</f>
        <v>23.513682499999987</v>
      </c>
      <c r="D36" s="29">
        <f>VLOOKUP(B36,'Overall scores and ranking'!$A$4:$B$71,2,FALSE)</f>
        <v>37.214129285714243</v>
      </c>
      <c r="E36" s="29">
        <f t="shared" ref="E36:E58" si="1">D36-C36</f>
        <v>13.700446785714256</v>
      </c>
      <c r="F36" s="29"/>
      <c r="G36" s="35">
        <f>VLOOKUP(B36,'Overall scores and ranking'!$A$3:$C$71,3,FALSE)</f>
        <v>33</v>
      </c>
      <c r="H36" s="35">
        <f>VLOOKUP(Table3[[#This Row],[Org ID]],'2013 ATI summary data'!$A$1:$D$69,4,FALSE)</f>
        <v>37</v>
      </c>
      <c r="I36" s="36">
        <f>Table3[[#This Row],[Rank in 2013]]-Table3[[#This Row],[Rank in 2014]]</f>
        <v>4</v>
      </c>
      <c r="J36" s="32"/>
    </row>
    <row r="37" spans="1:10" x14ac:dyDescent="0.25">
      <c r="A37" s="33" t="s">
        <v>1360</v>
      </c>
      <c r="B37" s="28" t="s">
        <v>1359</v>
      </c>
      <c r="C37" s="29">
        <f>VLOOKUP('Comparison 2013 &amp; 2014'!A37,'2013 ATI summary data'!$A$1:$C$69,3,FALSE)</f>
        <v>34.684080499999936</v>
      </c>
      <c r="D37" s="29">
        <f>VLOOKUP(B37,'Overall scores and ranking'!$A$4:$B$71,2,FALSE)</f>
        <v>35.797104351262803</v>
      </c>
      <c r="E37" s="29">
        <f t="shared" si="1"/>
        <v>1.1130238512628665</v>
      </c>
      <c r="F37" s="29"/>
      <c r="G37" s="35">
        <f>VLOOKUP(B37,'Overall scores and ranking'!$A$3:$C$71,3,FALSE)</f>
        <v>35</v>
      </c>
      <c r="H37" s="35">
        <f>VLOOKUP(Table3[[#This Row],[Org ID]],'2013 ATI summary data'!$A$1:$D$69,4,FALSE)</f>
        <v>26</v>
      </c>
      <c r="I37" s="36">
        <f>Table3[[#This Row],[Rank in 2013]]-Table3[[#This Row],[Rank in 2014]]</f>
        <v>-9</v>
      </c>
      <c r="J37" s="32"/>
    </row>
    <row r="38" spans="1:10" x14ac:dyDescent="0.25">
      <c r="A38" s="31" t="s">
        <v>623</v>
      </c>
      <c r="B38" s="27" t="s">
        <v>622</v>
      </c>
      <c r="C38" s="29">
        <f>VLOOKUP('Comparison 2013 &amp; 2014'!A38,'2013 ATI summary data'!$A$1:$C$69,3,FALSE)</f>
        <v>27.939006999999997</v>
      </c>
      <c r="D38" s="29">
        <f>VLOOKUP(B38,'Overall scores and ranking'!$A$4:$B$71,2,FALSE)</f>
        <v>36.894750999999985</v>
      </c>
      <c r="E38" s="29">
        <f t="shared" si="1"/>
        <v>8.9557439999999886</v>
      </c>
      <c r="F38" s="29"/>
      <c r="G38" s="35">
        <f>VLOOKUP(B38,'Overall scores and ranking'!$A$3:$C$71,3,FALSE)</f>
        <v>34</v>
      </c>
      <c r="H38" s="35">
        <f>VLOOKUP(Table3[[#This Row],[Org ID]],'2013 ATI summary data'!$A$1:$D$69,4,FALSE)</f>
        <v>30</v>
      </c>
      <c r="I38" s="36">
        <f>Table3[[#This Row],[Rank in 2013]]-Table3[[#This Row],[Rank in 2014]]</f>
        <v>-4</v>
      </c>
      <c r="J38" s="32"/>
    </row>
    <row r="39" spans="1:10" x14ac:dyDescent="0.25">
      <c r="A39" s="33" t="s">
        <v>2585</v>
      </c>
      <c r="B39" s="28" t="s">
        <v>2584</v>
      </c>
      <c r="C39" s="29">
        <f>VLOOKUP('Comparison 2013 &amp; 2014'!A39,'2013 ATI summary data'!$A$1:$C$69,3,FALSE)</f>
        <v>47.372516999999924</v>
      </c>
      <c r="D39" s="29">
        <f>VLOOKUP(B39,'Overall scores and ranking'!$A$4:$B$71,2,FALSE)</f>
        <v>34.8284995</v>
      </c>
      <c r="E39" s="29">
        <f t="shared" si="1"/>
        <v>-12.544017499999924</v>
      </c>
      <c r="F39" s="29"/>
      <c r="G39" s="35">
        <f>VLOOKUP(B39,'Overall scores and ranking'!$A$3:$C$71,3,FALSE)</f>
        <v>36</v>
      </c>
      <c r="H39" s="35">
        <f>VLOOKUP(Table3[[#This Row],[Org ID]],'2013 ATI summary data'!$A$1:$D$69,4,FALSE)</f>
        <v>19</v>
      </c>
      <c r="I39" s="36">
        <f>Table3[[#This Row],[Rank in 2013]]-Table3[[#This Row],[Rank in 2014]]</f>
        <v>-17</v>
      </c>
      <c r="J39" s="32"/>
    </row>
    <row r="40" spans="1:10" x14ac:dyDescent="0.25">
      <c r="A40" s="33">
        <v>43000</v>
      </c>
      <c r="B40" s="28" t="s">
        <v>499</v>
      </c>
      <c r="C40" s="29">
        <f>VLOOKUP('Comparison 2013 &amp; 2014'!A40,'2013 ATI summary data'!$A$1:$C$69,3,FALSE)</f>
        <v>31.827525499999993</v>
      </c>
      <c r="D40" s="29">
        <f>VLOOKUP(B40,'Overall scores and ranking'!$A$4:$B$71,2,FALSE)</f>
        <v>31.595881999999996</v>
      </c>
      <c r="E40" s="29">
        <f t="shared" si="1"/>
        <v>-0.231643499999997</v>
      </c>
      <c r="F40" s="29"/>
      <c r="G40" s="35">
        <f>VLOOKUP(B40,'Overall scores and ranking'!$A$3:$C$71,3,FALSE)</f>
        <v>37</v>
      </c>
      <c r="H40" s="35">
        <f>VLOOKUP(Table3[[#This Row],[Org ID]],'2013 ATI summary data'!$A$1:$D$69,4,FALSE)</f>
        <v>28</v>
      </c>
      <c r="I40" s="36">
        <f>Table3[[#This Row],[Rank in 2013]]-Table3[[#This Row],[Rank in 2014]]</f>
        <v>-9</v>
      </c>
      <c r="J40" s="32"/>
    </row>
    <row r="41" spans="1:10" x14ac:dyDescent="0.25">
      <c r="A41" s="33" t="s">
        <v>2667</v>
      </c>
      <c r="B41" s="28" t="s">
        <v>2666</v>
      </c>
      <c r="C41" s="29">
        <f>VLOOKUP('Comparison 2013 &amp; 2014'!A41,'2013 ATI summary data'!$A$1:$C$69,3,FALSE)</f>
        <v>33.675595499999986</v>
      </c>
      <c r="D41" s="29">
        <f>VLOOKUP(B41,'Overall scores and ranking'!$A$4:$B$71,2,FALSE)</f>
        <v>30.756310119433174</v>
      </c>
      <c r="E41" s="29">
        <f t="shared" si="1"/>
        <v>-2.9192853805668122</v>
      </c>
      <c r="F41" s="29"/>
      <c r="G41" s="35">
        <f>VLOOKUP(B41,'Overall scores and ranking'!$A$3:$C$71,3,FALSE)</f>
        <v>38</v>
      </c>
      <c r="H41" s="35">
        <f>VLOOKUP(Table3[[#This Row],[Org ID]],'2013 ATI summary data'!$A$1:$D$69,4,FALSE)</f>
        <v>27</v>
      </c>
      <c r="I41" s="36">
        <f>Table3[[#This Row],[Rank in 2013]]-Table3[[#This Row],[Rank in 2014]]</f>
        <v>-11</v>
      </c>
      <c r="J41" s="32"/>
    </row>
    <row r="42" spans="1:10" x14ac:dyDescent="0.25">
      <c r="A42" s="33">
        <v>44004</v>
      </c>
      <c r="B42" s="28" t="s">
        <v>2503</v>
      </c>
      <c r="C42" s="29">
        <f>VLOOKUP('Comparison 2013 &amp; 2014'!A42,'2013 ATI summary data'!$A$1:$C$69,3,FALSE)</f>
        <v>30.127958999999997</v>
      </c>
      <c r="D42" s="29">
        <f>VLOOKUP(B42,'Overall scores and ranking'!$A$4:$B$71,2,FALSE)</f>
        <v>30.617910000000002</v>
      </c>
      <c r="E42" s="29">
        <f t="shared" si="1"/>
        <v>0.48995100000000491</v>
      </c>
      <c r="F42" s="29"/>
      <c r="G42" s="35">
        <f>VLOOKUP(B42,'Overall scores and ranking'!$A$3:$C$71,3,FALSE)</f>
        <v>39</v>
      </c>
      <c r="H42" s="35">
        <f>VLOOKUP(Table3[[#This Row],[Org ID]],'2013 ATI summary data'!$A$1:$D$69,4,FALSE)</f>
        <v>29</v>
      </c>
      <c r="I42" s="36">
        <f>Table3[[#This Row],[Rank in 2013]]-Table3[[#This Row],[Rank in 2014]]</f>
        <v>-10</v>
      </c>
      <c r="J42" s="32"/>
    </row>
    <row r="43" spans="1:10" x14ac:dyDescent="0.25">
      <c r="A43" s="33" t="s">
        <v>215</v>
      </c>
      <c r="B43" s="28" t="s">
        <v>214</v>
      </c>
      <c r="C43" s="29">
        <f>VLOOKUP('Comparison 2013 &amp; 2014'!A43,'2013 ATI summary data'!$A$1:$C$69,3,FALSE)</f>
        <v>24.409902999999996</v>
      </c>
      <c r="D43" s="29">
        <f>VLOOKUP(B43,'Overall scores and ranking'!$A$4:$B$71,2,FALSE)</f>
        <v>29.489809999999995</v>
      </c>
      <c r="E43" s="29">
        <f t="shared" si="1"/>
        <v>5.0799069999999986</v>
      </c>
      <c r="F43" s="29"/>
      <c r="G43" s="35">
        <f>VLOOKUP(B43,'Overall scores and ranking'!$A$3:$C$71,3,FALSE)</f>
        <v>40</v>
      </c>
      <c r="H43" s="35">
        <f>VLOOKUP(Table3[[#This Row],[Org ID]],'2013 ATI summary data'!$A$1:$D$69,4,FALSE)</f>
        <v>35</v>
      </c>
      <c r="I43" s="36">
        <f>Table3[[#This Row],[Rank in 2013]]-Table3[[#This Row],[Rank in 2014]]</f>
        <v>-5</v>
      </c>
      <c r="J43" s="32"/>
    </row>
    <row r="44" spans="1:10" x14ac:dyDescent="0.25">
      <c r="A44" s="33" t="s">
        <v>336</v>
      </c>
      <c r="B44" s="28" t="s">
        <v>335</v>
      </c>
      <c r="C44" s="29">
        <f>VLOOKUP('Comparison 2013 &amp; 2014'!A44,'2013 ATI summary data'!$A$1:$C$69,3,FALSE)</f>
        <v>23.557765499999995</v>
      </c>
      <c r="D44" s="29">
        <f>VLOOKUP(B44,'Overall scores and ranking'!$A$4:$B$71,2,FALSE)</f>
        <v>28.231219999999993</v>
      </c>
      <c r="E44" s="29">
        <f t="shared" si="1"/>
        <v>4.6734544999999983</v>
      </c>
      <c r="F44" s="29"/>
      <c r="G44" s="35">
        <f>VLOOKUP(B44,'Overall scores and ranking'!$A$3:$C$71,3,FALSE)</f>
        <v>41</v>
      </c>
      <c r="H44" s="35">
        <f>VLOOKUP(Table3[[#This Row],[Org ID]],'2013 ATI summary data'!$A$1:$D$69,4,FALSE)</f>
        <v>36</v>
      </c>
      <c r="I44" s="36">
        <f>Table3[[#This Row],[Rank in 2013]]-Table3[[#This Row],[Rank in 2014]]</f>
        <v>-5</v>
      </c>
      <c r="J44" s="32"/>
    </row>
    <row r="45" spans="1:10" x14ac:dyDescent="0.25">
      <c r="A45" s="33" t="s">
        <v>1727</v>
      </c>
      <c r="B45" s="28" t="s">
        <v>1726</v>
      </c>
      <c r="C45" s="29">
        <f>VLOOKUP('Comparison 2013 &amp; 2014'!A45,'2013 ATI summary data'!$A$1:$C$69,3,FALSE)</f>
        <v>26.939993999999981</v>
      </c>
      <c r="D45" s="29">
        <f>VLOOKUP(B45,'Overall scores and ranking'!$A$4:$B$71,2,FALSE)</f>
        <v>27.648543999999998</v>
      </c>
      <c r="E45" s="29">
        <f t="shared" si="1"/>
        <v>0.70855000000001667</v>
      </c>
      <c r="F45" s="29"/>
      <c r="G45" s="35">
        <f>VLOOKUP(B45,'Overall scores and ranking'!$A$3:$C$71,3,FALSE)</f>
        <v>42</v>
      </c>
      <c r="H45" s="35">
        <f>VLOOKUP(Table3[[#This Row],[Org ID]],'2013 ATI summary data'!$A$1:$D$69,4,FALSE)</f>
        <v>31</v>
      </c>
      <c r="I45" s="36">
        <f>Table3[[#This Row],[Rank in 2013]]-Table3[[#This Row],[Rank in 2014]]</f>
        <v>-11</v>
      </c>
      <c r="J45" s="32"/>
    </row>
    <row r="46" spans="1:10" x14ac:dyDescent="0.25">
      <c r="A46" s="33" t="s">
        <v>705</v>
      </c>
      <c r="B46" s="28" t="s">
        <v>704</v>
      </c>
      <c r="C46" s="29">
        <f>VLOOKUP('Comparison 2013 &amp; 2014'!A46,'2013 ATI summary data'!$A$1:$C$69,3,FALSE)</f>
        <v>17.434498999999988</v>
      </c>
      <c r="D46" s="29">
        <f>VLOOKUP(B46,'Overall scores and ranking'!$A$4:$B$71,2,FALSE)</f>
        <v>26.544537499999997</v>
      </c>
      <c r="E46" s="29">
        <f t="shared" si="1"/>
        <v>9.1100385000000088</v>
      </c>
      <c r="F46" s="29"/>
      <c r="G46" s="35">
        <f>VLOOKUP(B46,'Overall scores and ranking'!$A$3:$C$71,3,FALSE)</f>
        <v>43</v>
      </c>
      <c r="H46" s="35">
        <f>VLOOKUP(Table3[[#This Row],[Org ID]],'2013 ATI summary data'!$A$1:$D$69,4,FALSE)</f>
        <v>46</v>
      </c>
      <c r="I46" s="36">
        <f>Table3[[#This Row],[Rank in 2013]]-Table3[[#This Row],[Rank in 2014]]</f>
        <v>3</v>
      </c>
      <c r="J46" s="32"/>
    </row>
    <row r="47" spans="1:10" x14ac:dyDescent="0.25">
      <c r="A47" s="33" t="s">
        <v>2136</v>
      </c>
      <c r="B47" s="28" t="s">
        <v>2135</v>
      </c>
      <c r="C47" s="29">
        <f>VLOOKUP('Comparison 2013 &amp; 2014'!A47,'2013 ATI summary data'!$A$1:$C$69,3,FALSE)</f>
        <v>16.314527500000001</v>
      </c>
      <c r="D47" s="29">
        <f>VLOOKUP(B47,'Overall scores and ranking'!$A$4:$B$71,2,FALSE)</f>
        <v>24.667978499999986</v>
      </c>
      <c r="E47" s="29">
        <f t="shared" si="1"/>
        <v>8.3534509999999855</v>
      </c>
      <c r="F47" s="29"/>
      <c r="G47" s="35">
        <f>VLOOKUP(B47,'Overall scores and ranking'!$A$3:$C$71,3,FALSE)</f>
        <v>44</v>
      </c>
      <c r="H47" s="35">
        <f>VLOOKUP(Table3[[#This Row],[Org ID]],'2013 ATI summary data'!$A$1:$D$69,4,FALSE)</f>
        <v>49</v>
      </c>
      <c r="I47" s="36">
        <f>Table3[[#This Row],[Rank in 2013]]-Table3[[#This Row],[Rank in 2014]]</f>
        <v>5</v>
      </c>
      <c r="J47" s="32"/>
    </row>
    <row r="48" spans="1:10" x14ac:dyDescent="0.25">
      <c r="A48" s="33">
        <v>42004</v>
      </c>
      <c r="B48" s="28" t="s">
        <v>295</v>
      </c>
      <c r="C48" s="29">
        <f>VLOOKUP('Comparison 2013 &amp; 2014'!A48,'2013 ATI summary data'!$A$1:$C$69,3,FALSE)</f>
        <v>26.642354999999988</v>
      </c>
      <c r="D48" s="29">
        <f>VLOOKUP(B48,'Overall scores and ranking'!$A$4:$B$71,2,FALSE)</f>
        <v>24.577408999999996</v>
      </c>
      <c r="E48" s="29">
        <f t="shared" si="1"/>
        <v>-2.064945999999992</v>
      </c>
      <c r="F48" s="29"/>
      <c r="G48" s="35">
        <f>VLOOKUP(B48,'Overall scores and ranking'!$A$3:$C$71,3,FALSE)</f>
        <v>45</v>
      </c>
      <c r="H48" s="35">
        <f>VLOOKUP(Table3[[#This Row],[Org ID]],'2013 ATI summary data'!$A$1:$D$69,4,FALSE)</f>
        <v>33</v>
      </c>
      <c r="I48" s="36">
        <f>Table3[[#This Row],[Rank in 2013]]-Table3[[#This Row],[Rank in 2014]]</f>
        <v>-12</v>
      </c>
      <c r="J48" s="32"/>
    </row>
    <row r="49" spans="1:10" x14ac:dyDescent="0.25">
      <c r="A49" s="31">
        <v>46015</v>
      </c>
      <c r="B49" s="27" t="s">
        <v>255</v>
      </c>
      <c r="C49" s="29">
        <f>VLOOKUP('Comparison 2013 &amp; 2014'!A49,'2013 ATI summary data'!$A$1:$C$69,3,FALSE)</f>
        <v>24.502366999999989</v>
      </c>
      <c r="D49" s="29">
        <f>VLOOKUP(B49,'Overall scores and ranking'!$A$4:$B$71,2,FALSE)</f>
        <v>24.502645999999995</v>
      </c>
      <c r="E49" s="29">
        <f t="shared" si="1"/>
        <v>2.7900000000613545E-4</v>
      </c>
      <c r="F49" s="29"/>
      <c r="G49" s="35">
        <f>VLOOKUP(B49,'Overall scores and ranking'!$A$3:$C$71,3,FALSE)</f>
        <v>46</v>
      </c>
      <c r="H49" s="35">
        <f>VLOOKUP(Table3[[#This Row],[Org ID]],'2013 ATI summary data'!$A$1:$D$69,4,FALSE)</f>
        <v>34</v>
      </c>
      <c r="I49" s="36">
        <f>Table3[[#This Row],[Rank in 2013]]-Table3[[#This Row],[Rank in 2014]]</f>
        <v>-12</v>
      </c>
      <c r="J49" s="32"/>
    </row>
    <row r="50" spans="1:10" x14ac:dyDescent="0.25">
      <c r="A50" s="33" t="s">
        <v>29</v>
      </c>
      <c r="B50" s="28" t="s">
        <v>28</v>
      </c>
      <c r="C50" s="29">
        <f>VLOOKUP('Comparison 2013 &amp; 2014'!A50,'2013 ATI summary data'!$A$1:$C$69,3,FALSE)</f>
        <v>20.389328499999991</v>
      </c>
      <c r="D50" s="29">
        <f>VLOOKUP(B50,'Overall scores and ranking'!$A$4:$B$71,2,FALSE)</f>
        <v>19.072684999999986</v>
      </c>
      <c r="E50" s="29">
        <f t="shared" si="1"/>
        <v>-1.316643500000005</v>
      </c>
      <c r="F50" s="29"/>
      <c r="G50" s="35">
        <f>VLOOKUP(B50,'Overall scores and ranking'!$A$3:$C$71,3,FALSE)</f>
        <v>47</v>
      </c>
      <c r="H50" s="35">
        <f>VLOOKUP(Table3[[#This Row],[Org ID]],'2013 ATI summary data'!$A$1:$D$69,4,FALSE)</f>
        <v>41</v>
      </c>
      <c r="I50" s="36">
        <f>Table3[[#This Row],[Rank in 2013]]-Table3[[#This Row],[Rank in 2014]]</f>
        <v>-6</v>
      </c>
      <c r="J50" s="32"/>
    </row>
    <row r="51" spans="1:10" x14ac:dyDescent="0.25">
      <c r="A51" s="33" t="s">
        <v>664</v>
      </c>
      <c r="B51" s="28" t="s">
        <v>663</v>
      </c>
      <c r="C51" s="29">
        <f>VLOOKUP('Comparison 2013 &amp; 2014'!A51,'2013 ATI summary data'!$A$1:$C$69,3,FALSE)</f>
        <v>17.799502999999998</v>
      </c>
      <c r="D51" s="29">
        <f>VLOOKUP(B51,'Overall scores and ranking'!$A$4:$B$71,2,FALSE)</f>
        <v>19.032905999999997</v>
      </c>
      <c r="E51" s="29">
        <f t="shared" si="1"/>
        <v>1.2334029999999991</v>
      </c>
      <c r="F51" s="29"/>
      <c r="G51" s="35">
        <f>VLOOKUP(B51,'Overall scores and ranking'!$A$3:$C$71,3,FALSE)</f>
        <v>48</v>
      </c>
      <c r="H51" s="35">
        <f>VLOOKUP(Table3[[#This Row],[Org ID]],'2013 ATI summary data'!$A$1:$D$69,4,FALSE)</f>
        <v>45</v>
      </c>
      <c r="I51" s="36">
        <f>Table3[[#This Row],[Rank in 2013]]-Table3[[#This Row],[Rank in 2014]]</f>
        <v>-3</v>
      </c>
      <c r="J51" s="32"/>
    </row>
    <row r="52" spans="1:10" x14ac:dyDescent="0.25">
      <c r="A52" s="31" t="s">
        <v>1932</v>
      </c>
      <c r="B52" s="27" t="s">
        <v>1931</v>
      </c>
      <c r="C52" s="29">
        <f>VLOOKUP('Comparison 2013 &amp; 2014'!A52,'2013 ATI summary data'!$A$1:$C$69,3,FALSE)</f>
        <v>23.40126699999999</v>
      </c>
      <c r="D52" s="29">
        <f>VLOOKUP(B52,'Overall scores and ranking'!$A$4:$B$71,2,FALSE)</f>
        <v>18.846488999999988</v>
      </c>
      <c r="E52" s="29">
        <f t="shared" si="1"/>
        <v>-4.5547780000000024</v>
      </c>
      <c r="F52" s="29"/>
      <c r="G52" s="35">
        <f>VLOOKUP(B52,'Overall scores and ranking'!$A$3:$C$71,3,FALSE)</f>
        <v>49</v>
      </c>
      <c r="H52" s="35">
        <f>VLOOKUP(Table3[[#This Row],[Org ID]],'2013 ATI summary data'!$A$1:$D$69,4,FALSE)</f>
        <v>38</v>
      </c>
      <c r="I52" s="36">
        <f>Table3[[#This Row],[Rank in 2013]]-Table3[[#This Row],[Rank in 2014]]</f>
        <v>-11</v>
      </c>
      <c r="J52" s="32"/>
    </row>
    <row r="53" spans="1:10" x14ac:dyDescent="0.25">
      <c r="A53" s="33" t="s">
        <v>1809</v>
      </c>
      <c r="B53" s="28" t="s">
        <v>1808</v>
      </c>
      <c r="C53" s="29">
        <f>VLOOKUP('Comparison 2013 &amp; 2014'!A53,'2013 ATI summary data'!$A$1:$C$69,3,FALSE)</f>
        <v>19.19591999999999</v>
      </c>
      <c r="D53" s="29">
        <f>VLOOKUP(B53,'Overall scores and ranking'!$A$4:$B$71,2,FALSE)</f>
        <v>18.812663999999987</v>
      </c>
      <c r="E53" s="29">
        <f t="shared" si="1"/>
        <v>-0.38325600000000293</v>
      </c>
      <c r="F53" s="29"/>
      <c r="G53" s="35">
        <f>VLOOKUP(B53,'Overall scores and ranking'!$A$3:$C$71,3,FALSE)</f>
        <v>50</v>
      </c>
      <c r="H53" s="35">
        <f>VLOOKUP(Table3[[#This Row],[Org ID]],'2013 ATI summary data'!$A$1:$D$69,4,FALSE)</f>
        <v>42</v>
      </c>
      <c r="I53" s="36">
        <f>Table3[[#This Row],[Rank in 2013]]-Table3[[#This Row],[Rank in 2014]]</f>
        <v>-8</v>
      </c>
      <c r="J53" s="32"/>
    </row>
    <row r="54" spans="1:10" x14ac:dyDescent="0.25">
      <c r="A54" s="33" t="s">
        <v>787</v>
      </c>
      <c r="B54" s="28" t="s">
        <v>786</v>
      </c>
      <c r="C54" s="29">
        <f>VLOOKUP('Comparison 2013 &amp; 2014'!A54,'2013 ATI summary data'!$A$1:$C$69,3,FALSE)</f>
        <v>11.984491499999999</v>
      </c>
      <c r="D54" s="29">
        <f>VLOOKUP(B54,'Overall scores and ranking'!$A$4:$B$71,2,FALSE)</f>
        <v>18.250666999999986</v>
      </c>
      <c r="E54" s="29">
        <f t="shared" si="1"/>
        <v>6.2661754999999868</v>
      </c>
      <c r="F54" s="29"/>
      <c r="G54" s="35">
        <f>VLOOKUP(B54,'Overall scores and ranking'!$A$3:$C$71,3,FALSE)</f>
        <v>51</v>
      </c>
      <c r="H54" s="35">
        <f>VLOOKUP(Table3[[#This Row],[Org ID]],'2013 ATI summary data'!$A$1:$D$69,4,FALSE)</f>
        <v>55</v>
      </c>
      <c r="I54" s="36">
        <f>Table3[[#This Row],[Rank in 2013]]-Table3[[#This Row],[Rank in 2014]]</f>
        <v>4</v>
      </c>
      <c r="J54" s="32"/>
    </row>
    <row r="55" spans="1:10" x14ac:dyDescent="0.25">
      <c r="A55" s="31" t="s">
        <v>828</v>
      </c>
      <c r="B55" s="27" t="s">
        <v>827</v>
      </c>
      <c r="C55" s="29">
        <f>VLOOKUP('Comparison 2013 &amp; 2014'!A55,'2013 ATI summary data'!$A$1:$C$69,3,FALSE)</f>
        <v>10.804860999999999</v>
      </c>
      <c r="D55" s="29">
        <f>VLOOKUP(B55,'Overall scores and ranking'!$A$4:$B$71,2,FALSE)</f>
        <v>17.784162999999985</v>
      </c>
      <c r="E55" s="29">
        <f t="shared" si="1"/>
        <v>6.9793019999999864</v>
      </c>
      <c r="F55" s="29"/>
      <c r="G55" s="35">
        <f>VLOOKUP(B55,'Overall scores and ranking'!$A$3:$C$71,3,FALSE)</f>
        <v>52</v>
      </c>
      <c r="H55" s="35">
        <f>VLOOKUP(Table3[[#This Row],[Org ID]],'2013 ATI summary data'!$A$1:$D$69,4,FALSE)</f>
        <v>58</v>
      </c>
      <c r="I55" s="36">
        <f>Table3[[#This Row],[Rank in 2013]]-Table3[[#This Row],[Rank in 2014]]</f>
        <v>6</v>
      </c>
      <c r="J55" s="32"/>
    </row>
    <row r="56" spans="1:10" x14ac:dyDescent="0.25">
      <c r="A56" s="33" t="s">
        <v>582</v>
      </c>
      <c r="B56" s="28" t="s">
        <v>581</v>
      </c>
      <c r="C56" s="29">
        <f>VLOOKUP('Comparison 2013 &amp; 2014'!A56,'2013 ATI summary data'!$A$1:$C$69,3,FALSE)</f>
        <v>17.167449999999985</v>
      </c>
      <c r="D56" s="29">
        <f>VLOOKUP(B56,'Overall scores and ranking'!$A$4:$B$71,2,FALSE)</f>
        <v>17.012573999999987</v>
      </c>
      <c r="E56" s="29">
        <f t="shared" si="1"/>
        <v>-0.15487599999999802</v>
      </c>
      <c r="F56" s="29"/>
      <c r="G56" s="35">
        <f>VLOOKUP(B56,'Overall scores and ranking'!$A$3:$C$71,3,FALSE)</f>
        <v>53</v>
      </c>
      <c r="H56" s="35">
        <f>VLOOKUP(Table3[[#This Row],[Org ID]],'2013 ATI summary data'!$A$1:$D$69,4,FALSE)</f>
        <v>48</v>
      </c>
      <c r="I56" s="36">
        <f>Table3[[#This Row],[Rank in 2013]]-Table3[[#This Row],[Rank in 2014]]</f>
        <v>-5</v>
      </c>
      <c r="J56" s="32"/>
    </row>
    <row r="57" spans="1:10" x14ac:dyDescent="0.25">
      <c r="A57" s="33" t="s">
        <v>2341</v>
      </c>
      <c r="B57" s="28" t="s">
        <v>2340</v>
      </c>
      <c r="C57" s="29">
        <f>VLOOKUP('Comparison 2013 &amp; 2014'!A57,'2013 ATI summary data'!$A$1:$C$69,3,FALSE)</f>
        <v>9.9760439999999875</v>
      </c>
      <c r="D57" s="29">
        <f>VLOOKUP(B57,'Overall scores and ranking'!$A$4:$B$71,2,FALSE)</f>
        <v>15.646043999999986</v>
      </c>
      <c r="E57" s="29">
        <f t="shared" si="1"/>
        <v>5.6699999999999982</v>
      </c>
      <c r="F57" s="29"/>
      <c r="G57" s="35">
        <f>VLOOKUP(B57,'Overall scores and ranking'!$A$3:$C$71,3,FALSE)</f>
        <v>54</v>
      </c>
      <c r="H57" s="35">
        <f>VLOOKUP(Table3[[#This Row],[Org ID]],'2013 ATI summary data'!$A$1:$D$69,4,FALSE)</f>
        <v>60</v>
      </c>
      <c r="I57" s="36">
        <f>Table3[[#This Row],[Rank in 2013]]-Table3[[#This Row],[Rank in 2014]]</f>
        <v>6</v>
      </c>
      <c r="J57" s="32"/>
    </row>
    <row r="58" spans="1:10" x14ac:dyDescent="0.25">
      <c r="A58" s="31" t="s">
        <v>1565</v>
      </c>
      <c r="B58" s="27" t="s">
        <v>1564</v>
      </c>
      <c r="C58" s="29">
        <f>VLOOKUP('Comparison 2013 &amp; 2014'!A58,'2013 ATI summary data'!$A$1:$C$69,3,FALSE)</f>
        <v>11.349598499999992</v>
      </c>
      <c r="D58" s="29">
        <f>VLOOKUP(B58,'Overall scores and ranking'!$A$4:$B$71,2,FALSE)</f>
        <v>14.359405999999987</v>
      </c>
      <c r="E58" s="29">
        <f t="shared" si="1"/>
        <v>3.0098074999999955</v>
      </c>
      <c r="F58" s="29"/>
      <c r="G58" s="35">
        <f>VLOOKUP(B58,'Overall scores and ranking'!$A$3:$C$71,3,FALSE)</f>
        <v>55</v>
      </c>
      <c r="H58" s="35">
        <f>VLOOKUP(Table3[[#This Row],[Org ID]],'2013 ATI summary data'!$A$1:$D$69,4,FALSE)</f>
        <v>57</v>
      </c>
      <c r="I58" s="36">
        <f>Table3[[#This Row],[Rank in 2013]]-Table3[[#This Row],[Rank in 2014]]</f>
        <v>2</v>
      </c>
      <c r="J58" s="32"/>
    </row>
    <row r="59" spans="1:10" x14ac:dyDescent="0.25">
      <c r="A59" s="33" t="s">
        <v>174</v>
      </c>
      <c r="B59" s="28" t="s">
        <v>173</v>
      </c>
      <c r="C59" s="29"/>
      <c r="D59" s="29">
        <f>VLOOKUP(B59,'Overall scores and ranking'!$A$4:$B$71,2,FALSE)</f>
        <v>11.814868499999999</v>
      </c>
      <c r="E59" s="29"/>
      <c r="F59" s="29"/>
      <c r="G59" s="35">
        <f>VLOOKUP(B59,'Overall scores and ranking'!$A$3:$C$71,3,FALSE)</f>
        <v>56</v>
      </c>
      <c r="H59" s="35"/>
      <c r="I59" s="36"/>
      <c r="J59" s="32"/>
    </row>
    <row r="60" spans="1:10" x14ac:dyDescent="0.25">
      <c r="A60" s="31" t="s">
        <v>746</v>
      </c>
      <c r="B60" s="27" t="s">
        <v>745</v>
      </c>
      <c r="C60" s="29">
        <f>VLOOKUP('Comparison 2013 &amp; 2014'!A60,'2013 ATI summary data'!$A$1:$C$69,3,FALSE)</f>
        <v>14.784363499999989</v>
      </c>
      <c r="D60" s="29">
        <f>VLOOKUP(B60,'Overall scores and ranking'!$A$4:$B$71,2,FALSE)</f>
        <v>10.551111499999996</v>
      </c>
      <c r="E60" s="29">
        <f t="shared" ref="E60:E67" si="2">D60-C60</f>
        <v>-4.2332519999999931</v>
      </c>
      <c r="F60" s="29"/>
      <c r="G60" s="35">
        <f>VLOOKUP(B60,'Overall scores and ranking'!$A$3:$C$71,3,FALSE)</f>
        <v>57</v>
      </c>
      <c r="H60" s="35">
        <f>VLOOKUP(Table3[[#This Row],[Org ID]],'2013 ATI summary data'!$A$1:$D$69,4,FALSE)</f>
        <v>51</v>
      </c>
      <c r="I60" s="36">
        <f>Table3[[#This Row],[Rank in 2013]]-Table3[[#This Row],[Rank in 2014]]</f>
        <v>-6</v>
      </c>
      <c r="J60" s="32"/>
    </row>
    <row r="61" spans="1:10" x14ac:dyDescent="0.25">
      <c r="A61" s="33" t="s">
        <v>1157</v>
      </c>
      <c r="B61" s="28" t="s">
        <v>1156</v>
      </c>
      <c r="C61" s="29">
        <f>VLOOKUP('Comparison 2013 &amp; 2014'!A61,'2013 ATI summary data'!$A$1:$C$69,3,FALSE)</f>
        <v>11.817717999999999</v>
      </c>
      <c r="D61" s="29">
        <f>VLOOKUP(B61,'Overall scores and ranking'!$A$4:$B$71,2,FALSE)</f>
        <v>9.6461599999999983</v>
      </c>
      <c r="E61" s="29">
        <f t="shared" si="2"/>
        <v>-2.171558000000001</v>
      </c>
      <c r="F61" s="29"/>
      <c r="G61" s="35">
        <f>VLOOKUP(B61,'Overall scores and ranking'!$A$3:$C$71,3,FALSE)</f>
        <v>59</v>
      </c>
      <c r="H61" s="35">
        <f>VLOOKUP(Table3[[#This Row],[Org ID]],'2013 ATI summary data'!$A$1:$D$69,4,FALSE)</f>
        <v>56</v>
      </c>
      <c r="I61" s="36">
        <f>Table3[[#This Row],[Rank in 2013]]-Table3[[#This Row],[Rank in 2014]]</f>
        <v>-3</v>
      </c>
      <c r="J61" s="32"/>
    </row>
    <row r="62" spans="1:10" x14ac:dyDescent="0.25">
      <c r="A62" s="33" t="s">
        <v>377</v>
      </c>
      <c r="B62" s="28" t="s">
        <v>376</v>
      </c>
      <c r="C62" s="29">
        <f>VLOOKUP('Comparison 2013 &amp; 2014'!A62,'2013 ATI summary data'!$A$1:$C$69,3,FALSE)</f>
        <v>12.1697085</v>
      </c>
      <c r="D62" s="29">
        <f>VLOOKUP(B62,'Overall scores and ranking'!$A$4:$B$71,2,FALSE)</f>
        <v>10.3011585</v>
      </c>
      <c r="E62" s="29">
        <f t="shared" si="2"/>
        <v>-1.8685500000000008</v>
      </c>
      <c r="F62" s="29"/>
      <c r="G62" s="35">
        <f>VLOOKUP(B62,'Overall scores and ranking'!$A$3:$C$71,3,FALSE)</f>
        <v>58</v>
      </c>
      <c r="H62" s="35">
        <f>VLOOKUP(Table3[[#This Row],[Org ID]],'2013 ATI summary data'!$A$1:$D$69,4,FALSE)</f>
        <v>53</v>
      </c>
      <c r="I62" s="36">
        <f>Table3[[#This Row],[Rank in 2013]]-Table3[[#This Row],[Rank in 2014]]</f>
        <v>-5</v>
      </c>
      <c r="J62" s="32"/>
    </row>
    <row r="63" spans="1:10" x14ac:dyDescent="0.25">
      <c r="A63" s="31" t="s">
        <v>2177</v>
      </c>
      <c r="B63" s="27" t="s">
        <v>2176</v>
      </c>
      <c r="C63" s="29">
        <f>VLOOKUP('Comparison 2013 &amp; 2014'!A63,'2013 ATI summary data'!$A$1:$C$69,3,FALSE)</f>
        <v>12.029930500000001</v>
      </c>
      <c r="D63" s="29">
        <f>VLOOKUP(B63,'Overall scores and ranking'!$A$4:$B$71,2,FALSE)</f>
        <v>9.6282870000000003</v>
      </c>
      <c r="E63" s="29">
        <f t="shared" si="2"/>
        <v>-2.4016435000000005</v>
      </c>
      <c r="F63" s="29"/>
      <c r="G63" s="35">
        <f>VLOOKUP(B63,'Overall scores and ranking'!$A$3:$C$71,3,FALSE)</f>
        <v>60</v>
      </c>
      <c r="H63" s="35">
        <f>VLOOKUP(Table3[[#This Row],[Org ID]],'2013 ATI summary data'!$A$1:$D$69,4,FALSE)</f>
        <v>54</v>
      </c>
      <c r="I63" s="36">
        <f>Table3[[#This Row],[Rank in 2013]]-Table3[[#This Row],[Rank in 2014]]</f>
        <v>-6</v>
      </c>
      <c r="J63" s="32"/>
    </row>
    <row r="64" spans="1:10" x14ac:dyDescent="0.25">
      <c r="A64" s="33" t="s">
        <v>1645</v>
      </c>
      <c r="B64" s="28" t="s">
        <v>2989</v>
      </c>
      <c r="C64" s="29">
        <f>VLOOKUP('Comparison 2013 &amp; 2014'!A64,'2013 ATI summary data'!$A$1:$C$69,3,FALSE)</f>
        <v>10.035455000000001</v>
      </c>
      <c r="D64" s="29">
        <f>VLOOKUP(B64,'Overall scores and ranking'!$A$4:$B$71,2,FALSE)</f>
        <v>9.1154984999999993</v>
      </c>
      <c r="E64" s="29">
        <f t="shared" si="2"/>
        <v>-0.9199565000000014</v>
      </c>
      <c r="F64" s="29"/>
      <c r="G64" s="35">
        <f>VLOOKUP(B64,'Overall scores and ranking'!$A$3:$C$71,3,FALSE)</f>
        <v>61</v>
      </c>
      <c r="H64" s="35">
        <f>VLOOKUP(Table3[[#This Row],[Org ID]],'2013 ATI summary data'!$A$1:$D$69,4,FALSE)</f>
        <v>59</v>
      </c>
      <c r="I64" s="36">
        <f>Table3[[#This Row],[Rank in 2013]]-Table3[[#This Row],[Rank in 2014]]</f>
        <v>-2</v>
      </c>
      <c r="J64" s="32"/>
    </row>
    <row r="65" spans="1:10" x14ac:dyDescent="0.25">
      <c r="A65" s="33" t="s">
        <v>459</v>
      </c>
      <c r="B65" s="28" t="s">
        <v>458</v>
      </c>
      <c r="C65" s="29">
        <f>VLOOKUP('Comparison 2013 &amp; 2014'!A65,'2013 ATI summary data'!$A$1:$C$69,3,FALSE)</f>
        <v>4.7197779999999998</v>
      </c>
      <c r="D65" s="29">
        <f>VLOOKUP(B65,'Overall scores and ranking'!$A$4:$B$71,2,FALSE)</f>
        <v>8.3047779999999989</v>
      </c>
      <c r="E65" s="29">
        <f t="shared" si="2"/>
        <v>3.5849999999999991</v>
      </c>
      <c r="F65" s="29"/>
      <c r="G65" s="35">
        <f>VLOOKUP(B65,'Overall scores and ranking'!$A$3:$C$71,3,FALSE)</f>
        <v>62</v>
      </c>
      <c r="H65" s="35">
        <f>VLOOKUP(Table3[[#This Row],[Org ID]],'2013 ATI summary data'!$A$1:$D$69,4,FALSE)</f>
        <v>64</v>
      </c>
      <c r="I65" s="36">
        <f>Table3[[#This Row],[Rank in 2013]]-Table3[[#This Row],[Rank in 2014]]</f>
        <v>2</v>
      </c>
      <c r="J65" s="32"/>
    </row>
    <row r="66" spans="1:10" x14ac:dyDescent="0.25">
      <c r="A66" s="31" t="s">
        <v>1850</v>
      </c>
      <c r="B66" s="27" t="s">
        <v>1849</v>
      </c>
      <c r="C66" s="29">
        <f>VLOOKUP('Comparison 2013 &amp; 2014'!A66,'2013 ATI summary data'!$A$1:$C$69,3,FALSE)</f>
        <v>5.665</v>
      </c>
      <c r="D66" s="29">
        <f>VLOOKUP(B66,'Overall scores and ranking'!$A$4:$B$71,2,FALSE)</f>
        <v>8.1649999999999991</v>
      </c>
      <c r="E66" s="29">
        <f t="shared" si="2"/>
        <v>2.4999999999999991</v>
      </c>
      <c r="F66" s="29"/>
      <c r="G66" s="35">
        <f>VLOOKUP(B66,'Overall scores and ranking'!$A$3:$C$71,3,FALSE)</f>
        <v>63</v>
      </c>
      <c r="H66" s="35">
        <f>VLOOKUP(Table3[[#This Row],[Org ID]],'2013 ATI summary data'!$A$1:$D$69,4,FALSE)</f>
        <v>63</v>
      </c>
      <c r="I66" s="36">
        <f>Table3[[#This Row],[Rank in 2013]]-Table3[[#This Row],[Rank in 2014]]</f>
        <v>0</v>
      </c>
      <c r="J66" s="32"/>
    </row>
    <row r="67" spans="1:10" x14ac:dyDescent="0.25">
      <c r="A67" s="31" t="s">
        <v>2259</v>
      </c>
      <c r="B67" s="27" t="s">
        <v>2258</v>
      </c>
      <c r="C67" s="29">
        <f>VLOOKUP('Comparison 2013 &amp; 2014'!A67,'2013 ATI summary data'!$A$1:$C$69,3,FALSE)</f>
        <v>3.7797469999999986</v>
      </c>
      <c r="D67" s="29">
        <f>VLOOKUP(B67,'Overall scores and ranking'!$A$4:$B$71,2,FALSE)</f>
        <v>6.5897159999999975</v>
      </c>
      <c r="E67" s="29">
        <f t="shared" si="2"/>
        <v>2.8099689999999988</v>
      </c>
      <c r="F67" s="29"/>
      <c r="G67" s="35">
        <f>VLOOKUP(B67,'Overall scores and ranking'!$A$3:$C$71,3,FALSE)</f>
        <v>64</v>
      </c>
      <c r="H67" s="35">
        <f>VLOOKUP(Table3[[#This Row],[Org ID]],'2013 ATI summary data'!$A$1:$D$69,4,FALSE)</f>
        <v>65</v>
      </c>
      <c r="I67" s="36">
        <f>Table3[[#This Row],[Rank in 2013]]-Table3[[#This Row],[Rank in 2014]]</f>
        <v>1</v>
      </c>
      <c r="J67" s="32"/>
    </row>
    <row r="68" spans="1:10" x14ac:dyDescent="0.25">
      <c r="A68" s="31" t="s">
        <v>2014</v>
      </c>
      <c r="B68" s="27" t="s">
        <v>2013</v>
      </c>
      <c r="C68" s="29">
        <f>VLOOKUP('Comparison 2013 &amp; 2014'!A68,'2013 ATI summary data'!$A$1:$C$69,3,FALSE)</f>
        <v>8.2195529999999994</v>
      </c>
      <c r="D68" s="29">
        <f>VLOOKUP(B68,'Overall scores and ranking'!$A$4:$B$71,2,FALSE)</f>
        <v>6.5130569999999999</v>
      </c>
      <c r="E68" s="29">
        <f t="shared" ref="E68:E71" si="3">D68-C68</f>
        <v>-1.7064959999999996</v>
      </c>
      <c r="F68" s="29"/>
      <c r="G68" s="35">
        <f>VLOOKUP(B68,'Overall scores and ranking'!$A$3:$C$71,3,FALSE)</f>
        <v>65</v>
      </c>
      <c r="H68" s="35">
        <f>VLOOKUP(Table3[[#This Row],[Org ID]],'2013 ATI summary data'!$A$1:$D$69,4,FALSE)</f>
        <v>61</v>
      </c>
      <c r="I68" s="36">
        <f>Table3[[#This Row],[Rank in 2013]]-Table3[[#This Row],[Rank in 2014]]</f>
        <v>-4</v>
      </c>
      <c r="J68" s="32"/>
    </row>
    <row r="69" spans="1:10" x14ac:dyDescent="0.25">
      <c r="A69" s="31" t="s">
        <v>1973</v>
      </c>
      <c r="B69" s="27" t="s">
        <v>1972</v>
      </c>
      <c r="C69" s="29">
        <f>VLOOKUP('Comparison 2013 &amp; 2014'!A69,'2013 ATI summary data'!$A$1:$C$69,3,FALSE)</f>
        <v>6.4529379999999881</v>
      </c>
      <c r="D69" s="29">
        <f>VLOOKUP(B69,'Overall scores and ranking'!$A$4:$B$71,2,FALSE)</f>
        <v>5.909658999999988</v>
      </c>
      <c r="E69" s="29">
        <f t="shared" si="3"/>
        <v>-0.54327900000000007</v>
      </c>
      <c r="F69" s="29"/>
      <c r="G69" s="35">
        <f>VLOOKUP(B69,'Overall scores and ranking'!$A$3:$C$71,3,FALSE)</f>
        <v>66</v>
      </c>
      <c r="H69" s="35">
        <f>VLOOKUP(Table3[[#This Row],[Org ID]],'2013 ATI summary data'!$A$1:$D$69,4,FALSE)</f>
        <v>62</v>
      </c>
      <c r="I69" s="36">
        <f>Table3[[#This Row],[Rank in 2013]]-Table3[[#This Row],[Rank in 2014]]</f>
        <v>-4</v>
      </c>
      <c r="J69" s="32"/>
    </row>
    <row r="70" spans="1:10" x14ac:dyDescent="0.25">
      <c r="A70" s="39" t="s">
        <v>418</v>
      </c>
      <c r="B70" s="40" t="s">
        <v>417</v>
      </c>
      <c r="C70" s="29">
        <f>VLOOKUP('Comparison 2013 &amp; 2014'!A70,'2013 ATI summary data'!$A$1:$C$69,3,FALSE)</f>
        <v>3.6098889999999999</v>
      </c>
      <c r="D70" s="34">
        <f>VLOOKUP(B70,'Overall scores and ranking'!$A$4:$B$71,2,FALSE)</f>
        <v>4.7197779999999998</v>
      </c>
      <c r="E70" s="34">
        <f t="shared" si="3"/>
        <v>1.1098889999999999</v>
      </c>
      <c r="F70" s="34"/>
      <c r="G70" s="37">
        <f>VLOOKUP(B70,'Overall scores and ranking'!$A$3:$C$71,3,FALSE)</f>
        <v>67</v>
      </c>
      <c r="H70" s="37">
        <f>VLOOKUP(Table3[[#This Row],[Org ID]],'2013 ATI summary data'!$A$1:$D$69,4,FALSE)</f>
        <v>66</v>
      </c>
      <c r="I70" s="38">
        <f>Table3[[#This Row],[Rank in 2013]]-Table3[[#This Row],[Rank in 2014]]</f>
        <v>-1</v>
      </c>
      <c r="J70" s="32"/>
    </row>
    <row r="71" spans="1:10" x14ac:dyDescent="0.25">
      <c r="A71" s="39" t="s">
        <v>2870</v>
      </c>
      <c r="B71" s="40" t="s">
        <v>2869</v>
      </c>
      <c r="C71" s="29">
        <f>VLOOKUP('Comparison 2013 &amp; 2014'!A71,'2013 ATI summary data'!$A$1:$C$69,3,FALSE)</f>
        <v>2.2197779999999998</v>
      </c>
      <c r="D71" s="34">
        <f>VLOOKUP(B71,'Overall scores and ranking'!$A$4:$B$71,2,FALSE)</f>
        <v>2.2197779999999998</v>
      </c>
      <c r="E71" s="34">
        <f t="shared" si="3"/>
        <v>0</v>
      </c>
      <c r="F71" s="34"/>
      <c r="G71" s="37">
        <f>VLOOKUP(B71,'Overall scores and ranking'!$A$3:$C$71,3,FALSE)</f>
        <v>68</v>
      </c>
      <c r="H71" s="37">
        <f>VLOOKUP(Table3[[#This Row],[Org ID]],'2013 ATI summary data'!$A$1:$D$69,4,FALSE)</f>
        <v>67</v>
      </c>
      <c r="I71" s="38">
        <f>Table3[[#This Row],[Rank in 2013]]-Table3[[#This Row],[Rank in 2014]]</f>
        <v>-1</v>
      </c>
      <c r="J71" s="32"/>
    </row>
    <row r="81" spans="1:10" x14ac:dyDescent="0.25">
      <c r="A81" s="84" t="s">
        <v>3047</v>
      </c>
      <c r="B81" s="85"/>
      <c r="C81" s="86">
        <f>AVERAGE(C4:C71)</f>
        <v>32.635499819534239</v>
      </c>
      <c r="D81" s="86">
        <f>AVERAGE(D4:D71)</f>
        <v>38.92704969107966</v>
      </c>
      <c r="E81" s="87">
        <f>D81-C81</f>
        <v>6.2915498715454206</v>
      </c>
      <c r="F81" s="91"/>
      <c r="G81" s="88"/>
      <c r="H81" s="88"/>
      <c r="I81" s="89"/>
      <c r="J81" s="90"/>
    </row>
  </sheetData>
  <pageMargins left="0.7" right="0.7" top="0.75" bottom="0.75" header="0.3" footer="0.3"/>
  <tableParts count="1">
    <tablePart r:id="rId1"/>
  </tableParts>
  <extLst>
    <ext xmlns:x14="http://schemas.microsoft.com/office/spreadsheetml/2009/9/main" uri="{05C60535-1F16-4fd2-B633-F4F36F0B64E0}">
      <x14:sparklineGroups xmlns:xm="http://schemas.microsoft.com/office/excel/2006/main">
        <x14:sparklineGroup manualMax="0" manualMin="0" displayEmptyCellsAs="gap" high="1" low="1">
          <x14:colorSeries rgb="FF376092"/>
          <x14:colorNegative rgb="FFD00000"/>
          <x14:colorAxis rgb="FF000000"/>
          <x14:colorMarkers rgb="FFD00000"/>
          <x14:colorFirst rgb="FFD00000"/>
          <x14:colorLast rgb="FFD00000"/>
          <x14:colorHigh rgb="FFD00000"/>
          <x14:colorLow rgb="FFD00000"/>
          <x14:sparklines>
            <x14:sparkline>
              <xm:f>'Comparison 2013 &amp; 2014'!C4:D4</xm:f>
              <xm:sqref>F4</xm:sqref>
            </x14:sparkline>
          </x14:sparklines>
        </x14:sparklineGroup>
        <x14:sparklineGroup manualMax="0" manualMin="0" displayEmptyCellsAs="gap" first="1" last="1">
          <x14:colorSeries rgb="FF376092"/>
          <x14:colorNegative rgb="FFD00000"/>
          <x14:colorAxis rgb="FF000000"/>
          <x14:colorMarkers rgb="FFD00000"/>
          <x14:colorFirst rgb="FFD00000"/>
          <x14:colorLast rgb="FFD00000"/>
          <x14:colorHigh rgb="FFD00000"/>
          <x14:colorLow rgb="FFD00000"/>
          <x14:sparklines>
            <x14:sparkline>
              <xm:f>'Comparison 2013 &amp; 2014'!G4:H4</xm:f>
              <xm:sqref>J4</xm:sqref>
            </x14:sparkline>
            <x14:sparkline>
              <xm:f>'Comparison 2013 &amp; 2014'!G5:H5</xm:f>
              <xm:sqref>J5</xm:sqref>
            </x14:sparkline>
            <x14:sparkline>
              <xm:f>'Comparison 2013 &amp; 2014'!G6:H6</xm:f>
              <xm:sqref>J6</xm:sqref>
            </x14:sparkline>
            <x14:sparkline>
              <xm:f>'Comparison 2013 &amp; 2014'!G7:H7</xm:f>
              <xm:sqref>J7</xm:sqref>
            </x14:sparkline>
            <x14:sparkline>
              <xm:f>'Comparison 2013 &amp; 2014'!G8:H8</xm:f>
              <xm:sqref>J8</xm:sqref>
            </x14:sparkline>
            <x14:sparkline>
              <xm:f>'Comparison 2013 &amp; 2014'!G9:H9</xm:f>
              <xm:sqref>J9</xm:sqref>
            </x14:sparkline>
            <x14:sparkline>
              <xm:f>'Comparison 2013 &amp; 2014'!G10:H10</xm:f>
              <xm:sqref>J10</xm:sqref>
            </x14:sparkline>
            <x14:sparkline>
              <xm:f>'Comparison 2013 &amp; 2014'!G11:H11</xm:f>
              <xm:sqref>J11</xm:sqref>
            </x14:sparkline>
            <x14:sparkline>
              <xm:f>'Comparison 2013 &amp; 2014'!G12:H12</xm:f>
              <xm:sqref>J12</xm:sqref>
            </x14:sparkline>
            <x14:sparkline>
              <xm:f>'Comparison 2013 &amp; 2014'!G13:H13</xm:f>
              <xm:sqref>J13</xm:sqref>
            </x14:sparkline>
            <x14:sparkline>
              <xm:f>'Comparison 2013 &amp; 2014'!G14:H14</xm:f>
              <xm:sqref>J14</xm:sqref>
            </x14:sparkline>
            <x14:sparkline>
              <xm:f>'Comparison 2013 &amp; 2014'!G15:H15</xm:f>
              <xm:sqref>J15</xm:sqref>
            </x14:sparkline>
            <x14:sparkline>
              <xm:f>'Comparison 2013 &amp; 2014'!G16:H16</xm:f>
              <xm:sqref>J16</xm:sqref>
            </x14:sparkline>
            <x14:sparkline>
              <xm:f>'Comparison 2013 &amp; 2014'!G17:H17</xm:f>
              <xm:sqref>J17</xm:sqref>
            </x14:sparkline>
            <x14:sparkline>
              <xm:f>'Comparison 2013 &amp; 2014'!G18:H18</xm:f>
              <xm:sqref>J18</xm:sqref>
            </x14:sparkline>
            <x14:sparkline>
              <xm:f>'Comparison 2013 &amp; 2014'!G19:H19</xm:f>
              <xm:sqref>J19</xm:sqref>
            </x14:sparkline>
            <x14:sparkline>
              <xm:f>'Comparison 2013 &amp; 2014'!G20:H20</xm:f>
              <xm:sqref>J20</xm:sqref>
            </x14:sparkline>
            <x14:sparkline>
              <xm:f>'Comparison 2013 &amp; 2014'!G21:H21</xm:f>
              <xm:sqref>J21</xm:sqref>
            </x14:sparkline>
            <x14:sparkline>
              <xm:f>'Comparison 2013 &amp; 2014'!G22:H22</xm:f>
              <xm:sqref>J22</xm:sqref>
            </x14:sparkline>
            <x14:sparkline>
              <xm:f>'Comparison 2013 &amp; 2014'!G23:H23</xm:f>
              <xm:sqref>J23</xm:sqref>
            </x14:sparkline>
            <x14:sparkline>
              <xm:f>'Comparison 2013 &amp; 2014'!G24:H24</xm:f>
              <xm:sqref>J24</xm:sqref>
            </x14:sparkline>
            <x14:sparkline>
              <xm:f>'Comparison 2013 &amp; 2014'!G25:H25</xm:f>
              <xm:sqref>J25</xm:sqref>
            </x14:sparkline>
            <x14:sparkline>
              <xm:f>'Comparison 2013 &amp; 2014'!G26:H26</xm:f>
              <xm:sqref>J26</xm:sqref>
            </x14:sparkline>
            <x14:sparkline>
              <xm:f>'Comparison 2013 &amp; 2014'!G27:H27</xm:f>
              <xm:sqref>J27</xm:sqref>
            </x14:sparkline>
            <x14:sparkline>
              <xm:f>'Comparison 2013 &amp; 2014'!G28:H28</xm:f>
              <xm:sqref>J28</xm:sqref>
            </x14:sparkline>
            <x14:sparkline>
              <xm:f>'Comparison 2013 &amp; 2014'!G29:H29</xm:f>
              <xm:sqref>J29</xm:sqref>
            </x14:sparkline>
            <x14:sparkline>
              <xm:f>'Comparison 2013 &amp; 2014'!G30:H30</xm:f>
              <xm:sqref>J30</xm:sqref>
            </x14:sparkline>
            <x14:sparkline>
              <xm:f>'Comparison 2013 &amp; 2014'!G31:H31</xm:f>
              <xm:sqref>J31</xm:sqref>
            </x14:sparkline>
            <x14:sparkline>
              <xm:f>'Comparison 2013 &amp; 2014'!G32:H32</xm:f>
              <xm:sqref>J32</xm:sqref>
            </x14:sparkline>
            <x14:sparkline>
              <xm:f>'Comparison 2013 &amp; 2014'!G33:H33</xm:f>
              <xm:sqref>J33</xm:sqref>
            </x14:sparkline>
            <x14:sparkline>
              <xm:f>'Comparison 2013 &amp; 2014'!G34:H34</xm:f>
              <xm:sqref>J34</xm:sqref>
            </x14:sparkline>
            <x14:sparkline>
              <xm:f>'Comparison 2013 &amp; 2014'!G35:H35</xm:f>
              <xm:sqref>J35</xm:sqref>
            </x14:sparkline>
            <x14:sparkline>
              <xm:f>'Comparison 2013 &amp; 2014'!G36:H36</xm:f>
              <xm:sqref>J36</xm:sqref>
            </x14:sparkline>
            <x14:sparkline>
              <xm:f>'Comparison 2013 &amp; 2014'!G37:H37</xm:f>
              <xm:sqref>J37</xm:sqref>
            </x14:sparkline>
            <x14:sparkline>
              <xm:f>'Comparison 2013 &amp; 2014'!G38:H38</xm:f>
              <xm:sqref>J38</xm:sqref>
            </x14:sparkline>
            <x14:sparkline>
              <xm:f>'Comparison 2013 &amp; 2014'!G39:H39</xm:f>
              <xm:sqref>J39</xm:sqref>
            </x14:sparkline>
            <x14:sparkline>
              <xm:f>'Comparison 2013 &amp; 2014'!G40:H40</xm:f>
              <xm:sqref>J40</xm:sqref>
            </x14:sparkline>
            <x14:sparkline>
              <xm:f>'Comparison 2013 &amp; 2014'!G41:H41</xm:f>
              <xm:sqref>J41</xm:sqref>
            </x14:sparkline>
            <x14:sparkline>
              <xm:f>'Comparison 2013 &amp; 2014'!G42:H42</xm:f>
              <xm:sqref>J42</xm:sqref>
            </x14:sparkline>
            <x14:sparkline>
              <xm:f>'Comparison 2013 &amp; 2014'!G43:H43</xm:f>
              <xm:sqref>J43</xm:sqref>
            </x14:sparkline>
            <x14:sparkline>
              <xm:f>'Comparison 2013 &amp; 2014'!G44:H44</xm:f>
              <xm:sqref>J44</xm:sqref>
            </x14:sparkline>
            <x14:sparkline>
              <xm:f>'Comparison 2013 &amp; 2014'!G45:H45</xm:f>
              <xm:sqref>J45</xm:sqref>
            </x14:sparkline>
            <x14:sparkline>
              <xm:f>'Comparison 2013 &amp; 2014'!G46:H46</xm:f>
              <xm:sqref>J46</xm:sqref>
            </x14:sparkline>
            <x14:sparkline>
              <xm:f>'Comparison 2013 &amp; 2014'!G47:H47</xm:f>
              <xm:sqref>J47</xm:sqref>
            </x14:sparkline>
            <x14:sparkline>
              <xm:f>'Comparison 2013 &amp; 2014'!G48:H48</xm:f>
              <xm:sqref>J48</xm:sqref>
            </x14:sparkline>
            <x14:sparkline>
              <xm:f>'Comparison 2013 &amp; 2014'!G49:H49</xm:f>
              <xm:sqref>J49</xm:sqref>
            </x14:sparkline>
            <x14:sparkline>
              <xm:f>'Comparison 2013 &amp; 2014'!G50:H50</xm:f>
              <xm:sqref>J50</xm:sqref>
            </x14:sparkline>
            <x14:sparkline>
              <xm:f>'Comparison 2013 &amp; 2014'!G51:H51</xm:f>
              <xm:sqref>J51</xm:sqref>
            </x14:sparkline>
            <x14:sparkline>
              <xm:f>'Comparison 2013 &amp; 2014'!G52:H52</xm:f>
              <xm:sqref>J52</xm:sqref>
            </x14:sparkline>
            <x14:sparkline>
              <xm:f>'Comparison 2013 &amp; 2014'!G53:H53</xm:f>
              <xm:sqref>J53</xm:sqref>
            </x14:sparkline>
            <x14:sparkline>
              <xm:f>'Comparison 2013 &amp; 2014'!G54:H54</xm:f>
              <xm:sqref>J54</xm:sqref>
            </x14:sparkline>
            <x14:sparkline>
              <xm:f>'Comparison 2013 &amp; 2014'!G55:H55</xm:f>
              <xm:sqref>J55</xm:sqref>
            </x14:sparkline>
            <x14:sparkline>
              <xm:f>'Comparison 2013 &amp; 2014'!G56:H56</xm:f>
              <xm:sqref>J56</xm:sqref>
            </x14:sparkline>
            <x14:sparkline>
              <xm:f>'Comparison 2013 &amp; 2014'!G57:H57</xm:f>
              <xm:sqref>J57</xm:sqref>
            </x14:sparkline>
            <x14:sparkline>
              <xm:f>'Comparison 2013 &amp; 2014'!G58:H58</xm:f>
              <xm:sqref>J58</xm:sqref>
            </x14:sparkline>
            <x14:sparkline>
              <xm:f>'Comparison 2013 &amp; 2014'!G59:H59</xm:f>
              <xm:sqref>J59</xm:sqref>
            </x14:sparkline>
            <x14:sparkline>
              <xm:f>'Comparison 2013 &amp; 2014'!G60:H60</xm:f>
              <xm:sqref>J60</xm:sqref>
            </x14:sparkline>
            <x14:sparkline>
              <xm:f>'Comparison 2013 &amp; 2014'!G61:H61</xm:f>
              <xm:sqref>J61</xm:sqref>
            </x14:sparkline>
            <x14:sparkline>
              <xm:f>'Comparison 2013 &amp; 2014'!G62:H62</xm:f>
              <xm:sqref>J62</xm:sqref>
            </x14:sparkline>
            <x14:sparkline>
              <xm:f>'Comparison 2013 &amp; 2014'!G63:H63</xm:f>
              <xm:sqref>J63</xm:sqref>
            </x14:sparkline>
            <x14:sparkline>
              <xm:f>'Comparison 2013 &amp; 2014'!G64:H64</xm:f>
              <xm:sqref>J64</xm:sqref>
            </x14:sparkline>
            <x14:sparkline>
              <xm:f>'Comparison 2013 &amp; 2014'!G65:H65</xm:f>
              <xm:sqref>J65</xm:sqref>
            </x14:sparkline>
            <x14:sparkline>
              <xm:f>'Comparison 2013 &amp; 2014'!G66:H66</xm:f>
              <xm:sqref>J66</xm:sqref>
            </x14:sparkline>
            <x14:sparkline>
              <xm:f>'Comparison 2013 &amp; 2014'!G67:H67</xm:f>
              <xm:sqref>J67</xm:sqref>
            </x14:sparkline>
            <x14:sparkline>
              <xm:f>'Comparison 2013 &amp; 2014'!G68:H68</xm:f>
              <xm:sqref>J68</xm:sqref>
            </x14:sparkline>
            <x14:sparkline>
              <xm:f>'Comparison 2013 &amp; 2014'!G69:H69</xm:f>
              <xm:sqref>J69</xm:sqref>
            </x14:sparkline>
            <x14:sparkline>
              <xm:f>'Comparison 2013 &amp; 2014'!G70:H70</xm:f>
              <xm:sqref>J70</xm:sqref>
            </x14:sparkline>
          </x14:sparklines>
        </x14:sparklineGroup>
        <x14:sparklineGroup manualMax="0" manualMin="0" displayEmptyCellsAs="gap" high="1" low="1" negative="1">
          <x14:colorSeries rgb="FF376092"/>
          <x14:colorNegative rgb="FFD00000"/>
          <x14:colorAxis rgb="FF000000"/>
          <x14:colorMarkers rgb="FFD00000"/>
          <x14:colorFirst rgb="FFD00000"/>
          <x14:colorLast rgb="FFD00000"/>
          <x14:colorHigh rgb="FFD00000"/>
          <x14:colorLow rgb="FFD00000"/>
          <x14:sparklines>
            <x14:sparkline>
              <xm:f>'Comparison 2013 &amp; 2014'!C71:D71</xm:f>
              <xm:sqref>F71</xm:sqref>
            </x14:sparkline>
          </x14:sparklines>
        </x14:sparklineGroup>
        <x14:sparklineGroup manualMax="0" manualMin="0" displayEmptyCellsAs="gap" high="1" low="1" negative="1">
          <x14:colorSeries rgb="FF376092"/>
          <x14:colorNegative rgb="FFD00000"/>
          <x14:colorAxis rgb="FF000000"/>
          <x14:colorMarkers rgb="FFD00000"/>
          <x14:colorFirst rgb="FFD00000"/>
          <x14:colorLast rgb="FFD00000"/>
          <x14:colorHigh rgb="FFD00000"/>
          <x14:colorLow rgb="FFD00000"/>
          <x14:sparklines>
            <x14:sparkline>
              <xm:f>'Comparison 2013 &amp; 2014'!C5:D5</xm:f>
              <xm:sqref>F5</xm:sqref>
            </x14:sparkline>
            <x14:sparkline>
              <xm:f>'Comparison 2013 &amp; 2014'!C6:D6</xm:f>
              <xm:sqref>F6</xm:sqref>
            </x14:sparkline>
            <x14:sparkline>
              <xm:f>'Comparison 2013 &amp; 2014'!C7:D7</xm:f>
              <xm:sqref>F7</xm:sqref>
            </x14:sparkline>
            <x14:sparkline>
              <xm:f>'Comparison 2013 &amp; 2014'!C8:D8</xm:f>
              <xm:sqref>F8</xm:sqref>
            </x14:sparkline>
            <x14:sparkline>
              <xm:f>'Comparison 2013 &amp; 2014'!C9:D9</xm:f>
              <xm:sqref>F9</xm:sqref>
            </x14:sparkline>
            <x14:sparkline>
              <xm:f>'Comparison 2013 &amp; 2014'!C10:D10</xm:f>
              <xm:sqref>F10</xm:sqref>
            </x14:sparkline>
            <x14:sparkline>
              <xm:f>'Comparison 2013 &amp; 2014'!C11:D11</xm:f>
              <xm:sqref>F11</xm:sqref>
            </x14:sparkline>
            <x14:sparkline>
              <xm:f>'Comparison 2013 &amp; 2014'!C12:D12</xm:f>
              <xm:sqref>F12</xm:sqref>
            </x14:sparkline>
            <x14:sparkline>
              <xm:f>'Comparison 2013 &amp; 2014'!C13:D13</xm:f>
              <xm:sqref>F13</xm:sqref>
            </x14:sparkline>
            <x14:sparkline>
              <xm:f>'Comparison 2013 &amp; 2014'!C14:D14</xm:f>
              <xm:sqref>F14</xm:sqref>
            </x14:sparkline>
            <x14:sparkline>
              <xm:f>'Comparison 2013 &amp; 2014'!C15:D15</xm:f>
              <xm:sqref>F15</xm:sqref>
            </x14:sparkline>
            <x14:sparkline>
              <xm:f>'Comparison 2013 &amp; 2014'!C16:D16</xm:f>
              <xm:sqref>F16</xm:sqref>
            </x14:sparkline>
            <x14:sparkline>
              <xm:f>'Comparison 2013 &amp; 2014'!C17:D17</xm:f>
              <xm:sqref>F17</xm:sqref>
            </x14:sparkline>
            <x14:sparkline>
              <xm:f>'Comparison 2013 &amp; 2014'!C18:D18</xm:f>
              <xm:sqref>F18</xm:sqref>
            </x14:sparkline>
            <x14:sparkline>
              <xm:f>'Comparison 2013 &amp; 2014'!C19:D19</xm:f>
              <xm:sqref>F19</xm:sqref>
            </x14:sparkline>
            <x14:sparkline>
              <xm:f>'Comparison 2013 &amp; 2014'!C20:D20</xm:f>
              <xm:sqref>F20</xm:sqref>
            </x14:sparkline>
            <x14:sparkline>
              <xm:f>'Comparison 2013 &amp; 2014'!C21:D21</xm:f>
              <xm:sqref>F21</xm:sqref>
            </x14:sparkline>
            <x14:sparkline>
              <xm:f>'Comparison 2013 &amp; 2014'!C22:D22</xm:f>
              <xm:sqref>F22</xm:sqref>
            </x14:sparkline>
            <x14:sparkline>
              <xm:f>'Comparison 2013 &amp; 2014'!C23:D23</xm:f>
              <xm:sqref>F23</xm:sqref>
            </x14:sparkline>
            <x14:sparkline>
              <xm:f>'Comparison 2013 &amp; 2014'!C24:D24</xm:f>
              <xm:sqref>F24</xm:sqref>
            </x14:sparkline>
            <x14:sparkline>
              <xm:f>'Comparison 2013 &amp; 2014'!C25:D25</xm:f>
              <xm:sqref>F25</xm:sqref>
            </x14:sparkline>
            <x14:sparkline>
              <xm:f>'Comparison 2013 &amp; 2014'!C26:D26</xm:f>
              <xm:sqref>F26</xm:sqref>
            </x14:sparkline>
            <x14:sparkline>
              <xm:f>'Comparison 2013 &amp; 2014'!C27:D27</xm:f>
              <xm:sqref>F27</xm:sqref>
            </x14:sparkline>
            <x14:sparkline>
              <xm:f>'Comparison 2013 &amp; 2014'!C28:D28</xm:f>
              <xm:sqref>F28</xm:sqref>
            </x14:sparkline>
            <x14:sparkline>
              <xm:f>'Comparison 2013 &amp; 2014'!C29:D29</xm:f>
              <xm:sqref>F29</xm:sqref>
            </x14:sparkline>
            <x14:sparkline>
              <xm:f>'Comparison 2013 &amp; 2014'!C30:D30</xm:f>
              <xm:sqref>F30</xm:sqref>
            </x14:sparkline>
            <x14:sparkline>
              <xm:f>'Comparison 2013 &amp; 2014'!C31:D31</xm:f>
              <xm:sqref>F31</xm:sqref>
            </x14:sparkline>
            <x14:sparkline>
              <xm:f>'Comparison 2013 &amp; 2014'!C32:D32</xm:f>
              <xm:sqref>F32</xm:sqref>
            </x14:sparkline>
            <x14:sparkline>
              <xm:f>'Comparison 2013 &amp; 2014'!C33:D33</xm:f>
              <xm:sqref>F33</xm:sqref>
            </x14:sparkline>
            <x14:sparkline>
              <xm:f>'Comparison 2013 &amp; 2014'!C34:D34</xm:f>
              <xm:sqref>F34</xm:sqref>
            </x14:sparkline>
            <x14:sparkline>
              <xm:f>'Comparison 2013 &amp; 2014'!C35:D35</xm:f>
              <xm:sqref>F35</xm:sqref>
            </x14:sparkline>
            <x14:sparkline>
              <xm:f>'Comparison 2013 &amp; 2014'!C36:D36</xm:f>
              <xm:sqref>F36</xm:sqref>
            </x14:sparkline>
            <x14:sparkline>
              <xm:f>'Comparison 2013 &amp; 2014'!C37:D37</xm:f>
              <xm:sqref>F37</xm:sqref>
            </x14:sparkline>
            <x14:sparkline>
              <xm:f>'Comparison 2013 &amp; 2014'!C38:D38</xm:f>
              <xm:sqref>F38</xm:sqref>
            </x14:sparkline>
            <x14:sparkline>
              <xm:f>'Comparison 2013 &amp; 2014'!C39:D39</xm:f>
              <xm:sqref>F39</xm:sqref>
            </x14:sparkline>
            <x14:sparkline>
              <xm:f>'Comparison 2013 &amp; 2014'!C40:D40</xm:f>
              <xm:sqref>F40</xm:sqref>
            </x14:sparkline>
            <x14:sparkline>
              <xm:f>'Comparison 2013 &amp; 2014'!C41:D41</xm:f>
              <xm:sqref>F41</xm:sqref>
            </x14:sparkline>
            <x14:sparkline>
              <xm:f>'Comparison 2013 &amp; 2014'!C42:D42</xm:f>
              <xm:sqref>F42</xm:sqref>
            </x14:sparkline>
            <x14:sparkline>
              <xm:f>'Comparison 2013 &amp; 2014'!C43:D43</xm:f>
              <xm:sqref>F43</xm:sqref>
            </x14:sparkline>
            <x14:sparkline>
              <xm:f>'Comparison 2013 &amp; 2014'!C44:D44</xm:f>
              <xm:sqref>F44</xm:sqref>
            </x14:sparkline>
            <x14:sparkline>
              <xm:f>'Comparison 2013 &amp; 2014'!C45:D45</xm:f>
              <xm:sqref>F45</xm:sqref>
            </x14:sparkline>
            <x14:sparkline>
              <xm:f>'Comparison 2013 &amp; 2014'!C46:D46</xm:f>
              <xm:sqref>F46</xm:sqref>
            </x14:sparkline>
            <x14:sparkline>
              <xm:f>'Comparison 2013 &amp; 2014'!C47:D47</xm:f>
              <xm:sqref>F47</xm:sqref>
            </x14:sparkline>
            <x14:sparkline>
              <xm:f>'Comparison 2013 &amp; 2014'!C48:D48</xm:f>
              <xm:sqref>F48</xm:sqref>
            </x14:sparkline>
            <x14:sparkline>
              <xm:f>'Comparison 2013 &amp; 2014'!C49:D49</xm:f>
              <xm:sqref>F49</xm:sqref>
            </x14:sparkline>
            <x14:sparkline>
              <xm:f>'Comparison 2013 &amp; 2014'!C50:D50</xm:f>
              <xm:sqref>F50</xm:sqref>
            </x14:sparkline>
            <x14:sparkline>
              <xm:f>'Comparison 2013 &amp; 2014'!C51:D51</xm:f>
              <xm:sqref>F51</xm:sqref>
            </x14:sparkline>
            <x14:sparkline>
              <xm:f>'Comparison 2013 &amp; 2014'!C52:D52</xm:f>
              <xm:sqref>F52</xm:sqref>
            </x14:sparkline>
            <x14:sparkline>
              <xm:f>'Comparison 2013 &amp; 2014'!C53:D53</xm:f>
              <xm:sqref>F53</xm:sqref>
            </x14:sparkline>
            <x14:sparkline>
              <xm:f>'Comparison 2013 &amp; 2014'!C54:D54</xm:f>
              <xm:sqref>F54</xm:sqref>
            </x14:sparkline>
            <x14:sparkline>
              <xm:f>'Comparison 2013 &amp; 2014'!C55:D55</xm:f>
              <xm:sqref>F55</xm:sqref>
            </x14:sparkline>
            <x14:sparkline>
              <xm:f>'Comparison 2013 &amp; 2014'!C56:D56</xm:f>
              <xm:sqref>F56</xm:sqref>
            </x14:sparkline>
            <x14:sparkline>
              <xm:f>'Comparison 2013 &amp; 2014'!C57:D57</xm:f>
              <xm:sqref>F57</xm:sqref>
            </x14:sparkline>
            <x14:sparkline>
              <xm:f>'Comparison 2013 &amp; 2014'!C58:D58</xm:f>
              <xm:sqref>F58</xm:sqref>
            </x14:sparkline>
            <x14:sparkline>
              <xm:f>'Comparison 2013 &amp; 2014'!C59:D59</xm:f>
              <xm:sqref>F59</xm:sqref>
            </x14:sparkline>
            <x14:sparkline>
              <xm:f>'Comparison 2013 &amp; 2014'!C60:D60</xm:f>
              <xm:sqref>F60</xm:sqref>
            </x14:sparkline>
            <x14:sparkline>
              <xm:f>'Comparison 2013 &amp; 2014'!C61:D61</xm:f>
              <xm:sqref>F61</xm:sqref>
            </x14:sparkline>
            <x14:sparkline>
              <xm:f>'Comparison 2013 &amp; 2014'!C62:D62</xm:f>
              <xm:sqref>F62</xm:sqref>
            </x14:sparkline>
            <x14:sparkline>
              <xm:f>'Comparison 2013 &amp; 2014'!C63:D63</xm:f>
              <xm:sqref>F63</xm:sqref>
            </x14:sparkline>
            <x14:sparkline>
              <xm:f>'Comparison 2013 &amp; 2014'!C64:D64</xm:f>
              <xm:sqref>F64</xm:sqref>
            </x14:sparkline>
            <x14:sparkline>
              <xm:f>'Comparison 2013 &amp; 2014'!C65:D65</xm:f>
              <xm:sqref>F65</xm:sqref>
            </x14:sparkline>
            <x14:sparkline>
              <xm:f>'Comparison 2013 &amp; 2014'!C66:D66</xm:f>
              <xm:sqref>F66</xm:sqref>
            </x14:sparkline>
            <x14:sparkline>
              <xm:f>'Comparison 2013 &amp; 2014'!C67:D67</xm:f>
              <xm:sqref>F67</xm:sqref>
            </x14:sparkline>
            <x14:sparkline>
              <xm:f>'Comparison 2013 &amp; 2014'!C68:D68</xm:f>
              <xm:sqref>F68</xm:sqref>
            </x14:sparkline>
            <x14:sparkline>
              <xm:f>'Comparison 2013 &amp; 2014'!C69:D69</xm:f>
              <xm:sqref>F69</xm:sqref>
            </x14:sparkline>
            <x14:sparkline>
              <xm:f>'Comparison 2013 &amp; 2014'!C70:D70</xm:f>
              <xm:sqref>F70</xm:sqref>
            </x14:sparkline>
          </x14:sparklines>
        </x14:sparklineGroup>
        <x14:sparklineGroup manualMax="0" manualMin="0" displayEmptyCellsAs="gap" high="1" low="1" negative="1">
          <x14:colorSeries rgb="FF376092"/>
          <x14:colorNegative rgb="FFD00000"/>
          <x14:colorAxis rgb="FF000000"/>
          <x14:colorMarkers rgb="FFD00000"/>
          <x14:colorFirst rgb="FFD00000"/>
          <x14:colorLast rgb="FFD00000"/>
          <x14:colorHigh rgb="FFD00000"/>
          <x14:colorLow rgb="FFD00000"/>
          <x14:sparklines>
            <x14:sparkline>
              <xm:f>'Comparison 2013 &amp; 2014'!C81:D81</xm:f>
              <xm:sqref>F81</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D73"/>
  <sheetViews>
    <sheetView workbookViewId="0">
      <selection activeCell="F2" sqref="F2"/>
    </sheetView>
  </sheetViews>
  <sheetFormatPr defaultRowHeight="15" x14ac:dyDescent="0.25"/>
  <cols>
    <col min="1" max="1" width="37.42578125" bestFit="1" customWidth="1"/>
    <col min="2" max="2" width="16.28515625" bestFit="1" customWidth="1"/>
    <col min="3" max="3" width="7" customWidth="1"/>
    <col min="4" max="4" width="11.28515625" customWidth="1"/>
  </cols>
  <sheetData>
    <row r="1" spans="1:4" s="168" customFormat="1" ht="21" x14ac:dyDescent="0.35">
      <c r="A1" s="167" t="s">
        <v>3255</v>
      </c>
    </row>
    <row r="3" spans="1:4" x14ac:dyDescent="0.25">
      <c r="A3" s="18" t="s">
        <v>3044</v>
      </c>
      <c r="B3" s="18" t="s">
        <v>3043</v>
      </c>
    </row>
    <row r="4" spans="1:4" x14ac:dyDescent="0.25">
      <c r="A4" s="18" t="s">
        <v>3042</v>
      </c>
      <c r="B4" t="s">
        <v>541</v>
      </c>
      <c r="C4" t="s">
        <v>3132</v>
      </c>
      <c r="D4" t="s">
        <v>3072</v>
      </c>
    </row>
    <row r="5" spans="1:4" x14ac:dyDescent="0.25">
      <c r="A5" s="19" t="s">
        <v>1605</v>
      </c>
      <c r="B5" s="44">
        <v>81.857233812083038</v>
      </c>
      <c r="C5" s="44">
        <v>8.7798780000000001</v>
      </c>
      <c r="D5" s="44">
        <v>90.637111812083035</v>
      </c>
    </row>
    <row r="6" spans="1:4" x14ac:dyDescent="0.25">
      <c r="A6" s="19" t="s">
        <v>2543</v>
      </c>
      <c r="B6" s="44">
        <v>78.746340299014733</v>
      </c>
      <c r="C6" s="44">
        <v>9.5904000000000007</v>
      </c>
      <c r="D6" s="44">
        <v>88.336740299014735</v>
      </c>
    </row>
    <row r="7" spans="1:4" x14ac:dyDescent="0.25">
      <c r="A7" s="19" t="s">
        <v>2625</v>
      </c>
      <c r="B7" s="44">
        <v>72.957344379239004</v>
      </c>
      <c r="C7" s="44">
        <v>13.937277999999996</v>
      </c>
      <c r="D7" s="44">
        <v>86.894622379238996</v>
      </c>
    </row>
    <row r="8" spans="1:4" x14ac:dyDescent="0.25">
      <c r="A8" s="19" t="s">
        <v>1319</v>
      </c>
      <c r="B8" s="44">
        <v>78.037433206106783</v>
      </c>
      <c r="C8" s="44">
        <v>8.7082890000000006</v>
      </c>
      <c r="D8" s="44">
        <v>86.745722206106791</v>
      </c>
    </row>
    <row r="9" spans="1:4" x14ac:dyDescent="0.25">
      <c r="A9" s="19" t="s">
        <v>2381</v>
      </c>
      <c r="B9" s="44">
        <v>73.092760162282531</v>
      </c>
      <c r="C9" s="44">
        <v>10.750078</v>
      </c>
      <c r="D9" s="44">
        <v>83.842838162282533</v>
      </c>
    </row>
    <row r="10" spans="1:4" x14ac:dyDescent="0.25">
      <c r="A10" s="19" t="s">
        <v>1115</v>
      </c>
      <c r="B10" s="44">
        <v>73.450509759093052</v>
      </c>
      <c r="C10" s="44">
        <v>9.8234999999999992</v>
      </c>
      <c r="D10" s="44">
        <v>83.274009759093047</v>
      </c>
    </row>
    <row r="11" spans="1:4" x14ac:dyDescent="0.25">
      <c r="A11" s="19" t="s">
        <v>2707</v>
      </c>
      <c r="B11" s="44">
        <v>74.323759951623742</v>
      </c>
      <c r="C11" s="44">
        <v>7.9452014999999978</v>
      </c>
      <c r="D11" s="44">
        <v>82.268961451623738</v>
      </c>
    </row>
    <row r="12" spans="1:4" x14ac:dyDescent="0.25">
      <c r="A12" s="19" t="s">
        <v>2747</v>
      </c>
      <c r="B12" s="44">
        <v>66.429549333073695</v>
      </c>
      <c r="C12" s="44">
        <v>8.0864794999999994</v>
      </c>
      <c r="D12" s="44">
        <v>74.51602883307369</v>
      </c>
    </row>
    <row r="13" spans="1:4" x14ac:dyDescent="0.25">
      <c r="A13" s="19" t="s">
        <v>951</v>
      </c>
      <c r="B13" s="44">
        <v>67.196887603455025</v>
      </c>
      <c r="C13" s="44">
        <v>6.7205104999999996</v>
      </c>
      <c r="D13" s="44">
        <v>73.917398103455028</v>
      </c>
    </row>
    <row r="14" spans="1:4" x14ac:dyDescent="0.25">
      <c r="A14" s="19" t="s">
        <v>1238</v>
      </c>
      <c r="B14" s="44">
        <v>61.172525855600043</v>
      </c>
      <c r="C14" s="44">
        <v>12.125579499999999</v>
      </c>
      <c r="D14" s="44">
        <v>73.298105355600043</v>
      </c>
    </row>
    <row r="15" spans="1:4" x14ac:dyDescent="0.25">
      <c r="A15" s="19" t="s">
        <v>910</v>
      </c>
      <c r="B15" s="44">
        <v>58.496494938086499</v>
      </c>
      <c r="C15" s="44">
        <v>13.174853999999998</v>
      </c>
      <c r="D15" s="44">
        <v>71.671348938086496</v>
      </c>
    </row>
    <row r="16" spans="1:4" x14ac:dyDescent="0.25">
      <c r="A16" s="19" t="s">
        <v>2217</v>
      </c>
      <c r="B16" s="44">
        <v>56.130754883904295</v>
      </c>
      <c r="C16" s="44">
        <v>12.9453</v>
      </c>
      <c r="D16" s="44">
        <v>69.076054883904291</v>
      </c>
    </row>
    <row r="17" spans="1:4" x14ac:dyDescent="0.25">
      <c r="A17" s="19" t="s">
        <v>868</v>
      </c>
      <c r="B17" s="44">
        <v>55.418751769636678</v>
      </c>
      <c r="C17" s="44">
        <v>12.812099999999999</v>
      </c>
      <c r="D17" s="44">
        <v>68.230851769636672</v>
      </c>
    </row>
    <row r="18" spans="1:4" x14ac:dyDescent="0.25">
      <c r="A18" s="19" t="s">
        <v>2095</v>
      </c>
      <c r="B18" s="44">
        <v>46.784075945170748</v>
      </c>
      <c r="C18" s="44">
        <v>17.864867</v>
      </c>
      <c r="D18" s="44">
        <v>64.648942945170745</v>
      </c>
    </row>
    <row r="19" spans="1:4" x14ac:dyDescent="0.25">
      <c r="A19" s="19" t="s">
        <v>1482</v>
      </c>
      <c r="B19" s="44">
        <v>48.038821206882915</v>
      </c>
      <c r="C19" s="44">
        <v>13.729099999999999</v>
      </c>
      <c r="D19" s="44">
        <v>61.767921206882917</v>
      </c>
    </row>
    <row r="20" spans="1:4" x14ac:dyDescent="0.25">
      <c r="A20" s="19" t="s">
        <v>1685</v>
      </c>
      <c r="B20" s="44">
        <v>44.075817849686779</v>
      </c>
      <c r="C20" s="44">
        <v>15.837979000000001</v>
      </c>
      <c r="D20" s="44">
        <v>59.913796849686776</v>
      </c>
    </row>
    <row r="21" spans="1:4" x14ac:dyDescent="0.25">
      <c r="A21" s="19" t="s">
        <v>2421</v>
      </c>
      <c r="B21" s="44">
        <v>40.630391950033186</v>
      </c>
      <c r="C21" s="44">
        <v>13.291997499999997</v>
      </c>
      <c r="D21" s="44">
        <v>53.92238945003318</v>
      </c>
    </row>
    <row r="22" spans="1:4" x14ac:dyDescent="0.25">
      <c r="A22" s="19" t="s">
        <v>1197</v>
      </c>
      <c r="B22" s="44">
        <v>40.390761086474413</v>
      </c>
      <c r="C22" s="44">
        <v>13.389527999999999</v>
      </c>
      <c r="D22" s="44">
        <v>53.780289086474411</v>
      </c>
    </row>
    <row r="23" spans="1:4" x14ac:dyDescent="0.25">
      <c r="A23" s="19" t="s">
        <v>1767</v>
      </c>
      <c r="B23" s="44">
        <v>37.830636701626986</v>
      </c>
      <c r="C23" s="44">
        <v>15.933634999999999</v>
      </c>
      <c r="D23" s="44">
        <v>53.764271701626981</v>
      </c>
    </row>
    <row r="24" spans="1:4" x14ac:dyDescent="0.25">
      <c r="A24" s="19" t="s">
        <v>2462</v>
      </c>
      <c r="B24" s="44">
        <v>40.347112029418128</v>
      </c>
      <c r="C24" s="44">
        <v>10.477077499999998</v>
      </c>
      <c r="D24" s="44">
        <v>50.824189529418128</v>
      </c>
    </row>
    <row r="25" spans="1:4" x14ac:dyDescent="0.25">
      <c r="A25" s="19" t="s">
        <v>1890</v>
      </c>
      <c r="B25" s="44">
        <v>45.295434522694542</v>
      </c>
      <c r="C25" s="44">
        <v>5.302778</v>
      </c>
      <c r="D25" s="44">
        <v>50.598212522694539</v>
      </c>
    </row>
    <row r="26" spans="1:4" x14ac:dyDescent="0.25">
      <c r="A26" s="19" t="s">
        <v>2787</v>
      </c>
      <c r="B26" s="44">
        <v>28.730117637678006</v>
      </c>
      <c r="C26" s="44">
        <v>20.908886500000001</v>
      </c>
      <c r="D26" s="44">
        <v>49.639004137678008</v>
      </c>
    </row>
    <row r="27" spans="1:4" x14ac:dyDescent="0.25">
      <c r="A27" s="19" t="s">
        <v>1073</v>
      </c>
      <c r="B27" s="44">
        <v>39.851459042519693</v>
      </c>
      <c r="C27" s="44">
        <v>6.7002279999999983</v>
      </c>
      <c r="D27" s="44">
        <v>46.551687042519688</v>
      </c>
    </row>
    <row r="28" spans="1:4" x14ac:dyDescent="0.25">
      <c r="A28" s="19" t="s">
        <v>991</v>
      </c>
      <c r="B28" s="44">
        <v>26.875436186650134</v>
      </c>
      <c r="C28" s="44">
        <v>19.397403999999991</v>
      </c>
      <c r="D28" s="44">
        <v>46.272840186650129</v>
      </c>
    </row>
    <row r="29" spans="1:4" x14ac:dyDescent="0.25">
      <c r="A29" s="19" t="s">
        <v>2299</v>
      </c>
      <c r="B29" s="44">
        <v>33.668786861504472</v>
      </c>
      <c r="C29" s="44">
        <v>12.243402999999999</v>
      </c>
      <c r="D29" s="44">
        <v>45.912189861504473</v>
      </c>
    </row>
    <row r="30" spans="1:4" x14ac:dyDescent="0.25">
      <c r="A30" s="19" t="s">
        <v>1523</v>
      </c>
      <c r="B30" s="44">
        <v>22.520222679640646</v>
      </c>
      <c r="C30" s="44">
        <v>22.601324499999997</v>
      </c>
      <c r="D30" s="44">
        <v>45.121547179640643</v>
      </c>
    </row>
    <row r="31" spans="1:4" x14ac:dyDescent="0.25">
      <c r="A31" s="19" t="s">
        <v>1441</v>
      </c>
      <c r="B31" s="44">
        <v>27.375090724950237</v>
      </c>
      <c r="C31" s="44">
        <v>15.092979000000001</v>
      </c>
      <c r="D31" s="44">
        <v>42.46806972495024</v>
      </c>
    </row>
    <row r="32" spans="1:4" x14ac:dyDescent="0.25">
      <c r="A32" s="19" t="s">
        <v>3188</v>
      </c>
      <c r="B32" s="44">
        <v>33.316778818470091</v>
      </c>
      <c r="C32" s="44">
        <v>9.0859584999999985</v>
      </c>
      <c r="D32" s="44">
        <v>42.402737318470088</v>
      </c>
    </row>
    <row r="33" spans="1:4" x14ac:dyDescent="0.25">
      <c r="A33" s="19" t="s">
        <v>1032</v>
      </c>
      <c r="B33" s="44">
        <v>19.458578839690137</v>
      </c>
      <c r="C33" s="44">
        <v>21.838432999999998</v>
      </c>
      <c r="D33" s="44">
        <v>41.297011839690136</v>
      </c>
    </row>
    <row r="34" spans="1:4" x14ac:dyDescent="0.25">
      <c r="A34" s="19" t="s">
        <v>2054</v>
      </c>
      <c r="B34" s="44">
        <v>27.232867451891096</v>
      </c>
      <c r="C34" s="44">
        <v>13.433652</v>
      </c>
      <c r="D34" s="44">
        <v>40.666519451891098</v>
      </c>
    </row>
    <row r="35" spans="1:4" x14ac:dyDescent="0.25">
      <c r="A35" s="19" t="s">
        <v>1278</v>
      </c>
      <c r="B35" s="44">
        <v>20.973896117246191</v>
      </c>
      <c r="C35" s="44">
        <v>19.338437499999998</v>
      </c>
      <c r="D35" s="44">
        <v>40.312333617246189</v>
      </c>
    </row>
    <row r="36" spans="1:4" x14ac:dyDescent="0.25">
      <c r="A36" s="19" t="s">
        <v>1400</v>
      </c>
      <c r="B36" s="44">
        <v>20.733952631578919</v>
      </c>
      <c r="C36" s="44">
        <v>18.068499499999994</v>
      </c>
      <c r="D36" s="44">
        <v>38.802452131578917</v>
      </c>
    </row>
    <row r="37" spans="1:4" x14ac:dyDescent="0.25">
      <c r="A37" s="19" t="s">
        <v>539</v>
      </c>
      <c r="B37" s="44">
        <v>24.108214285714258</v>
      </c>
      <c r="C37" s="44">
        <v>13.105914999999996</v>
      </c>
      <c r="D37" s="44">
        <v>37.21412928571425</v>
      </c>
    </row>
    <row r="38" spans="1:4" x14ac:dyDescent="0.25">
      <c r="A38" s="19" t="s">
        <v>622</v>
      </c>
      <c r="B38" s="44"/>
      <c r="C38" s="44">
        <v>36.894750999999985</v>
      </c>
      <c r="D38" s="44">
        <v>36.894750999999985</v>
      </c>
    </row>
    <row r="39" spans="1:4" x14ac:dyDescent="0.25">
      <c r="A39" s="19" t="s">
        <v>1359</v>
      </c>
      <c r="B39" s="44">
        <v>18.4825608512628</v>
      </c>
      <c r="C39" s="44">
        <v>17.314543499999999</v>
      </c>
      <c r="D39" s="44">
        <v>35.797104351262803</v>
      </c>
    </row>
    <row r="40" spans="1:4" x14ac:dyDescent="0.25">
      <c r="A40" s="19" t="s">
        <v>2584</v>
      </c>
      <c r="B40" s="44">
        <v>2.78</v>
      </c>
      <c r="C40" s="44">
        <v>32.048499499999998</v>
      </c>
      <c r="D40" s="44">
        <v>34.8284995</v>
      </c>
    </row>
    <row r="41" spans="1:4" x14ac:dyDescent="0.25">
      <c r="A41" s="19" t="s">
        <v>499</v>
      </c>
      <c r="B41" s="44"/>
      <c r="C41" s="44">
        <v>31.595881999999996</v>
      </c>
      <c r="D41" s="44">
        <v>31.595881999999996</v>
      </c>
    </row>
    <row r="42" spans="1:4" x14ac:dyDescent="0.25">
      <c r="A42" s="19" t="s">
        <v>2666</v>
      </c>
      <c r="B42" s="44">
        <v>17.554301619433168</v>
      </c>
      <c r="C42" s="44">
        <v>13.2020085</v>
      </c>
      <c r="D42" s="44">
        <v>30.756310119433167</v>
      </c>
    </row>
    <row r="43" spans="1:4" x14ac:dyDescent="0.25">
      <c r="A43" s="19" t="s">
        <v>2503</v>
      </c>
      <c r="B43" s="44"/>
      <c r="C43" s="44">
        <v>30.617910000000002</v>
      </c>
      <c r="D43" s="44">
        <v>30.617910000000002</v>
      </c>
    </row>
    <row r="44" spans="1:4" x14ac:dyDescent="0.25">
      <c r="A44" s="19" t="s">
        <v>214</v>
      </c>
      <c r="B44" s="44"/>
      <c r="C44" s="44">
        <v>29.489809999999995</v>
      </c>
      <c r="D44" s="44">
        <v>29.489809999999995</v>
      </c>
    </row>
    <row r="45" spans="1:4" x14ac:dyDescent="0.25">
      <c r="A45" s="19" t="s">
        <v>335</v>
      </c>
      <c r="B45" s="44"/>
      <c r="C45" s="44">
        <v>28.231219999999993</v>
      </c>
      <c r="D45" s="44">
        <v>28.231219999999993</v>
      </c>
    </row>
    <row r="46" spans="1:4" x14ac:dyDescent="0.25">
      <c r="A46" s="19" t="s">
        <v>1726</v>
      </c>
      <c r="B46" s="44"/>
      <c r="C46" s="44">
        <v>27.648543999999998</v>
      </c>
      <c r="D46" s="44">
        <v>27.648543999999998</v>
      </c>
    </row>
    <row r="47" spans="1:4" x14ac:dyDescent="0.25">
      <c r="A47" s="19" t="s">
        <v>704</v>
      </c>
      <c r="B47" s="44"/>
      <c r="C47" s="44">
        <v>26.544537499999997</v>
      </c>
      <c r="D47" s="44">
        <v>26.544537499999997</v>
      </c>
    </row>
    <row r="48" spans="1:4" x14ac:dyDescent="0.25">
      <c r="A48" s="19" t="s">
        <v>2135</v>
      </c>
      <c r="B48" s="44"/>
      <c r="C48" s="44">
        <v>24.667978499999986</v>
      </c>
      <c r="D48" s="44">
        <v>24.667978499999986</v>
      </c>
    </row>
    <row r="49" spans="1:4" x14ac:dyDescent="0.25">
      <c r="A49" s="19" t="s">
        <v>295</v>
      </c>
      <c r="B49" s="44"/>
      <c r="C49" s="44">
        <v>24.577408999999996</v>
      </c>
      <c r="D49" s="44">
        <v>24.577408999999996</v>
      </c>
    </row>
    <row r="50" spans="1:4" x14ac:dyDescent="0.25">
      <c r="A50" s="19" t="s">
        <v>255</v>
      </c>
      <c r="B50" s="44"/>
      <c r="C50" s="44">
        <v>24.502645999999995</v>
      </c>
      <c r="D50" s="44">
        <v>24.502645999999995</v>
      </c>
    </row>
    <row r="51" spans="1:4" x14ac:dyDescent="0.25">
      <c r="A51" s="19" t="s">
        <v>28</v>
      </c>
      <c r="B51" s="44"/>
      <c r="C51" s="44">
        <v>19.072684999999986</v>
      </c>
      <c r="D51" s="44">
        <v>19.072684999999986</v>
      </c>
    </row>
    <row r="52" spans="1:4" x14ac:dyDescent="0.25">
      <c r="A52" s="19" t="s">
        <v>663</v>
      </c>
      <c r="B52" s="44"/>
      <c r="C52" s="44">
        <v>19.032905999999997</v>
      </c>
      <c r="D52" s="44">
        <v>19.032905999999997</v>
      </c>
    </row>
    <row r="53" spans="1:4" x14ac:dyDescent="0.25">
      <c r="A53" s="19" t="s">
        <v>1931</v>
      </c>
      <c r="B53" s="44"/>
      <c r="C53" s="44">
        <v>18.846488999999988</v>
      </c>
      <c r="D53" s="44">
        <v>18.846488999999988</v>
      </c>
    </row>
    <row r="54" spans="1:4" x14ac:dyDescent="0.25">
      <c r="A54" s="19" t="s">
        <v>1808</v>
      </c>
      <c r="B54" s="44"/>
      <c r="C54" s="44">
        <v>18.812663999999987</v>
      </c>
      <c r="D54" s="44">
        <v>18.812663999999987</v>
      </c>
    </row>
    <row r="55" spans="1:4" x14ac:dyDescent="0.25">
      <c r="A55" s="19" t="s">
        <v>786</v>
      </c>
      <c r="B55" s="44"/>
      <c r="C55" s="44">
        <v>18.250666999999986</v>
      </c>
      <c r="D55" s="44">
        <v>18.250666999999986</v>
      </c>
    </row>
    <row r="56" spans="1:4" x14ac:dyDescent="0.25">
      <c r="A56" s="19" t="s">
        <v>827</v>
      </c>
      <c r="B56" s="44"/>
      <c r="C56" s="44">
        <v>17.784162999999985</v>
      </c>
      <c r="D56" s="44">
        <v>17.784162999999985</v>
      </c>
    </row>
    <row r="57" spans="1:4" x14ac:dyDescent="0.25">
      <c r="A57" s="19" t="s">
        <v>581</v>
      </c>
      <c r="B57" s="44"/>
      <c r="C57" s="44">
        <v>17.012573999999987</v>
      </c>
      <c r="D57" s="44">
        <v>17.012573999999987</v>
      </c>
    </row>
    <row r="58" spans="1:4" x14ac:dyDescent="0.25">
      <c r="A58" s="19" t="s">
        <v>2340</v>
      </c>
      <c r="B58" s="44"/>
      <c r="C58" s="44">
        <v>15.646043999999986</v>
      </c>
      <c r="D58" s="44">
        <v>15.646043999999986</v>
      </c>
    </row>
    <row r="59" spans="1:4" x14ac:dyDescent="0.25">
      <c r="A59" s="19" t="s">
        <v>1564</v>
      </c>
      <c r="B59" s="44"/>
      <c r="C59" s="44">
        <v>14.359405999999987</v>
      </c>
      <c r="D59" s="44">
        <v>14.359405999999987</v>
      </c>
    </row>
    <row r="60" spans="1:4" x14ac:dyDescent="0.25">
      <c r="A60" s="19" t="s">
        <v>173</v>
      </c>
      <c r="B60" s="44"/>
      <c r="C60" s="44">
        <v>11.814868499999999</v>
      </c>
      <c r="D60" s="44">
        <v>11.814868499999999</v>
      </c>
    </row>
    <row r="61" spans="1:4" x14ac:dyDescent="0.25">
      <c r="A61" s="19" t="s">
        <v>745</v>
      </c>
      <c r="B61" s="44"/>
      <c r="C61" s="44">
        <v>10.551111499999996</v>
      </c>
      <c r="D61" s="44">
        <v>10.551111499999996</v>
      </c>
    </row>
    <row r="62" spans="1:4" x14ac:dyDescent="0.25">
      <c r="A62" s="19" t="s">
        <v>376</v>
      </c>
      <c r="B62" s="44"/>
      <c r="C62" s="44">
        <v>10.3011585</v>
      </c>
      <c r="D62" s="44">
        <v>10.3011585</v>
      </c>
    </row>
    <row r="63" spans="1:4" x14ac:dyDescent="0.25">
      <c r="A63" s="19" t="s">
        <v>1156</v>
      </c>
      <c r="B63" s="44"/>
      <c r="C63" s="44">
        <v>9.6461599999999983</v>
      </c>
      <c r="D63" s="44">
        <v>9.6461599999999983</v>
      </c>
    </row>
    <row r="64" spans="1:4" x14ac:dyDescent="0.25">
      <c r="A64" s="19" t="s">
        <v>2176</v>
      </c>
      <c r="B64" s="44"/>
      <c r="C64" s="44">
        <v>9.6282870000000003</v>
      </c>
      <c r="D64" s="44">
        <v>9.6282870000000003</v>
      </c>
    </row>
    <row r="65" spans="1:4" x14ac:dyDescent="0.25">
      <c r="A65" s="19" t="s">
        <v>2989</v>
      </c>
      <c r="B65" s="44"/>
      <c r="C65" s="44">
        <v>9.1154984999999993</v>
      </c>
      <c r="D65" s="44">
        <v>9.1154984999999993</v>
      </c>
    </row>
    <row r="66" spans="1:4" x14ac:dyDescent="0.25">
      <c r="A66" s="19" t="s">
        <v>458</v>
      </c>
      <c r="B66" s="44"/>
      <c r="C66" s="44">
        <v>8.3047779999999989</v>
      </c>
      <c r="D66" s="44">
        <v>8.3047779999999989</v>
      </c>
    </row>
    <row r="67" spans="1:4" x14ac:dyDescent="0.25">
      <c r="A67" s="19" t="s">
        <v>1849</v>
      </c>
      <c r="B67" s="44"/>
      <c r="C67" s="44">
        <v>8.1649999999999991</v>
      </c>
      <c r="D67" s="44">
        <v>8.1649999999999991</v>
      </c>
    </row>
    <row r="68" spans="1:4" x14ac:dyDescent="0.25">
      <c r="A68" s="19" t="s">
        <v>2258</v>
      </c>
      <c r="B68" s="44"/>
      <c r="C68" s="44">
        <v>6.5897159999999975</v>
      </c>
      <c r="D68" s="44">
        <v>6.5897159999999975</v>
      </c>
    </row>
    <row r="69" spans="1:4" x14ac:dyDescent="0.25">
      <c r="A69" s="19" t="s">
        <v>2013</v>
      </c>
      <c r="B69" s="44"/>
      <c r="C69" s="44">
        <v>6.5130569999999999</v>
      </c>
      <c r="D69" s="44">
        <v>6.5130569999999999</v>
      </c>
    </row>
    <row r="70" spans="1:4" x14ac:dyDescent="0.25">
      <c r="A70" s="19" t="s">
        <v>1972</v>
      </c>
      <c r="B70" s="44"/>
      <c r="C70" s="44">
        <v>5.909658999999988</v>
      </c>
      <c r="D70" s="44">
        <v>5.909658999999988</v>
      </c>
    </row>
    <row r="71" spans="1:4" x14ac:dyDescent="0.25">
      <c r="A71" s="19" t="s">
        <v>417</v>
      </c>
      <c r="B71" s="44"/>
      <c r="C71" s="44">
        <v>4.7197779999999998</v>
      </c>
      <c r="D71" s="44">
        <v>4.7197779999999998</v>
      </c>
    </row>
    <row r="72" spans="1:4" x14ac:dyDescent="0.25">
      <c r="A72" s="19" t="s">
        <v>2869</v>
      </c>
      <c r="B72" s="44"/>
      <c r="C72" s="44">
        <v>2.2197779999999998</v>
      </c>
      <c r="D72" s="44">
        <v>2.2197779999999998</v>
      </c>
    </row>
    <row r="73" spans="1:4" x14ac:dyDescent="0.25">
      <c r="A73" s="69" t="s">
        <v>3073</v>
      </c>
      <c r="B73" s="68">
        <f>D73-C73</f>
        <v>23.593612661667898</v>
      </c>
      <c r="C73" s="68">
        <f>AVERAGE(C5:C72)</f>
        <v>15.333437029411762</v>
      </c>
      <c r="D73" s="68">
        <f>AVERAGE(D5:D72)</f>
        <v>38.92704969107966</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AO145"/>
  <sheetViews>
    <sheetView workbookViewId="0">
      <pane ySplit="6" topLeftCell="A7" activePane="bottomLeft" state="frozen"/>
      <selection pane="bottomLeft" activeCell="C1" sqref="C1"/>
    </sheetView>
  </sheetViews>
  <sheetFormatPr defaultRowHeight="15" x14ac:dyDescent="0.25"/>
  <cols>
    <col min="1" max="1" width="20.85546875" customWidth="1"/>
    <col min="2" max="2" width="16.28515625" customWidth="1"/>
    <col min="3" max="3" width="25.140625" customWidth="1"/>
    <col min="4" max="4" width="12" customWidth="1"/>
    <col min="5" max="5" width="20.140625" customWidth="1"/>
    <col min="6" max="6" width="13.42578125" customWidth="1"/>
    <col min="7" max="7" width="15.85546875" customWidth="1"/>
    <col min="8" max="8" width="18.5703125" customWidth="1"/>
    <col min="9" max="9" width="15.7109375" customWidth="1"/>
    <col min="10" max="10" width="12.140625" customWidth="1"/>
    <col min="11" max="11" width="21.5703125" customWidth="1"/>
    <col min="12" max="12" width="5.85546875" customWidth="1"/>
    <col min="13" max="13" width="12.7109375" customWidth="1"/>
    <col min="14" max="14" width="9.85546875" customWidth="1"/>
    <col min="15" max="15" width="5.5703125" customWidth="1"/>
    <col min="16" max="16" width="11.140625" customWidth="1"/>
    <col min="17" max="17" width="13.7109375" customWidth="1"/>
    <col min="18" max="18" width="11.85546875" customWidth="1"/>
    <col min="19" max="19" width="13.7109375" customWidth="1"/>
    <col min="20" max="20" width="14.28515625" customWidth="1"/>
    <col min="21" max="21" width="18" customWidth="1"/>
    <col min="22" max="22" width="10" customWidth="1"/>
    <col min="23" max="23" width="8.7109375" customWidth="1"/>
    <col min="24" max="24" width="12.5703125" customWidth="1"/>
    <col min="25" max="25" width="6.5703125" customWidth="1"/>
    <col min="26" max="26" width="20.140625" customWidth="1"/>
    <col min="27" max="27" width="14.28515625" customWidth="1"/>
    <col min="28" max="28" width="20.140625" customWidth="1"/>
    <col min="29" max="29" width="11.140625" customWidth="1"/>
    <col min="30" max="30" width="10.42578125" customWidth="1"/>
    <col min="31" max="31" width="11.85546875" customWidth="1"/>
    <col min="32" max="32" width="9.28515625" customWidth="1"/>
    <col min="33" max="33" width="8.140625" customWidth="1"/>
    <col min="34" max="34" width="10.42578125" customWidth="1"/>
    <col min="35" max="35" width="13.7109375" customWidth="1"/>
    <col min="36" max="36" width="18.28515625" customWidth="1"/>
    <col min="37" max="37" width="16.28515625" customWidth="1"/>
    <col min="38" max="38" width="14.28515625" customWidth="1"/>
    <col min="39" max="39" width="16.7109375" customWidth="1"/>
    <col min="40" max="40" width="10.5703125" customWidth="1"/>
    <col min="41" max="41" width="21" bestFit="1" customWidth="1"/>
    <col min="42" max="42" width="8.140625" bestFit="1" customWidth="1"/>
    <col min="43" max="43" width="12.28515625" customWidth="1"/>
    <col min="44" max="44" width="20.140625" bestFit="1" customWidth="1"/>
    <col min="45" max="45" width="9.28515625" bestFit="1" customWidth="1"/>
    <col min="46" max="46" width="11.140625" bestFit="1" customWidth="1"/>
    <col min="47" max="47" width="5.42578125" customWidth="1"/>
    <col min="48" max="48" width="10.42578125" bestFit="1" customWidth="1"/>
    <col min="49" max="49" width="8.140625" bestFit="1" customWidth="1"/>
    <col min="50" max="50" width="23.28515625" bestFit="1" customWidth="1"/>
    <col min="51" max="51" width="12.28515625" bestFit="1" customWidth="1"/>
    <col min="52" max="52" width="11.28515625" bestFit="1" customWidth="1"/>
    <col min="53" max="53" width="23.42578125" bestFit="1" customWidth="1"/>
    <col min="54" max="54" width="17" bestFit="1" customWidth="1"/>
    <col min="55" max="55" width="26.5703125" bestFit="1" customWidth="1"/>
    <col min="56" max="56" width="32" bestFit="1" customWidth="1"/>
    <col min="57" max="57" width="12.28515625" bestFit="1" customWidth="1"/>
    <col min="58" max="58" width="35.140625" bestFit="1" customWidth="1"/>
    <col min="59" max="59" width="18.28515625" bestFit="1" customWidth="1"/>
    <col min="60" max="60" width="12.28515625" bestFit="1" customWidth="1"/>
    <col min="61" max="61" width="16.140625" bestFit="1" customWidth="1"/>
    <col min="62" max="62" width="14.42578125" bestFit="1" customWidth="1"/>
    <col min="63" max="63" width="12.28515625" bestFit="1" customWidth="1"/>
    <col min="64" max="64" width="17.7109375" bestFit="1" customWidth="1"/>
    <col min="65" max="65" width="13.42578125" bestFit="1" customWidth="1"/>
    <col min="66" max="66" width="12.28515625" bestFit="1" customWidth="1"/>
    <col min="67" max="67" width="15" bestFit="1" customWidth="1"/>
    <col min="68" max="68" width="14.28515625" bestFit="1" customWidth="1"/>
    <col min="69" max="69" width="17.5703125" bestFit="1" customWidth="1"/>
    <col min="70" max="70" width="10.140625" bestFit="1" customWidth="1"/>
    <col min="71" max="71" width="18.5703125" bestFit="1" customWidth="1"/>
    <col min="72" max="72" width="12.28515625" bestFit="1" customWidth="1"/>
    <col min="73" max="73" width="21.85546875" bestFit="1" customWidth="1"/>
    <col min="74" max="74" width="27" bestFit="1" customWidth="1"/>
    <col min="75" max="75" width="17.5703125" bestFit="1" customWidth="1"/>
    <col min="76" max="76" width="30.28515625" bestFit="1" customWidth="1"/>
    <col min="77" max="77" width="14.5703125" bestFit="1" customWidth="1"/>
    <col min="78" max="78" width="12.28515625" bestFit="1" customWidth="1"/>
    <col min="79" max="79" width="17.85546875" bestFit="1" customWidth="1"/>
    <col min="80" max="80" width="18.28515625" bestFit="1" customWidth="1"/>
    <col min="81" max="81" width="12.28515625" bestFit="1" customWidth="1"/>
    <col min="82" max="82" width="10.28515625" bestFit="1" customWidth="1"/>
    <col min="83" max="83" width="18.28515625" bestFit="1" customWidth="1"/>
    <col min="84" max="84" width="12.28515625" bestFit="1" customWidth="1"/>
    <col min="85" max="85" width="15.42578125" bestFit="1" customWidth="1"/>
    <col min="86" max="86" width="22" bestFit="1" customWidth="1"/>
    <col min="87" max="87" width="17" bestFit="1" customWidth="1"/>
    <col min="88" max="88" width="25.140625" bestFit="1" customWidth="1"/>
    <col min="89" max="89" width="15.5703125" bestFit="1" customWidth="1"/>
    <col min="90" max="90" width="12.28515625" bestFit="1" customWidth="1"/>
    <col min="91" max="91" width="18.7109375" bestFit="1" customWidth="1"/>
    <col min="92" max="92" width="20.42578125" bestFit="1" customWidth="1"/>
    <col min="93" max="93" width="17" bestFit="1" customWidth="1"/>
    <col min="94" max="94" width="23.5703125" bestFit="1" customWidth="1"/>
    <col min="95" max="95" width="12.42578125" bestFit="1" customWidth="1"/>
    <col min="96" max="97" width="12.28515625" bestFit="1" customWidth="1"/>
    <col min="98" max="98" width="13.42578125" bestFit="1" customWidth="1"/>
    <col min="99" max="99" width="12.28515625" bestFit="1" customWidth="1"/>
    <col min="100" max="100" width="11.42578125" bestFit="1" customWidth="1"/>
    <col min="101" max="101" width="22" bestFit="1" customWidth="1"/>
    <col min="102" max="102" width="12.28515625" bestFit="1" customWidth="1"/>
    <col min="103" max="103" width="25.140625" bestFit="1" customWidth="1"/>
    <col min="104" max="104" width="18.28515625" bestFit="1" customWidth="1"/>
    <col min="105" max="105" width="12.28515625" bestFit="1" customWidth="1"/>
    <col min="106" max="106" width="13.140625" bestFit="1" customWidth="1"/>
    <col min="107" max="107" width="16.140625" bestFit="1" customWidth="1"/>
    <col min="108" max="108" width="12.28515625" bestFit="1" customWidth="1"/>
    <col min="109" max="109" width="19.28515625" bestFit="1" customWidth="1"/>
    <col min="110" max="110" width="9.28515625" bestFit="1" customWidth="1"/>
    <col min="111" max="111" width="12.28515625" bestFit="1" customWidth="1"/>
    <col min="112" max="112" width="9.85546875" bestFit="1" customWidth="1"/>
    <col min="113" max="113" width="14" bestFit="1" customWidth="1"/>
    <col min="114" max="114" width="17" bestFit="1" customWidth="1"/>
    <col min="115" max="115" width="17.28515625" bestFit="1" customWidth="1"/>
    <col min="116" max="116" width="11.7109375" bestFit="1" customWidth="1"/>
    <col min="117" max="117" width="12.28515625" bestFit="1" customWidth="1"/>
    <col min="118" max="118" width="14.85546875" bestFit="1" customWidth="1"/>
    <col min="119" max="119" width="11.28515625" bestFit="1" customWidth="1"/>
  </cols>
  <sheetData>
    <row r="1" spans="1:41" s="168" customFormat="1" ht="21" x14ac:dyDescent="0.35">
      <c r="A1" s="167" t="s">
        <v>3256</v>
      </c>
    </row>
    <row r="3" spans="1:41" x14ac:dyDescent="0.25">
      <c r="A3" s="18" t="s">
        <v>3060</v>
      </c>
      <c r="B3" s="18" t="s">
        <v>3043</v>
      </c>
      <c r="AO3" s="41"/>
    </row>
    <row r="4" spans="1:41" x14ac:dyDescent="0.25">
      <c r="B4" t="s">
        <v>163</v>
      </c>
      <c r="E4" t="s">
        <v>134</v>
      </c>
      <c r="M4" t="s">
        <v>32</v>
      </c>
      <c r="AO4" s="41"/>
    </row>
    <row r="5" spans="1:41" x14ac:dyDescent="0.25">
      <c r="B5" t="s">
        <v>3059</v>
      </c>
      <c r="E5" t="s">
        <v>146</v>
      </c>
      <c r="J5" t="s">
        <v>87</v>
      </c>
      <c r="M5" t="s">
        <v>33</v>
      </c>
      <c r="U5" t="s">
        <v>63</v>
      </c>
      <c r="AB5" t="s">
        <v>114</v>
      </c>
      <c r="AH5" t="s">
        <v>87</v>
      </c>
      <c r="AL5" t="s">
        <v>101</v>
      </c>
      <c r="AO5" s="41"/>
    </row>
    <row r="6" spans="1:41" ht="30" x14ac:dyDescent="0.25">
      <c r="A6" s="18" t="s">
        <v>3042</v>
      </c>
      <c r="B6" t="s">
        <v>162</v>
      </c>
      <c r="C6" t="s">
        <v>171</v>
      </c>
      <c r="D6" t="s">
        <v>168</v>
      </c>
      <c r="E6" t="s">
        <v>145</v>
      </c>
      <c r="F6" t="s">
        <v>150</v>
      </c>
      <c r="G6" t="s">
        <v>153</v>
      </c>
      <c r="H6" t="s">
        <v>156</v>
      </c>
      <c r="I6" t="s">
        <v>159</v>
      </c>
      <c r="J6" t="s">
        <v>138</v>
      </c>
      <c r="K6" t="s">
        <v>141</v>
      </c>
      <c r="L6" t="s">
        <v>133</v>
      </c>
      <c r="M6" t="s">
        <v>50</v>
      </c>
      <c r="N6" t="s">
        <v>59</v>
      </c>
      <c r="O6" t="s">
        <v>56</v>
      </c>
      <c r="P6" t="s">
        <v>47</v>
      </c>
      <c r="Q6" t="s">
        <v>53</v>
      </c>
      <c r="R6" t="s">
        <v>31</v>
      </c>
      <c r="S6" t="s">
        <v>44</v>
      </c>
      <c r="T6" t="s">
        <v>39</v>
      </c>
      <c r="U6" t="s">
        <v>67</v>
      </c>
      <c r="V6" t="s">
        <v>73</v>
      </c>
      <c r="W6" t="s">
        <v>62</v>
      </c>
      <c r="X6" t="s">
        <v>70</v>
      </c>
      <c r="Y6" t="s">
        <v>76</v>
      </c>
      <c r="Z6" t="s">
        <v>79</v>
      </c>
      <c r="AA6" t="s">
        <v>83</v>
      </c>
      <c r="AB6" t="s">
        <v>124</v>
      </c>
      <c r="AC6" t="s">
        <v>121</v>
      </c>
      <c r="AD6" t="s">
        <v>127</v>
      </c>
      <c r="AE6" t="s">
        <v>113</v>
      </c>
      <c r="AF6" t="s">
        <v>118</v>
      </c>
      <c r="AG6" t="s">
        <v>130</v>
      </c>
      <c r="AH6" t="s">
        <v>91</v>
      </c>
      <c r="AI6" t="s">
        <v>94</v>
      </c>
      <c r="AJ6" s="17" t="s">
        <v>86</v>
      </c>
      <c r="AK6" t="s">
        <v>97</v>
      </c>
      <c r="AL6" t="s">
        <v>109</v>
      </c>
      <c r="AM6" t="s">
        <v>106</v>
      </c>
      <c r="AN6" t="s">
        <v>100</v>
      </c>
      <c r="AO6" s="42" t="s">
        <v>3109</v>
      </c>
    </row>
    <row r="7" spans="1:41" x14ac:dyDescent="0.25">
      <c r="A7" s="19" t="s">
        <v>2747</v>
      </c>
      <c r="B7" s="22">
        <v>66.66</v>
      </c>
      <c r="C7" s="22">
        <v>94</v>
      </c>
      <c r="D7" s="22">
        <v>33.33</v>
      </c>
      <c r="E7" s="22">
        <v>100</v>
      </c>
      <c r="F7" s="22">
        <v>100</v>
      </c>
      <c r="G7" s="22">
        <v>100</v>
      </c>
      <c r="H7" s="22">
        <v>100</v>
      </c>
      <c r="I7" s="22">
        <v>98</v>
      </c>
      <c r="J7" s="22">
        <v>100</v>
      </c>
      <c r="K7" s="22">
        <v>100</v>
      </c>
      <c r="L7" s="22">
        <v>100</v>
      </c>
      <c r="M7" s="22">
        <v>93.706249999999997</v>
      </c>
      <c r="N7" s="22">
        <v>95</v>
      </c>
      <c r="O7" s="22">
        <v>94.803124999999994</v>
      </c>
      <c r="P7" s="22">
        <v>83.046875</v>
      </c>
      <c r="Q7" s="22">
        <v>94.662499999999994</v>
      </c>
      <c r="R7" s="22">
        <v>87.614494680899995</v>
      </c>
      <c r="S7" s="22">
        <v>95</v>
      </c>
      <c r="T7" s="22">
        <v>95</v>
      </c>
      <c r="U7" s="22">
        <v>95</v>
      </c>
      <c r="V7" s="22">
        <v>95</v>
      </c>
      <c r="W7" s="22">
        <v>94.325000000000003</v>
      </c>
      <c r="X7" s="22">
        <v>94.325000000000003</v>
      </c>
      <c r="Y7" s="22">
        <v>95</v>
      </c>
      <c r="Z7" s="22">
        <v>74.46875</v>
      </c>
      <c r="AA7" s="22">
        <v>95</v>
      </c>
      <c r="AB7" s="22">
        <v>0</v>
      </c>
      <c r="AC7" s="22">
        <v>54.3085106383</v>
      </c>
      <c r="AD7" s="22">
        <v>54.556249999999999</v>
      </c>
      <c r="AE7" s="22">
        <v>54.313471502600002</v>
      </c>
      <c r="AF7" s="22">
        <v>50</v>
      </c>
      <c r="AG7" s="22">
        <v>51.6904145078</v>
      </c>
      <c r="AH7" s="22">
        <v>16.664999999999999</v>
      </c>
      <c r="AI7" s="22">
        <v>95</v>
      </c>
      <c r="AJ7" s="43">
        <v>86.056250000000006</v>
      </c>
      <c r="AK7" s="22">
        <v>0</v>
      </c>
      <c r="AL7" s="22">
        <v>52.924999999999997</v>
      </c>
      <c r="AM7" s="22">
        <v>54.556249999999999</v>
      </c>
      <c r="AN7" s="22">
        <v>52.278125000000003</v>
      </c>
      <c r="AO7" s="75" t="str">
        <f>VLOOKUP(A7,'Overall scores and ranking'!$A$3:$D$71,4,FALSE)</f>
        <v>Good</v>
      </c>
    </row>
    <row r="8" spans="1:41" x14ac:dyDescent="0.25">
      <c r="A8" s="19" t="s">
        <v>2381</v>
      </c>
      <c r="B8" s="22">
        <v>66.66</v>
      </c>
      <c r="C8" s="22">
        <v>91</v>
      </c>
      <c r="D8" s="22">
        <v>100</v>
      </c>
      <c r="E8" s="22">
        <v>100</v>
      </c>
      <c r="F8" s="22">
        <v>100</v>
      </c>
      <c r="G8" s="22">
        <v>100</v>
      </c>
      <c r="H8" s="22">
        <v>100</v>
      </c>
      <c r="I8" s="22">
        <v>93.75</v>
      </c>
      <c r="J8" s="22">
        <v>100</v>
      </c>
      <c r="K8" s="22">
        <v>100</v>
      </c>
      <c r="L8" s="22">
        <v>100</v>
      </c>
      <c r="M8" s="22">
        <v>95</v>
      </c>
      <c r="N8" s="22">
        <v>95</v>
      </c>
      <c r="O8" s="22">
        <v>95</v>
      </c>
      <c r="P8" s="22">
        <v>94.951974386299995</v>
      </c>
      <c r="Q8" s="22">
        <v>95</v>
      </c>
      <c r="R8" s="22">
        <v>95</v>
      </c>
      <c r="S8" s="22">
        <v>95</v>
      </c>
      <c r="T8" s="22">
        <v>95</v>
      </c>
      <c r="U8" s="22">
        <v>95</v>
      </c>
      <c r="V8" s="22">
        <v>95</v>
      </c>
      <c r="W8" s="22">
        <v>95</v>
      </c>
      <c r="X8" s="22">
        <v>95</v>
      </c>
      <c r="Y8" s="22">
        <v>72.5</v>
      </c>
      <c r="Z8" s="22">
        <v>86.499466382099996</v>
      </c>
      <c r="AA8" s="22">
        <v>95</v>
      </c>
      <c r="AB8" s="22">
        <v>94.855923159</v>
      </c>
      <c r="AC8" s="22">
        <v>69.191176470599999</v>
      </c>
      <c r="AD8" s="22">
        <v>95</v>
      </c>
      <c r="AE8" s="22">
        <v>95</v>
      </c>
      <c r="AF8" s="22">
        <v>50</v>
      </c>
      <c r="AG8" s="22">
        <v>50</v>
      </c>
      <c r="AH8" s="22">
        <v>0</v>
      </c>
      <c r="AI8" s="22">
        <v>95</v>
      </c>
      <c r="AJ8" s="43">
        <v>89.236926360699997</v>
      </c>
      <c r="AK8" s="22">
        <v>0</v>
      </c>
      <c r="AL8" s="22">
        <v>72.5</v>
      </c>
      <c r="AM8" s="22">
        <v>95</v>
      </c>
      <c r="AN8" s="22">
        <v>72.427961579500007</v>
      </c>
      <c r="AO8" s="75" t="str">
        <f>VLOOKUP(A8,'Overall scores and ranking'!$A$3:$D$71,4,FALSE)</f>
        <v>Very good</v>
      </c>
    </row>
    <row r="9" spans="1:41" x14ac:dyDescent="0.25">
      <c r="A9" s="19" t="s">
        <v>2299</v>
      </c>
      <c r="B9" s="22">
        <v>66.66</v>
      </c>
      <c r="C9" s="22">
        <v>38</v>
      </c>
      <c r="D9" s="22">
        <v>0</v>
      </c>
      <c r="E9" s="22">
        <v>100</v>
      </c>
      <c r="F9" s="22">
        <v>100</v>
      </c>
      <c r="G9" s="22">
        <v>100</v>
      </c>
      <c r="H9" s="22">
        <v>100</v>
      </c>
      <c r="I9" s="22">
        <v>50</v>
      </c>
      <c r="J9" s="22">
        <v>66.666666666699996</v>
      </c>
      <c r="K9" s="22">
        <v>11.11</v>
      </c>
      <c r="L9" s="22">
        <v>50</v>
      </c>
      <c r="M9" s="22">
        <v>0</v>
      </c>
      <c r="N9" s="22">
        <v>95</v>
      </c>
      <c r="O9" s="22">
        <v>94.838184931499995</v>
      </c>
      <c r="P9" s="22">
        <v>94.946061643799993</v>
      </c>
      <c r="Q9" s="22">
        <v>95</v>
      </c>
      <c r="R9" s="22">
        <v>89.0508474576</v>
      </c>
      <c r="S9" s="22">
        <v>95</v>
      </c>
      <c r="T9" s="22">
        <v>95</v>
      </c>
      <c r="U9" s="22">
        <v>0</v>
      </c>
      <c r="V9" s="22">
        <v>95</v>
      </c>
      <c r="W9" s="22">
        <v>95</v>
      </c>
      <c r="X9" s="22">
        <v>95</v>
      </c>
      <c r="Y9" s="22">
        <v>94.961472602699999</v>
      </c>
      <c r="Z9" s="22">
        <v>0</v>
      </c>
      <c r="AA9" s="22">
        <v>33.33</v>
      </c>
      <c r="AB9" s="22">
        <v>50</v>
      </c>
      <c r="AC9" s="22">
        <v>50</v>
      </c>
      <c r="AD9" s="22">
        <v>0</v>
      </c>
      <c r="AE9" s="22">
        <v>0</v>
      </c>
      <c r="AF9" s="22">
        <v>50</v>
      </c>
      <c r="AG9" s="22">
        <v>50</v>
      </c>
      <c r="AH9" s="22">
        <v>0</v>
      </c>
      <c r="AI9" s="22">
        <v>0</v>
      </c>
      <c r="AJ9" s="43">
        <v>94.845890410999999</v>
      </c>
      <c r="AK9" s="22">
        <v>0</v>
      </c>
      <c r="AL9" s="22">
        <v>0</v>
      </c>
      <c r="AM9" s="22">
        <v>0</v>
      </c>
      <c r="AN9" s="22">
        <v>0</v>
      </c>
      <c r="AO9" s="75" t="str">
        <f>VLOOKUP(A9,'Overall scores and ranking'!$A$3:$D$71,4,FALSE)</f>
        <v>Fair</v>
      </c>
    </row>
    <row r="10" spans="1:41" x14ac:dyDescent="0.25">
      <c r="A10" s="19" t="s">
        <v>28</v>
      </c>
      <c r="B10" s="22">
        <v>33.33</v>
      </c>
      <c r="C10" s="22">
        <v>0</v>
      </c>
      <c r="D10" s="22">
        <v>33.33</v>
      </c>
      <c r="E10" s="22">
        <v>50</v>
      </c>
      <c r="F10" s="22">
        <v>50</v>
      </c>
      <c r="G10" s="22">
        <v>50</v>
      </c>
      <c r="H10" s="22">
        <v>50</v>
      </c>
      <c r="I10" s="22">
        <v>50</v>
      </c>
      <c r="J10" s="22">
        <v>11.11</v>
      </c>
      <c r="K10" s="22">
        <v>50</v>
      </c>
      <c r="L10" s="22">
        <v>50</v>
      </c>
      <c r="M10" s="22">
        <v>33.33</v>
      </c>
      <c r="N10" s="22">
        <v>33.33</v>
      </c>
      <c r="O10" s="22">
        <v>33.33</v>
      </c>
      <c r="P10" s="22">
        <v>33.33</v>
      </c>
      <c r="Q10" s="22">
        <v>0</v>
      </c>
      <c r="R10" s="22">
        <v>0</v>
      </c>
      <c r="S10" s="22">
        <v>0</v>
      </c>
      <c r="T10" s="22">
        <v>33.33</v>
      </c>
      <c r="U10" s="22">
        <v>0</v>
      </c>
      <c r="V10" s="22">
        <v>0</v>
      </c>
      <c r="W10" s="22">
        <v>0</v>
      </c>
      <c r="X10" s="22">
        <v>0</v>
      </c>
      <c r="Y10" s="22">
        <v>0</v>
      </c>
      <c r="Z10" s="22">
        <v>0</v>
      </c>
      <c r="AA10" s="22">
        <v>0</v>
      </c>
      <c r="AB10" s="22">
        <v>0</v>
      </c>
      <c r="AC10" s="22">
        <v>50</v>
      </c>
      <c r="AD10" s="22">
        <v>0</v>
      </c>
      <c r="AE10" s="22">
        <v>0</v>
      </c>
      <c r="AF10" s="22">
        <v>0</v>
      </c>
      <c r="AG10" s="22">
        <v>50</v>
      </c>
      <c r="AH10" s="22">
        <v>0</v>
      </c>
      <c r="AI10" s="22">
        <v>33.33</v>
      </c>
      <c r="AJ10" s="43">
        <v>0</v>
      </c>
      <c r="AK10" s="22">
        <v>0</v>
      </c>
      <c r="AL10" s="22">
        <v>0</v>
      </c>
      <c r="AM10" s="22">
        <v>0</v>
      </c>
      <c r="AN10" s="22">
        <v>0</v>
      </c>
      <c r="AO10" s="75" t="str">
        <f>VLOOKUP(A10,'Overall scores and ranking'!$A$3:$D$71,4,FALSE)</f>
        <v>Very Poor</v>
      </c>
    </row>
    <row r="11" spans="1:41" x14ac:dyDescent="0.25">
      <c r="A11" s="19" t="s">
        <v>1931</v>
      </c>
      <c r="B11" s="22">
        <v>33.33</v>
      </c>
      <c r="C11" s="22">
        <v>92</v>
      </c>
      <c r="D11" s="22">
        <v>0</v>
      </c>
      <c r="E11" s="22">
        <v>50</v>
      </c>
      <c r="F11" s="22">
        <v>50</v>
      </c>
      <c r="G11" s="22">
        <v>50</v>
      </c>
      <c r="H11" s="22">
        <v>50</v>
      </c>
      <c r="I11" s="22">
        <v>0</v>
      </c>
      <c r="J11" s="22">
        <v>0</v>
      </c>
      <c r="K11" s="22">
        <v>50</v>
      </c>
      <c r="L11" s="22">
        <v>50</v>
      </c>
      <c r="M11" s="22">
        <v>0</v>
      </c>
      <c r="N11" s="22">
        <v>0</v>
      </c>
      <c r="O11" s="22">
        <v>33.33</v>
      </c>
      <c r="P11" s="22">
        <v>33.33</v>
      </c>
      <c r="Q11" s="22">
        <v>0</v>
      </c>
      <c r="R11" s="22">
        <v>0</v>
      </c>
      <c r="S11" s="22">
        <v>0</v>
      </c>
      <c r="T11" s="22">
        <v>33.33</v>
      </c>
      <c r="U11" s="22">
        <v>0</v>
      </c>
      <c r="V11" s="22">
        <v>0</v>
      </c>
      <c r="W11" s="22">
        <v>0</v>
      </c>
      <c r="X11" s="22">
        <v>0</v>
      </c>
      <c r="Y11" s="22">
        <v>33.33</v>
      </c>
      <c r="Z11" s="22">
        <v>0</v>
      </c>
      <c r="AA11" s="22">
        <v>0</v>
      </c>
      <c r="AB11" s="22">
        <v>0</v>
      </c>
      <c r="AC11" s="22">
        <v>0</v>
      </c>
      <c r="AD11" s="22">
        <v>50</v>
      </c>
      <c r="AE11" s="22">
        <v>0</v>
      </c>
      <c r="AF11" s="22">
        <v>0</v>
      </c>
      <c r="AG11" s="22">
        <v>50</v>
      </c>
      <c r="AH11" s="22">
        <v>0</v>
      </c>
      <c r="AI11" s="22">
        <v>33.33</v>
      </c>
      <c r="AJ11" s="43">
        <v>0</v>
      </c>
      <c r="AK11" s="22">
        <v>0</v>
      </c>
      <c r="AL11" s="22">
        <v>0</v>
      </c>
      <c r="AM11" s="22">
        <v>0</v>
      </c>
      <c r="AN11" s="22">
        <v>0</v>
      </c>
      <c r="AO11" s="75" t="str">
        <f>VLOOKUP(A11,'Overall scores and ranking'!$A$3:$D$71,4,FALSE)</f>
        <v>Very Poor</v>
      </c>
    </row>
    <row r="12" spans="1:41" x14ac:dyDescent="0.25">
      <c r="A12" s="19" t="s">
        <v>1156</v>
      </c>
      <c r="B12" s="22">
        <v>100</v>
      </c>
      <c r="C12" s="22">
        <v>0</v>
      </c>
      <c r="D12" s="22">
        <v>33.33</v>
      </c>
      <c r="E12" s="22">
        <v>0</v>
      </c>
      <c r="F12" s="22">
        <v>0</v>
      </c>
      <c r="G12" s="22">
        <v>0</v>
      </c>
      <c r="H12" s="22">
        <v>50</v>
      </c>
      <c r="I12" s="22">
        <v>0</v>
      </c>
      <c r="J12" s="22">
        <v>0</v>
      </c>
      <c r="K12" s="22">
        <v>0</v>
      </c>
      <c r="L12" s="22">
        <v>0</v>
      </c>
      <c r="M12" s="22">
        <v>33.33</v>
      </c>
      <c r="N12" s="22">
        <v>33.33</v>
      </c>
      <c r="O12" s="22">
        <v>33.33</v>
      </c>
      <c r="P12" s="22">
        <v>0</v>
      </c>
      <c r="Q12" s="22">
        <v>33.33</v>
      </c>
      <c r="R12" s="22">
        <v>0</v>
      </c>
      <c r="S12" s="22">
        <v>33.33</v>
      </c>
      <c r="T12" s="22">
        <v>0</v>
      </c>
      <c r="U12" s="22">
        <v>33.33</v>
      </c>
      <c r="V12" s="22">
        <v>0</v>
      </c>
      <c r="W12" s="22">
        <v>0</v>
      </c>
      <c r="X12" s="22">
        <v>0</v>
      </c>
      <c r="Y12" s="22">
        <v>33.33</v>
      </c>
      <c r="Z12" s="22">
        <v>0</v>
      </c>
      <c r="AA12" s="22">
        <v>0</v>
      </c>
      <c r="AB12" s="22">
        <v>0</v>
      </c>
      <c r="AC12" s="22">
        <v>0</v>
      </c>
      <c r="AD12" s="22">
        <v>0</v>
      </c>
      <c r="AE12" s="22">
        <v>0</v>
      </c>
      <c r="AF12" s="22">
        <v>0</v>
      </c>
      <c r="AG12" s="22">
        <v>0</v>
      </c>
      <c r="AH12" s="22">
        <v>0</v>
      </c>
      <c r="AI12" s="22">
        <v>0</v>
      </c>
      <c r="AJ12" s="43">
        <v>0</v>
      </c>
      <c r="AK12" s="22">
        <v>0</v>
      </c>
      <c r="AL12" s="22">
        <v>0</v>
      </c>
      <c r="AM12" s="22">
        <v>0</v>
      </c>
      <c r="AN12" s="22">
        <v>0</v>
      </c>
      <c r="AO12" s="75" t="str">
        <f>VLOOKUP(A12,'Overall scores and ranking'!$A$3:$D$71,4,FALSE)</f>
        <v>Very Poor</v>
      </c>
    </row>
    <row r="13" spans="1:41" x14ac:dyDescent="0.25">
      <c r="A13" s="19" t="s">
        <v>1849</v>
      </c>
      <c r="B13" s="22">
        <v>100</v>
      </c>
      <c r="C13" s="22">
        <v>0</v>
      </c>
      <c r="D13" s="22">
        <v>0</v>
      </c>
      <c r="E13" s="22">
        <v>50</v>
      </c>
      <c r="F13" s="22">
        <v>0</v>
      </c>
      <c r="G13" s="22">
        <v>50</v>
      </c>
      <c r="H13" s="22">
        <v>50</v>
      </c>
      <c r="I13" s="22">
        <v>0</v>
      </c>
      <c r="J13" s="22">
        <v>0</v>
      </c>
      <c r="K13" s="22">
        <v>0</v>
      </c>
      <c r="L13" s="22">
        <v>0</v>
      </c>
      <c r="M13" s="22">
        <v>0</v>
      </c>
      <c r="N13" s="22">
        <v>0</v>
      </c>
      <c r="O13" s="22">
        <v>0</v>
      </c>
      <c r="P13" s="22">
        <v>0</v>
      </c>
      <c r="Q13" s="22">
        <v>0</v>
      </c>
      <c r="R13" s="22">
        <v>0</v>
      </c>
      <c r="S13" s="22">
        <v>0</v>
      </c>
      <c r="T13" s="22">
        <v>0</v>
      </c>
      <c r="U13" s="22">
        <v>0</v>
      </c>
      <c r="V13" s="22">
        <v>0</v>
      </c>
      <c r="W13" s="22">
        <v>0</v>
      </c>
      <c r="X13" s="22">
        <v>0</v>
      </c>
      <c r="Y13" s="22">
        <v>0</v>
      </c>
      <c r="Z13" s="22">
        <v>0</v>
      </c>
      <c r="AA13" s="22">
        <v>0</v>
      </c>
      <c r="AB13" s="22">
        <v>0</v>
      </c>
      <c r="AC13" s="22">
        <v>0</v>
      </c>
      <c r="AD13" s="22">
        <v>0</v>
      </c>
      <c r="AE13" s="22">
        <v>0</v>
      </c>
      <c r="AF13" s="22">
        <v>0</v>
      </c>
      <c r="AG13" s="22">
        <v>50</v>
      </c>
      <c r="AH13" s="22">
        <v>0</v>
      </c>
      <c r="AI13" s="22">
        <v>0</v>
      </c>
      <c r="AJ13" s="43">
        <v>0</v>
      </c>
      <c r="AK13" s="22">
        <v>0</v>
      </c>
      <c r="AL13" s="22">
        <v>0</v>
      </c>
      <c r="AM13" s="22">
        <v>0</v>
      </c>
      <c r="AN13" s="22">
        <v>0</v>
      </c>
      <c r="AO13" s="75" t="str">
        <f>VLOOKUP(A13,'Overall scores and ranking'!$A$3:$D$71,4,FALSE)</f>
        <v>Very Poor</v>
      </c>
    </row>
    <row r="14" spans="1:41" x14ac:dyDescent="0.25">
      <c r="A14" s="19" t="s">
        <v>910</v>
      </c>
      <c r="B14" s="22">
        <v>66.66</v>
      </c>
      <c r="C14" s="22">
        <v>94</v>
      </c>
      <c r="D14" s="22">
        <v>100</v>
      </c>
      <c r="E14" s="22">
        <v>100</v>
      </c>
      <c r="F14" s="22">
        <v>100</v>
      </c>
      <c r="G14" s="22">
        <v>100</v>
      </c>
      <c r="H14" s="22">
        <v>100</v>
      </c>
      <c r="I14" s="22">
        <v>70.270270270300003</v>
      </c>
      <c r="J14" s="22">
        <v>100</v>
      </c>
      <c r="K14" s="22">
        <v>100</v>
      </c>
      <c r="L14" s="22">
        <v>100</v>
      </c>
      <c r="M14" s="22">
        <v>95</v>
      </c>
      <c r="N14" s="22">
        <v>95</v>
      </c>
      <c r="O14" s="22">
        <v>95</v>
      </c>
      <c r="P14" s="22">
        <v>95</v>
      </c>
      <c r="Q14" s="22">
        <v>68.2095782074</v>
      </c>
      <c r="R14" s="22">
        <v>95</v>
      </c>
      <c r="S14" s="22">
        <v>95</v>
      </c>
      <c r="T14" s="22">
        <v>95</v>
      </c>
      <c r="U14" s="22">
        <v>95</v>
      </c>
      <c r="V14" s="22">
        <v>95</v>
      </c>
      <c r="W14" s="22">
        <v>95</v>
      </c>
      <c r="X14" s="22">
        <v>95</v>
      </c>
      <c r="Y14" s="22">
        <v>95</v>
      </c>
      <c r="Z14" s="22">
        <v>33.33</v>
      </c>
      <c r="AA14" s="22">
        <v>33.33</v>
      </c>
      <c r="AB14" s="22">
        <v>0</v>
      </c>
      <c r="AC14" s="22">
        <v>50</v>
      </c>
      <c r="AD14" s="22">
        <v>95</v>
      </c>
      <c r="AE14" s="22">
        <v>0</v>
      </c>
      <c r="AF14" s="22">
        <v>50</v>
      </c>
      <c r="AG14" s="22">
        <v>50</v>
      </c>
      <c r="AH14" s="22">
        <v>68.007950530000002</v>
      </c>
      <c r="AI14" s="22">
        <v>95</v>
      </c>
      <c r="AJ14" s="43">
        <v>0</v>
      </c>
      <c r="AK14" s="22">
        <v>0</v>
      </c>
      <c r="AL14" s="22">
        <v>68.011862917399995</v>
      </c>
      <c r="AM14" s="22">
        <v>0</v>
      </c>
      <c r="AN14" s="22">
        <v>72.5</v>
      </c>
      <c r="AO14" s="75" t="str">
        <f>VLOOKUP(A14,'Overall scores and ranking'!$A$3:$D$71,4,FALSE)</f>
        <v>Good</v>
      </c>
    </row>
    <row r="15" spans="1:41" x14ac:dyDescent="0.25">
      <c r="A15" s="19" t="s">
        <v>2869</v>
      </c>
      <c r="B15" s="22">
        <v>66.66</v>
      </c>
      <c r="C15" s="22">
        <v>0</v>
      </c>
      <c r="D15" s="22">
        <v>0</v>
      </c>
      <c r="E15" s="22">
        <v>0</v>
      </c>
      <c r="F15" s="22">
        <v>0</v>
      </c>
      <c r="G15" s="22">
        <v>0</v>
      </c>
      <c r="H15" s="22">
        <v>0</v>
      </c>
      <c r="I15" s="22">
        <v>0</v>
      </c>
      <c r="J15" s="22">
        <v>0</v>
      </c>
      <c r="K15" s="22">
        <v>0</v>
      </c>
      <c r="L15" s="22">
        <v>0</v>
      </c>
      <c r="M15" s="22">
        <v>0</v>
      </c>
      <c r="N15" s="22">
        <v>0</v>
      </c>
      <c r="O15" s="22">
        <v>0</v>
      </c>
      <c r="P15" s="22">
        <v>0</v>
      </c>
      <c r="Q15" s="22">
        <v>0</v>
      </c>
      <c r="R15" s="22">
        <v>0</v>
      </c>
      <c r="S15" s="22">
        <v>0</v>
      </c>
      <c r="T15" s="22">
        <v>0</v>
      </c>
      <c r="U15" s="22">
        <v>0</v>
      </c>
      <c r="V15" s="22">
        <v>0</v>
      </c>
      <c r="W15" s="22">
        <v>0</v>
      </c>
      <c r="X15" s="22">
        <v>0</v>
      </c>
      <c r="Y15" s="22">
        <v>0</v>
      </c>
      <c r="Z15" s="22">
        <v>0</v>
      </c>
      <c r="AA15" s="22">
        <v>0</v>
      </c>
      <c r="AB15" s="22">
        <v>0</v>
      </c>
      <c r="AC15" s="22">
        <v>0</v>
      </c>
      <c r="AD15" s="22">
        <v>0</v>
      </c>
      <c r="AE15" s="22">
        <v>0</v>
      </c>
      <c r="AF15" s="22">
        <v>0</v>
      </c>
      <c r="AG15" s="22">
        <v>0</v>
      </c>
      <c r="AH15" s="22">
        <v>0</v>
      </c>
      <c r="AI15" s="22">
        <v>0</v>
      </c>
      <c r="AJ15" s="43">
        <v>0</v>
      </c>
      <c r="AK15" s="22">
        <v>0</v>
      </c>
      <c r="AL15" s="22">
        <v>0</v>
      </c>
      <c r="AM15" s="22">
        <v>0</v>
      </c>
      <c r="AN15" s="22">
        <v>0</v>
      </c>
      <c r="AO15" s="75" t="str">
        <f>VLOOKUP(A15,'Overall scores and ranking'!$A$3:$D$71,4,FALSE)</f>
        <v>Very Poor</v>
      </c>
    </row>
    <row r="16" spans="1:41" x14ac:dyDescent="0.25">
      <c r="A16" s="19" t="s">
        <v>173</v>
      </c>
      <c r="B16" s="22">
        <v>100</v>
      </c>
      <c r="C16" s="22">
        <v>0</v>
      </c>
      <c r="D16" s="22">
        <v>0</v>
      </c>
      <c r="E16" s="22">
        <v>50</v>
      </c>
      <c r="F16" s="22">
        <v>50</v>
      </c>
      <c r="G16" s="22">
        <v>50</v>
      </c>
      <c r="H16" s="22">
        <v>50</v>
      </c>
      <c r="I16" s="22">
        <v>0</v>
      </c>
      <c r="J16" s="22">
        <v>16.664999999999999</v>
      </c>
      <c r="K16" s="22">
        <v>0</v>
      </c>
      <c r="L16" s="22">
        <v>0</v>
      </c>
      <c r="M16" s="22">
        <v>0</v>
      </c>
      <c r="N16" s="22">
        <v>0</v>
      </c>
      <c r="O16" s="22">
        <v>0</v>
      </c>
      <c r="P16" s="22">
        <v>0</v>
      </c>
      <c r="Q16" s="22">
        <v>0</v>
      </c>
      <c r="R16" s="22">
        <v>0</v>
      </c>
      <c r="S16" s="22">
        <v>0</v>
      </c>
      <c r="T16" s="22">
        <v>0</v>
      </c>
      <c r="U16" s="22">
        <v>0</v>
      </c>
      <c r="V16" s="22">
        <v>33.33</v>
      </c>
      <c r="W16" s="22">
        <v>0</v>
      </c>
      <c r="X16" s="22">
        <v>0</v>
      </c>
      <c r="Y16" s="22">
        <v>0</v>
      </c>
      <c r="Z16" s="22">
        <v>0</v>
      </c>
      <c r="AA16" s="22">
        <v>0</v>
      </c>
      <c r="AB16" s="22">
        <v>0</v>
      </c>
      <c r="AC16" s="22">
        <v>0</v>
      </c>
      <c r="AD16" s="22">
        <v>0</v>
      </c>
      <c r="AE16" s="22">
        <v>0</v>
      </c>
      <c r="AF16" s="22">
        <v>50</v>
      </c>
      <c r="AG16" s="22">
        <v>50</v>
      </c>
      <c r="AH16" s="22">
        <v>0</v>
      </c>
      <c r="AI16" s="22">
        <v>0</v>
      </c>
      <c r="AJ16" s="43">
        <v>0</v>
      </c>
      <c r="AK16" s="22">
        <v>0</v>
      </c>
      <c r="AL16" s="22">
        <v>0</v>
      </c>
      <c r="AM16" s="22">
        <v>0</v>
      </c>
      <c r="AN16" s="22">
        <v>0</v>
      </c>
      <c r="AO16" s="75" t="str">
        <f>VLOOKUP(A16,'Overall scores and ranking'!$A$3:$D$71,4,FALSE)</f>
        <v>Very Poor</v>
      </c>
    </row>
    <row r="17" spans="1:41" x14ac:dyDescent="0.25">
      <c r="A17" s="19" t="s">
        <v>1972</v>
      </c>
      <c r="B17" s="22">
        <v>0</v>
      </c>
      <c r="C17" s="22">
        <v>0</v>
      </c>
      <c r="D17" s="22">
        <v>0</v>
      </c>
      <c r="E17" s="22">
        <v>50</v>
      </c>
      <c r="F17" s="22">
        <v>0</v>
      </c>
      <c r="G17" s="22">
        <v>50</v>
      </c>
      <c r="H17" s="22">
        <v>0</v>
      </c>
      <c r="I17" s="22">
        <v>0</v>
      </c>
      <c r="J17" s="22">
        <v>0</v>
      </c>
      <c r="K17" s="22">
        <v>0</v>
      </c>
      <c r="L17" s="22">
        <v>0</v>
      </c>
      <c r="M17" s="22">
        <v>0</v>
      </c>
      <c r="N17" s="22">
        <v>0</v>
      </c>
      <c r="O17" s="22">
        <v>33.33</v>
      </c>
      <c r="P17" s="22">
        <v>33.33</v>
      </c>
      <c r="Q17" s="22">
        <v>0</v>
      </c>
      <c r="R17" s="22">
        <v>0</v>
      </c>
      <c r="S17" s="22">
        <v>0</v>
      </c>
      <c r="T17" s="22">
        <v>0</v>
      </c>
      <c r="U17" s="22">
        <v>33.33</v>
      </c>
      <c r="V17" s="22">
        <v>33.33</v>
      </c>
      <c r="W17" s="22">
        <v>0</v>
      </c>
      <c r="X17" s="22">
        <v>0</v>
      </c>
      <c r="Y17" s="22">
        <v>0</v>
      </c>
      <c r="Z17" s="22">
        <v>0</v>
      </c>
      <c r="AA17" s="22">
        <v>0</v>
      </c>
      <c r="AB17" s="22">
        <v>0</v>
      </c>
      <c r="AC17" s="22">
        <v>0</v>
      </c>
      <c r="AD17" s="22">
        <v>0</v>
      </c>
      <c r="AE17" s="22">
        <v>0</v>
      </c>
      <c r="AF17" s="22">
        <v>0</v>
      </c>
      <c r="AG17" s="22">
        <v>0</v>
      </c>
      <c r="AH17" s="22">
        <v>0</v>
      </c>
      <c r="AI17" s="22">
        <v>33.33</v>
      </c>
      <c r="AJ17" s="43">
        <v>0</v>
      </c>
      <c r="AK17" s="22">
        <v>0</v>
      </c>
      <c r="AL17" s="22">
        <v>0</v>
      </c>
      <c r="AM17" s="22">
        <v>0</v>
      </c>
      <c r="AN17" s="22">
        <v>0</v>
      </c>
      <c r="AO17" s="75" t="str">
        <f>VLOOKUP(A17,'Overall scores and ranking'!$A$3:$D$71,4,FALSE)</f>
        <v>Very Poor</v>
      </c>
    </row>
    <row r="18" spans="1:41" x14ac:dyDescent="0.25">
      <c r="A18" s="19" t="s">
        <v>214</v>
      </c>
      <c r="B18" s="22">
        <v>66.66</v>
      </c>
      <c r="C18" s="22">
        <v>39.5</v>
      </c>
      <c r="D18" s="22">
        <v>0</v>
      </c>
      <c r="E18" s="22">
        <v>50</v>
      </c>
      <c r="F18" s="22">
        <v>50</v>
      </c>
      <c r="G18" s="22">
        <v>50</v>
      </c>
      <c r="H18" s="22">
        <v>50</v>
      </c>
      <c r="I18" s="22">
        <v>50</v>
      </c>
      <c r="J18" s="22">
        <v>50</v>
      </c>
      <c r="K18" s="22">
        <v>50</v>
      </c>
      <c r="L18" s="22">
        <v>50</v>
      </c>
      <c r="M18" s="22">
        <v>50</v>
      </c>
      <c r="N18" s="22">
        <v>33.33</v>
      </c>
      <c r="O18" s="22">
        <v>50</v>
      </c>
      <c r="P18" s="22">
        <v>50</v>
      </c>
      <c r="Q18" s="22">
        <v>0</v>
      </c>
      <c r="R18" s="22">
        <v>0</v>
      </c>
      <c r="S18" s="22">
        <v>33.33</v>
      </c>
      <c r="T18" s="22">
        <v>33.33</v>
      </c>
      <c r="U18" s="22">
        <v>50</v>
      </c>
      <c r="V18" s="22">
        <v>16.664999999999999</v>
      </c>
      <c r="W18" s="22">
        <v>33.33</v>
      </c>
      <c r="X18" s="22">
        <v>0</v>
      </c>
      <c r="Y18" s="22">
        <v>50</v>
      </c>
      <c r="Z18" s="22">
        <v>33.33</v>
      </c>
      <c r="AA18" s="22">
        <v>0</v>
      </c>
      <c r="AB18" s="22">
        <v>0</v>
      </c>
      <c r="AC18" s="22">
        <v>50</v>
      </c>
      <c r="AD18" s="22">
        <v>50</v>
      </c>
      <c r="AE18" s="22">
        <v>0</v>
      </c>
      <c r="AF18" s="22">
        <v>50</v>
      </c>
      <c r="AG18" s="22">
        <v>50</v>
      </c>
      <c r="AH18" s="22">
        <v>0</v>
      </c>
      <c r="AI18" s="22">
        <v>50</v>
      </c>
      <c r="AJ18" s="43">
        <v>0</v>
      </c>
      <c r="AK18" s="22">
        <v>0</v>
      </c>
      <c r="AL18" s="22">
        <v>0</v>
      </c>
      <c r="AM18" s="22">
        <v>0</v>
      </c>
      <c r="AN18" s="22">
        <v>0</v>
      </c>
      <c r="AO18" s="75" t="str">
        <f>VLOOKUP(A18,'Overall scores and ranking'!$A$3:$D$71,4,FALSE)</f>
        <v>Poor</v>
      </c>
    </row>
    <row r="19" spans="1:41" x14ac:dyDescent="0.25">
      <c r="A19" s="19" t="s">
        <v>2787</v>
      </c>
      <c r="B19" s="22">
        <v>66.66</v>
      </c>
      <c r="C19" s="22">
        <v>68</v>
      </c>
      <c r="D19" s="22">
        <v>66.66</v>
      </c>
      <c r="E19" s="22">
        <v>50</v>
      </c>
      <c r="F19" s="22">
        <v>50</v>
      </c>
      <c r="G19" s="22">
        <v>50</v>
      </c>
      <c r="H19" s="22">
        <v>50</v>
      </c>
      <c r="I19" s="22">
        <v>0</v>
      </c>
      <c r="J19" s="22">
        <v>16.664999999999999</v>
      </c>
      <c r="K19" s="22">
        <v>50</v>
      </c>
      <c r="L19" s="22">
        <v>50</v>
      </c>
      <c r="M19" s="22">
        <v>79.9872421858</v>
      </c>
      <c r="N19" s="22">
        <v>95</v>
      </c>
      <c r="O19" s="22">
        <v>93.722623857100004</v>
      </c>
      <c r="P19" s="22">
        <v>54.860727195400003</v>
      </c>
      <c r="Q19" s="22">
        <v>65.0127578142</v>
      </c>
      <c r="R19" s="22">
        <v>79.9872421858</v>
      </c>
      <c r="S19" s="22">
        <v>71.571869019800005</v>
      </c>
      <c r="T19" s="22">
        <v>79.9872421858</v>
      </c>
      <c r="U19" s="22">
        <v>95</v>
      </c>
      <c r="V19" s="22">
        <v>95</v>
      </c>
      <c r="W19" s="22">
        <v>95</v>
      </c>
      <c r="X19" s="22">
        <v>95</v>
      </c>
      <c r="Y19" s="22">
        <v>92.722730172200002</v>
      </c>
      <c r="Z19" s="22">
        <v>0</v>
      </c>
      <c r="AA19" s="22">
        <v>80.561343823100003</v>
      </c>
      <c r="AB19" s="22">
        <v>50</v>
      </c>
      <c r="AC19" s="22">
        <v>50</v>
      </c>
      <c r="AD19" s="22">
        <v>51.291728683800002</v>
      </c>
      <c r="AE19" s="22">
        <v>0</v>
      </c>
      <c r="AF19" s="22">
        <v>50</v>
      </c>
      <c r="AG19" s="22">
        <v>50</v>
      </c>
      <c r="AH19" s="22">
        <v>0</v>
      </c>
      <c r="AI19" s="22">
        <v>76.188603019300004</v>
      </c>
      <c r="AJ19" s="43">
        <v>78.437167765300003</v>
      </c>
      <c r="AK19" s="22">
        <v>0</v>
      </c>
      <c r="AL19" s="22">
        <v>50.636295981300002</v>
      </c>
      <c r="AM19" s="22">
        <v>0</v>
      </c>
      <c r="AN19" s="22">
        <v>0</v>
      </c>
      <c r="AO19" s="75" t="str">
        <f>VLOOKUP(A19,'Overall scores and ranking'!$A$3:$D$71,4,FALSE)</f>
        <v>Fair</v>
      </c>
    </row>
    <row r="20" spans="1:41" x14ac:dyDescent="0.25">
      <c r="A20" s="19" t="s">
        <v>255</v>
      </c>
      <c r="B20" s="22">
        <v>33.33</v>
      </c>
      <c r="C20" s="22">
        <v>0</v>
      </c>
      <c r="D20" s="22">
        <v>33.33</v>
      </c>
      <c r="E20" s="22">
        <v>50</v>
      </c>
      <c r="F20" s="22">
        <v>50</v>
      </c>
      <c r="G20" s="22">
        <v>50</v>
      </c>
      <c r="H20" s="22">
        <v>50</v>
      </c>
      <c r="I20" s="22">
        <v>50</v>
      </c>
      <c r="J20" s="22">
        <v>11.11</v>
      </c>
      <c r="K20" s="22">
        <v>0</v>
      </c>
      <c r="L20" s="22">
        <v>50</v>
      </c>
      <c r="M20" s="22">
        <v>33.33</v>
      </c>
      <c r="N20" s="22">
        <v>33.33</v>
      </c>
      <c r="O20" s="22">
        <v>33.33</v>
      </c>
      <c r="P20" s="22">
        <v>33.33</v>
      </c>
      <c r="Q20" s="22">
        <v>0</v>
      </c>
      <c r="R20" s="22">
        <v>0</v>
      </c>
      <c r="S20" s="22">
        <v>33.33</v>
      </c>
      <c r="T20" s="22">
        <v>33.33</v>
      </c>
      <c r="U20" s="22">
        <v>50</v>
      </c>
      <c r="V20" s="22">
        <v>0</v>
      </c>
      <c r="W20" s="22">
        <v>33.33</v>
      </c>
      <c r="X20" s="22">
        <v>50</v>
      </c>
      <c r="Y20" s="22">
        <v>50</v>
      </c>
      <c r="Z20" s="22">
        <v>0</v>
      </c>
      <c r="AA20" s="22">
        <v>16.664999999999999</v>
      </c>
      <c r="AB20" s="22">
        <v>0</v>
      </c>
      <c r="AC20" s="22">
        <v>0</v>
      </c>
      <c r="AD20" s="22">
        <v>50</v>
      </c>
      <c r="AE20" s="22">
        <v>0</v>
      </c>
      <c r="AF20" s="22">
        <v>50</v>
      </c>
      <c r="AG20" s="22">
        <v>50</v>
      </c>
      <c r="AH20" s="22">
        <v>50</v>
      </c>
      <c r="AI20" s="22">
        <v>50</v>
      </c>
      <c r="AJ20" s="43">
        <v>0</v>
      </c>
      <c r="AK20" s="22">
        <v>0</v>
      </c>
      <c r="AL20" s="22">
        <v>0</v>
      </c>
      <c r="AM20" s="22">
        <v>0</v>
      </c>
      <c r="AN20" s="22">
        <v>0</v>
      </c>
      <c r="AO20" s="75" t="str">
        <f>VLOOKUP(A20,'Overall scores and ranking'!$A$3:$D$71,4,FALSE)</f>
        <v>Poor</v>
      </c>
    </row>
    <row r="21" spans="1:41" x14ac:dyDescent="0.25">
      <c r="A21" s="19" t="s">
        <v>868</v>
      </c>
      <c r="B21" s="22">
        <v>100</v>
      </c>
      <c r="C21" s="22">
        <v>87</v>
      </c>
      <c r="D21" s="22">
        <v>100</v>
      </c>
      <c r="E21" s="22">
        <v>100</v>
      </c>
      <c r="F21" s="22">
        <v>100</v>
      </c>
      <c r="G21" s="22">
        <v>100</v>
      </c>
      <c r="H21" s="22">
        <v>100</v>
      </c>
      <c r="I21" s="22">
        <v>68.75</v>
      </c>
      <c r="J21" s="22">
        <v>100</v>
      </c>
      <c r="K21" s="22">
        <v>66.666666666699996</v>
      </c>
      <c r="L21" s="22">
        <v>100</v>
      </c>
      <c r="M21" s="22">
        <v>90.932505399600004</v>
      </c>
      <c r="N21" s="22">
        <v>95</v>
      </c>
      <c r="O21" s="22">
        <v>94.894072330399993</v>
      </c>
      <c r="P21" s="22">
        <v>79.924566659500002</v>
      </c>
      <c r="Q21" s="22">
        <v>94.701476567499995</v>
      </c>
      <c r="R21" s="22">
        <v>94.812094353500001</v>
      </c>
      <c r="S21" s="22">
        <v>95</v>
      </c>
      <c r="T21" s="22">
        <v>95</v>
      </c>
      <c r="U21" s="22">
        <v>95</v>
      </c>
      <c r="V21" s="22">
        <v>95</v>
      </c>
      <c r="W21" s="22">
        <v>95</v>
      </c>
      <c r="X21" s="22">
        <v>95</v>
      </c>
      <c r="Y21" s="22">
        <v>95</v>
      </c>
      <c r="Z21" s="22">
        <v>87.2644203312</v>
      </c>
      <c r="AA21" s="22">
        <v>92.312634989200006</v>
      </c>
      <c r="AB21" s="22">
        <v>0</v>
      </c>
      <c r="AC21" s="22">
        <v>50</v>
      </c>
      <c r="AD21" s="22">
        <v>0</v>
      </c>
      <c r="AE21" s="22">
        <v>0</v>
      </c>
      <c r="AF21" s="22">
        <v>50</v>
      </c>
      <c r="AG21" s="22">
        <v>50</v>
      </c>
      <c r="AH21" s="22">
        <v>69.574122236700006</v>
      </c>
      <c r="AI21" s="22">
        <v>95</v>
      </c>
      <c r="AJ21" s="43">
        <v>91.996760259200002</v>
      </c>
      <c r="AK21" s="22">
        <v>0</v>
      </c>
      <c r="AL21" s="22">
        <v>0</v>
      </c>
      <c r="AM21" s="22">
        <v>0</v>
      </c>
      <c r="AN21" s="22">
        <v>0</v>
      </c>
      <c r="AO21" s="75" t="str">
        <f>VLOOKUP(A21,'Overall scores and ranking'!$A$3:$D$71,4,FALSE)</f>
        <v>Good</v>
      </c>
    </row>
    <row r="22" spans="1:41" x14ac:dyDescent="0.25">
      <c r="A22" s="19" t="s">
        <v>1685</v>
      </c>
      <c r="B22" s="22">
        <v>100</v>
      </c>
      <c r="C22" s="22">
        <v>59</v>
      </c>
      <c r="D22" s="22">
        <v>100</v>
      </c>
      <c r="E22" s="22">
        <v>100</v>
      </c>
      <c r="F22" s="22">
        <v>100</v>
      </c>
      <c r="G22" s="22">
        <v>100</v>
      </c>
      <c r="H22" s="22">
        <v>100</v>
      </c>
      <c r="I22" s="22">
        <v>50</v>
      </c>
      <c r="J22" s="22">
        <v>100</v>
      </c>
      <c r="K22" s="22">
        <v>66.666666666699996</v>
      </c>
      <c r="L22" s="22">
        <v>100</v>
      </c>
      <c r="M22" s="22">
        <v>90.960334029199998</v>
      </c>
      <c r="N22" s="22">
        <v>95</v>
      </c>
      <c r="O22" s="22">
        <v>94.890396659700002</v>
      </c>
      <c r="P22" s="22">
        <v>94.718162839200005</v>
      </c>
      <c r="Q22" s="22">
        <v>72.5</v>
      </c>
      <c r="R22" s="22">
        <v>94.264091858</v>
      </c>
      <c r="S22" s="22">
        <v>0</v>
      </c>
      <c r="T22" s="22">
        <v>33.33</v>
      </c>
      <c r="U22" s="22">
        <v>90.960334029199998</v>
      </c>
      <c r="V22" s="22">
        <v>95</v>
      </c>
      <c r="W22" s="22">
        <v>84.853862212899998</v>
      </c>
      <c r="X22" s="22">
        <v>70.480167014599999</v>
      </c>
      <c r="Y22" s="22">
        <v>69.258872651399997</v>
      </c>
      <c r="Z22" s="22">
        <v>0</v>
      </c>
      <c r="AA22" s="22">
        <v>95</v>
      </c>
      <c r="AB22" s="22">
        <v>0</v>
      </c>
      <c r="AC22" s="22">
        <v>50</v>
      </c>
      <c r="AD22" s="22">
        <v>0</v>
      </c>
      <c r="AE22" s="22">
        <v>0</v>
      </c>
      <c r="AF22" s="22">
        <v>50</v>
      </c>
      <c r="AG22" s="22">
        <v>50</v>
      </c>
      <c r="AH22" s="22">
        <v>0</v>
      </c>
      <c r="AI22" s="22">
        <v>54.039665970800002</v>
      </c>
      <c r="AJ22" s="43">
        <v>90.960334029199998</v>
      </c>
      <c r="AK22" s="22">
        <v>0</v>
      </c>
      <c r="AL22" s="22">
        <v>0</v>
      </c>
      <c r="AM22" s="22">
        <v>50</v>
      </c>
      <c r="AN22" s="22">
        <v>0</v>
      </c>
      <c r="AO22" s="75" t="str">
        <f>VLOOKUP(A22,'Overall scores and ranking'!$A$3:$D$71,4,FALSE)</f>
        <v>Fair</v>
      </c>
    </row>
    <row r="23" spans="1:41" x14ac:dyDescent="0.25">
      <c r="A23" s="19" t="s">
        <v>1482</v>
      </c>
      <c r="B23" s="22">
        <v>100</v>
      </c>
      <c r="C23" s="22">
        <v>77</v>
      </c>
      <c r="D23" s="22">
        <v>100</v>
      </c>
      <c r="E23" s="22">
        <v>100</v>
      </c>
      <c r="F23" s="22">
        <v>100</v>
      </c>
      <c r="G23" s="22">
        <v>100</v>
      </c>
      <c r="H23" s="22">
        <v>100</v>
      </c>
      <c r="I23" s="22">
        <v>50</v>
      </c>
      <c r="J23" s="22">
        <v>100</v>
      </c>
      <c r="K23" s="22">
        <v>0</v>
      </c>
      <c r="L23" s="22">
        <v>100</v>
      </c>
      <c r="M23" s="22">
        <v>100</v>
      </c>
      <c r="N23" s="22">
        <v>97.622377622399995</v>
      </c>
      <c r="O23" s="22">
        <v>99.3706293706</v>
      </c>
      <c r="P23" s="22">
        <v>93.776223776199998</v>
      </c>
      <c r="Q23" s="22">
        <v>97.202797202799999</v>
      </c>
      <c r="R23" s="22">
        <v>84.5505617978</v>
      </c>
      <c r="S23" s="22">
        <v>100</v>
      </c>
      <c r="T23" s="22">
        <v>95.244755244800004</v>
      </c>
      <c r="U23" s="22">
        <v>100</v>
      </c>
      <c r="V23" s="22">
        <v>100</v>
      </c>
      <c r="W23" s="22">
        <v>100</v>
      </c>
      <c r="X23" s="22">
        <v>100</v>
      </c>
      <c r="Y23" s="22">
        <v>100</v>
      </c>
      <c r="Z23" s="22">
        <v>0</v>
      </c>
      <c r="AA23" s="22">
        <v>96.875</v>
      </c>
      <c r="AB23" s="22">
        <v>0</v>
      </c>
      <c r="AC23" s="22">
        <v>50</v>
      </c>
      <c r="AD23" s="22">
        <v>0</v>
      </c>
      <c r="AE23" s="22">
        <v>0</v>
      </c>
      <c r="AF23" s="22">
        <v>50</v>
      </c>
      <c r="AG23" s="22">
        <v>50</v>
      </c>
      <c r="AH23" s="22">
        <v>0</v>
      </c>
      <c r="AI23" s="22">
        <v>100</v>
      </c>
      <c r="AJ23" s="43">
        <v>87.148876404500001</v>
      </c>
      <c r="AK23" s="22">
        <v>0</v>
      </c>
      <c r="AL23" s="22">
        <v>0</v>
      </c>
      <c r="AM23" s="22">
        <v>0</v>
      </c>
      <c r="AN23" s="22">
        <v>0</v>
      </c>
      <c r="AO23" s="75" t="str">
        <f>VLOOKUP(A23,'Overall scores and ranking'!$A$3:$D$71,4,FALSE)</f>
        <v>Good</v>
      </c>
    </row>
    <row r="24" spans="1:41" x14ac:dyDescent="0.25">
      <c r="A24" s="19" t="s">
        <v>2217</v>
      </c>
      <c r="B24" s="22">
        <v>100</v>
      </c>
      <c r="C24" s="22">
        <v>91</v>
      </c>
      <c r="D24" s="22">
        <v>100</v>
      </c>
      <c r="E24" s="22">
        <v>100</v>
      </c>
      <c r="F24" s="22">
        <v>100</v>
      </c>
      <c r="G24" s="22">
        <v>100</v>
      </c>
      <c r="H24" s="22">
        <v>100</v>
      </c>
      <c r="I24" s="22">
        <v>86.666666666699996</v>
      </c>
      <c r="J24" s="22">
        <v>100</v>
      </c>
      <c r="K24" s="22">
        <v>66.666666666699996</v>
      </c>
      <c r="L24" s="22">
        <v>100</v>
      </c>
      <c r="M24" s="22">
        <v>94.692832764499997</v>
      </c>
      <c r="N24" s="22">
        <v>94.846416382300006</v>
      </c>
      <c r="O24" s="22">
        <v>95</v>
      </c>
      <c r="P24" s="22">
        <v>85.861774744000002</v>
      </c>
      <c r="Q24" s="22">
        <v>94.769624573399994</v>
      </c>
      <c r="R24" s="22">
        <v>94.846416382300006</v>
      </c>
      <c r="S24" s="22">
        <v>95</v>
      </c>
      <c r="T24" s="22">
        <v>94.846416382300006</v>
      </c>
      <c r="U24" s="22">
        <v>95</v>
      </c>
      <c r="V24" s="22">
        <v>95</v>
      </c>
      <c r="W24" s="22">
        <v>95</v>
      </c>
      <c r="X24" s="22">
        <v>95</v>
      </c>
      <c r="Y24" s="22">
        <v>95</v>
      </c>
      <c r="Z24" s="22">
        <v>93.012367491199996</v>
      </c>
      <c r="AA24" s="22">
        <v>93.003412969300001</v>
      </c>
      <c r="AB24" s="22">
        <v>0</v>
      </c>
      <c r="AC24" s="22">
        <v>50</v>
      </c>
      <c r="AD24" s="22">
        <v>0</v>
      </c>
      <c r="AE24" s="22">
        <v>0</v>
      </c>
      <c r="AF24" s="22">
        <v>50</v>
      </c>
      <c r="AG24" s="22">
        <v>50</v>
      </c>
      <c r="AH24" s="22">
        <v>68.040540540500004</v>
      </c>
      <c r="AI24" s="22">
        <v>95</v>
      </c>
      <c r="AJ24" s="43">
        <v>93.156996586999995</v>
      </c>
      <c r="AK24" s="22">
        <v>0</v>
      </c>
      <c r="AL24" s="22">
        <v>0</v>
      </c>
      <c r="AM24" s="22">
        <v>0</v>
      </c>
      <c r="AN24" s="22">
        <v>0</v>
      </c>
      <c r="AO24" s="75" t="str">
        <f>VLOOKUP(A24,'Overall scores and ranking'!$A$3:$D$71,4,FALSE)</f>
        <v>Good</v>
      </c>
    </row>
    <row r="25" spans="1:41" x14ac:dyDescent="0.25">
      <c r="A25" s="19" t="s">
        <v>295</v>
      </c>
      <c r="B25" s="22">
        <v>66.66</v>
      </c>
      <c r="C25" s="22">
        <v>0</v>
      </c>
      <c r="D25" s="22">
        <v>66.66</v>
      </c>
      <c r="E25" s="22">
        <v>50</v>
      </c>
      <c r="F25" s="22">
        <v>50</v>
      </c>
      <c r="G25" s="22">
        <v>50</v>
      </c>
      <c r="H25" s="22">
        <v>50</v>
      </c>
      <c r="I25" s="22">
        <v>0</v>
      </c>
      <c r="J25" s="22">
        <v>16.664999999999999</v>
      </c>
      <c r="K25" s="22">
        <v>16.664999999999999</v>
      </c>
      <c r="L25" s="22">
        <v>50</v>
      </c>
      <c r="M25" s="22">
        <v>33.33</v>
      </c>
      <c r="N25" s="22">
        <v>33.33</v>
      </c>
      <c r="O25" s="22">
        <v>50</v>
      </c>
      <c r="P25" s="22">
        <v>33.33</v>
      </c>
      <c r="Q25" s="22">
        <v>0</v>
      </c>
      <c r="R25" s="22">
        <v>0</v>
      </c>
      <c r="S25" s="22">
        <v>0</v>
      </c>
      <c r="T25" s="22">
        <v>33.33</v>
      </c>
      <c r="U25" s="22">
        <v>0</v>
      </c>
      <c r="V25" s="22">
        <v>0</v>
      </c>
      <c r="W25" s="22">
        <v>33.33</v>
      </c>
      <c r="X25" s="22">
        <v>33.33</v>
      </c>
      <c r="Y25" s="22">
        <v>50</v>
      </c>
      <c r="Z25" s="22">
        <v>0</v>
      </c>
      <c r="AA25" s="22">
        <v>0</v>
      </c>
      <c r="AB25" s="22">
        <v>0</v>
      </c>
      <c r="AC25" s="22">
        <v>0</v>
      </c>
      <c r="AD25" s="22">
        <v>50</v>
      </c>
      <c r="AE25" s="22">
        <v>0</v>
      </c>
      <c r="AF25" s="22">
        <v>50</v>
      </c>
      <c r="AG25" s="22">
        <v>50</v>
      </c>
      <c r="AH25" s="22">
        <v>50</v>
      </c>
      <c r="AI25" s="22">
        <v>50</v>
      </c>
      <c r="AJ25" s="43">
        <v>0</v>
      </c>
      <c r="AK25" s="22">
        <v>0</v>
      </c>
      <c r="AL25" s="22">
        <v>0</v>
      </c>
      <c r="AM25" s="22">
        <v>0</v>
      </c>
      <c r="AN25" s="22">
        <v>0</v>
      </c>
      <c r="AO25" s="75" t="str">
        <f>VLOOKUP(A25,'Overall scores and ranking'!$A$3:$D$71,4,FALSE)</f>
        <v>Poor</v>
      </c>
    </row>
    <row r="26" spans="1:41" x14ac:dyDescent="0.25">
      <c r="A26" s="19" t="s">
        <v>335</v>
      </c>
      <c r="B26" s="22">
        <v>100</v>
      </c>
      <c r="C26" s="22">
        <v>0</v>
      </c>
      <c r="D26" s="22">
        <v>66.66</v>
      </c>
      <c r="E26" s="22">
        <v>50</v>
      </c>
      <c r="F26" s="22">
        <v>50</v>
      </c>
      <c r="G26" s="22">
        <v>50</v>
      </c>
      <c r="H26" s="22">
        <v>50</v>
      </c>
      <c r="I26" s="22">
        <v>50</v>
      </c>
      <c r="J26" s="22">
        <v>11.11</v>
      </c>
      <c r="K26" s="22">
        <v>0</v>
      </c>
      <c r="L26" s="22">
        <v>0</v>
      </c>
      <c r="M26" s="22">
        <v>50</v>
      </c>
      <c r="N26" s="22">
        <v>50</v>
      </c>
      <c r="O26" s="22">
        <v>50</v>
      </c>
      <c r="P26" s="22">
        <v>50</v>
      </c>
      <c r="Q26" s="22">
        <v>50</v>
      </c>
      <c r="R26" s="22">
        <v>0</v>
      </c>
      <c r="S26" s="22">
        <v>50</v>
      </c>
      <c r="T26" s="22">
        <v>33.33</v>
      </c>
      <c r="U26" s="22">
        <v>50</v>
      </c>
      <c r="V26" s="22">
        <v>33.33</v>
      </c>
      <c r="W26" s="22">
        <v>50</v>
      </c>
      <c r="X26" s="22">
        <v>33.33</v>
      </c>
      <c r="Y26" s="22">
        <v>50</v>
      </c>
      <c r="Z26" s="22">
        <v>0</v>
      </c>
      <c r="AA26" s="22">
        <v>0</v>
      </c>
      <c r="AB26" s="22">
        <v>0</v>
      </c>
      <c r="AC26" s="22">
        <v>0</v>
      </c>
      <c r="AD26" s="22">
        <v>50</v>
      </c>
      <c r="AE26" s="22">
        <v>0</v>
      </c>
      <c r="AF26" s="22">
        <v>50</v>
      </c>
      <c r="AG26" s="22">
        <v>50</v>
      </c>
      <c r="AH26" s="22">
        <v>50</v>
      </c>
      <c r="AI26" s="22">
        <v>50</v>
      </c>
      <c r="AJ26" s="43">
        <v>0</v>
      </c>
      <c r="AK26" s="22">
        <v>0</v>
      </c>
      <c r="AL26" s="22">
        <v>0</v>
      </c>
      <c r="AM26" s="22">
        <v>0</v>
      </c>
      <c r="AN26" s="22">
        <v>0</v>
      </c>
      <c r="AO26" s="75" t="str">
        <f>VLOOKUP(A26,'Overall scores and ranking'!$A$3:$D$71,4,FALSE)</f>
        <v>Poor</v>
      </c>
    </row>
    <row r="27" spans="1:41" x14ac:dyDescent="0.25">
      <c r="A27" s="19" t="s">
        <v>991</v>
      </c>
      <c r="B27" s="22">
        <v>100</v>
      </c>
      <c r="C27" s="22">
        <v>23</v>
      </c>
      <c r="D27" s="22">
        <v>0</v>
      </c>
      <c r="E27" s="22">
        <v>50</v>
      </c>
      <c r="F27" s="22">
        <v>50</v>
      </c>
      <c r="G27" s="22">
        <v>50</v>
      </c>
      <c r="H27" s="22">
        <v>50</v>
      </c>
      <c r="I27" s="22">
        <v>50</v>
      </c>
      <c r="J27" s="22">
        <v>66.666666666699996</v>
      </c>
      <c r="K27" s="22">
        <v>50</v>
      </c>
      <c r="L27" s="22">
        <v>50</v>
      </c>
      <c r="M27" s="22">
        <v>95</v>
      </c>
      <c r="N27" s="22">
        <v>72.5</v>
      </c>
      <c r="O27" s="22">
        <v>94.902657602000005</v>
      </c>
      <c r="P27" s="22">
        <v>92.914091471000006</v>
      </c>
      <c r="Q27" s="22">
        <v>95</v>
      </c>
      <c r="R27" s="22">
        <v>0</v>
      </c>
      <c r="S27" s="22">
        <v>0</v>
      </c>
      <c r="T27" s="22">
        <v>33.33</v>
      </c>
      <c r="U27" s="22">
        <v>95</v>
      </c>
      <c r="V27" s="22">
        <v>95</v>
      </c>
      <c r="W27" s="22">
        <v>95</v>
      </c>
      <c r="X27" s="22">
        <v>95</v>
      </c>
      <c r="Y27" s="22">
        <v>95</v>
      </c>
      <c r="Z27" s="22">
        <v>0</v>
      </c>
      <c r="AA27" s="22">
        <v>93.831891223699998</v>
      </c>
      <c r="AB27" s="22">
        <v>0</v>
      </c>
      <c r="AC27" s="22">
        <v>50</v>
      </c>
      <c r="AD27" s="22">
        <v>0</v>
      </c>
      <c r="AE27" s="22">
        <v>0</v>
      </c>
      <c r="AF27" s="22">
        <v>50</v>
      </c>
      <c r="AG27" s="22">
        <v>50</v>
      </c>
      <c r="AH27" s="22">
        <v>33.33</v>
      </c>
      <c r="AI27" s="22">
        <v>95</v>
      </c>
      <c r="AJ27" s="43">
        <v>95</v>
      </c>
      <c r="AK27" s="22">
        <v>0</v>
      </c>
      <c r="AL27" s="22">
        <v>0</v>
      </c>
      <c r="AM27" s="22">
        <v>0</v>
      </c>
      <c r="AN27" s="22">
        <v>0</v>
      </c>
      <c r="AO27" s="75" t="str">
        <f>VLOOKUP(A27,'Overall scores and ranking'!$A$3:$D$71,4,FALSE)</f>
        <v>Fair</v>
      </c>
    </row>
    <row r="28" spans="1:41" x14ac:dyDescent="0.25">
      <c r="A28" s="19" t="s">
        <v>2135</v>
      </c>
      <c r="B28" s="22">
        <v>66.66</v>
      </c>
      <c r="C28" s="22">
        <v>31</v>
      </c>
      <c r="D28" s="22">
        <v>33.33</v>
      </c>
      <c r="E28" s="22">
        <v>50</v>
      </c>
      <c r="F28" s="22">
        <v>50</v>
      </c>
      <c r="G28" s="22">
        <v>50</v>
      </c>
      <c r="H28" s="22">
        <v>50</v>
      </c>
      <c r="I28" s="22">
        <v>50</v>
      </c>
      <c r="J28" s="22">
        <v>0</v>
      </c>
      <c r="K28" s="22">
        <v>0</v>
      </c>
      <c r="L28" s="22">
        <v>50</v>
      </c>
      <c r="M28" s="22">
        <v>33.33</v>
      </c>
      <c r="N28" s="22">
        <v>33.33</v>
      </c>
      <c r="O28" s="22">
        <v>33.33</v>
      </c>
      <c r="P28" s="22">
        <v>16.664999999999999</v>
      </c>
      <c r="Q28" s="22">
        <v>0</v>
      </c>
      <c r="R28" s="22">
        <v>0</v>
      </c>
      <c r="S28" s="22">
        <v>33.33</v>
      </c>
      <c r="T28" s="22">
        <v>33.33</v>
      </c>
      <c r="U28" s="22">
        <v>0</v>
      </c>
      <c r="V28" s="22">
        <v>0</v>
      </c>
      <c r="W28" s="22">
        <v>16.664999999999999</v>
      </c>
      <c r="X28" s="22">
        <v>16.664999999999999</v>
      </c>
      <c r="Y28" s="22">
        <v>33.33</v>
      </c>
      <c r="Z28" s="22">
        <v>33.33</v>
      </c>
      <c r="AA28" s="22">
        <v>33.33</v>
      </c>
      <c r="AB28" s="22">
        <v>0</v>
      </c>
      <c r="AC28" s="22">
        <v>50</v>
      </c>
      <c r="AD28" s="22">
        <v>50</v>
      </c>
      <c r="AE28" s="22">
        <v>0</v>
      </c>
      <c r="AF28" s="22">
        <v>0</v>
      </c>
      <c r="AG28" s="22">
        <v>50</v>
      </c>
      <c r="AH28" s="22">
        <v>0</v>
      </c>
      <c r="AI28" s="22">
        <v>33.33</v>
      </c>
      <c r="AJ28" s="43">
        <v>0</v>
      </c>
      <c r="AK28" s="22">
        <v>0</v>
      </c>
      <c r="AL28" s="22">
        <v>0</v>
      </c>
      <c r="AM28" s="22">
        <v>50</v>
      </c>
      <c r="AN28" s="22">
        <v>0</v>
      </c>
      <c r="AO28" s="75" t="str">
        <f>VLOOKUP(A28,'Overall scores and ranking'!$A$3:$D$71,4,FALSE)</f>
        <v>Poor</v>
      </c>
    </row>
    <row r="29" spans="1:41" x14ac:dyDescent="0.25">
      <c r="A29" s="19" t="s">
        <v>376</v>
      </c>
      <c r="B29" s="22">
        <v>66.66</v>
      </c>
      <c r="C29" s="22">
        <v>6.5</v>
      </c>
      <c r="D29" s="22">
        <v>0</v>
      </c>
      <c r="E29" s="22">
        <v>50</v>
      </c>
      <c r="F29" s="22">
        <v>50</v>
      </c>
      <c r="G29" s="22">
        <v>50</v>
      </c>
      <c r="H29" s="22">
        <v>50</v>
      </c>
      <c r="I29" s="22">
        <v>0</v>
      </c>
      <c r="J29" s="22">
        <v>16.664999999999999</v>
      </c>
      <c r="K29" s="22">
        <v>0</v>
      </c>
      <c r="L29" s="22">
        <v>0</v>
      </c>
      <c r="M29" s="22">
        <v>0</v>
      </c>
      <c r="N29" s="22">
        <v>0</v>
      </c>
      <c r="O29" s="22">
        <v>0</v>
      </c>
      <c r="P29" s="22">
        <v>0</v>
      </c>
      <c r="Q29" s="22">
        <v>0</v>
      </c>
      <c r="R29" s="22">
        <v>0</v>
      </c>
      <c r="S29" s="22">
        <v>0</v>
      </c>
      <c r="T29" s="22">
        <v>0</v>
      </c>
      <c r="U29" s="22">
        <v>0</v>
      </c>
      <c r="V29" s="22">
        <v>0</v>
      </c>
      <c r="W29" s="22">
        <v>0</v>
      </c>
      <c r="X29" s="22">
        <v>0</v>
      </c>
      <c r="Y29" s="22">
        <v>0</v>
      </c>
      <c r="Z29" s="22">
        <v>0</v>
      </c>
      <c r="AA29" s="22">
        <v>0</v>
      </c>
      <c r="AB29" s="22">
        <v>0</v>
      </c>
      <c r="AC29" s="22">
        <v>0</v>
      </c>
      <c r="AD29" s="22">
        <v>0</v>
      </c>
      <c r="AE29" s="22">
        <v>0</v>
      </c>
      <c r="AF29" s="22">
        <v>50</v>
      </c>
      <c r="AG29" s="22">
        <v>50</v>
      </c>
      <c r="AH29" s="22">
        <v>0</v>
      </c>
      <c r="AI29" s="22">
        <v>0</v>
      </c>
      <c r="AJ29" s="43">
        <v>0</v>
      </c>
      <c r="AK29" s="22">
        <v>0</v>
      </c>
      <c r="AL29" s="22">
        <v>0</v>
      </c>
      <c r="AM29" s="22">
        <v>0</v>
      </c>
      <c r="AN29" s="22">
        <v>0</v>
      </c>
      <c r="AO29" s="75" t="str">
        <f>VLOOKUP(A29,'Overall scores and ranking'!$A$3:$D$71,4,FALSE)</f>
        <v>Very Poor</v>
      </c>
    </row>
    <row r="30" spans="1:41" x14ac:dyDescent="0.25">
      <c r="A30" s="19" t="s">
        <v>1073</v>
      </c>
      <c r="B30" s="22">
        <v>33.33</v>
      </c>
      <c r="C30" s="22">
        <v>36.5</v>
      </c>
      <c r="D30" s="22">
        <v>33.33</v>
      </c>
      <c r="E30" s="22">
        <v>100</v>
      </c>
      <c r="F30" s="22">
        <v>100</v>
      </c>
      <c r="G30" s="22">
        <v>100</v>
      </c>
      <c r="H30" s="22">
        <v>100</v>
      </c>
      <c r="I30" s="22">
        <v>50</v>
      </c>
      <c r="J30" s="22">
        <v>0</v>
      </c>
      <c r="K30" s="22">
        <v>0</v>
      </c>
      <c r="L30" s="22">
        <v>100</v>
      </c>
      <c r="M30" s="22">
        <v>75</v>
      </c>
      <c r="N30" s="22">
        <v>75</v>
      </c>
      <c r="O30" s="22">
        <v>74.236756975299997</v>
      </c>
      <c r="P30" s="22">
        <v>74.297412050099993</v>
      </c>
      <c r="Q30" s="22">
        <v>75</v>
      </c>
      <c r="R30" s="22">
        <v>0</v>
      </c>
      <c r="S30" s="22">
        <v>75</v>
      </c>
      <c r="T30" s="22">
        <v>75</v>
      </c>
      <c r="U30" s="22">
        <v>75</v>
      </c>
      <c r="V30" s="22">
        <v>75</v>
      </c>
      <c r="W30" s="22">
        <v>75</v>
      </c>
      <c r="X30" s="22">
        <v>75</v>
      </c>
      <c r="Y30" s="22">
        <v>75</v>
      </c>
      <c r="Z30" s="22">
        <v>50</v>
      </c>
      <c r="AA30" s="22">
        <v>75</v>
      </c>
      <c r="AB30" s="22">
        <v>0</v>
      </c>
      <c r="AC30" s="22">
        <v>0</v>
      </c>
      <c r="AD30" s="22">
        <v>0</v>
      </c>
      <c r="AE30" s="22">
        <v>0</v>
      </c>
      <c r="AF30" s="22">
        <v>0</v>
      </c>
      <c r="AG30" s="22">
        <v>50</v>
      </c>
      <c r="AH30" s="22">
        <v>60.418326693200001</v>
      </c>
      <c r="AI30" s="22">
        <v>73.887990295199998</v>
      </c>
      <c r="AJ30" s="43">
        <v>74.646178730299994</v>
      </c>
      <c r="AK30" s="22">
        <v>61.135260816799999</v>
      </c>
      <c r="AL30" s="22">
        <v>0</v>
      </c>
      <c r="AM30" s="22">
        <v>0</v>
      </c>
      <c r="AN30" s="22">
        <v>0</v>
      </c>
      <c r="AO30" s="75" t="str">
        <f>VLOOKUP(A30,'Overall scores and ranking'!$A$3:$D$71,4,FALSE)</f>
        <v>Fair</v>
      </c>
    </row>
    <row r="31" spans="1:41" x14ac:dyDescent="0.25">
      <c r="A31" s="19" t="s">
        <v>1319</v>
      </c>
      <c r="B31" s="22">
        <v>33.33</v>
      </c>
      <c r="C31" s="22">
        <v>98</v>
      </c>
      <c r="D31" s="22">
        <v>0</v>
      </c>
      <c r="E31" s="22">
        <v>100</v>
      </c>
      <c r="F31" s="22">
        <v>100</v>
      </c>
      <c r="G31" s="22">
        <v>100</v>
      </c>
      <c r="H31" s="22">
        <v>100</v>
      </c>
      <c r="I31" s="22">
        <v>100</v>
      </c>
      <c r="J31" s="22">
        <v>100</v>
      </c>
      <c r="K31" s="22">
        <v>100</v>
      </c>
      <c r="L31" s="22">
        <v>100</v>
      </c>
      <c r="M31" s="22">
        <v>100</v>
      </c>
      <c r="N31" s="22">
        <v>100</v>
      </c>
      <c r="O31" s="22">
        <v>100</v>
      </c>
      <c r="P31" s="22">
        <v>100</v>
      </c>
      <c r="Q31" s="22">
        <v>100</v>
      </c>
      <c r="R31" s="22">
        <v>100</v>
      </c>
      <c r="S31" s="22">
        <v>100</v>
      </c>
      <c r="T31" s="22">
        <v>100</v>
      </c>
      <c r="U31" s="22">
        <v>100</v>
      </c>
      <c r="V31" s="22">
        <v>100</v>
      </c>
      <c r="W31" s="22">
        <v>100</v>
      </c>
      <c r="X31" s="22">
        <v>100</v>
      </c>
      <c r="Y31" s="22">
        <v>100</v>
      </c>
      <c r="Z31" s="22">
        <v>100</v>
      </c>
      <c r="AA31" s="22">
        <v>100</v>
      </c>
      <c r="AB31" s="22">
        <v>97.137404580199998</v>
      </c>
      <c r="AC31" s="22">
        <v>50</v>
      </c>
      <c r="AD31" s="22">
        <v>50</v>
      </c>
      <c r="AE31" s="22">
        <v>100</v>
      </c>
      <c r="AF31" s="22">
        <v>100</v>
      </c>
      <c r="AG31" s="22">
        <v>100</v>
      </c>
      <c r="AH31" s="22">
        <v>72.961538461499998</v>
      </c>
      <c r="AI31" s="22">
        <v>98.982188295200004</v>
      </c>
      <c r="AJ31" s="43">
        <v>92.811704834599993</v>
      </c>
      <c r="AK31" s="22">
        <v>100</v>
      </c>
      <c r="AL31" s="22">
        <v>75</v>
      </c>
      <c r="AM31" s="22">
        <v>50</v>
      </c>
      <c r="AN31" s="22">
        <v>75</v>
      </c>
      <c r="AO31" s="75" t="str">
        <f>VLOOKUP(A31,'Overall scores and ranking'!$A$3:$D$71,4,FALSE)</f>
        <v>Very good</v>
      </c>
    </row>
    <row r="32" spans="1:41" x14ac:dyDescent="0.25">
      <c r="A32" s="19" t="s">
        <v>2421</v>
      </c>
      <c r="B32" s="22">
        <v>33.33</v>
      </c>
      <c r="C32" s="22">
        <v>28</v>
      </c>
      <c r="D32" s="22">
        <v>66.66</v>
      </c>
      <c r="E32" s="22">
        <v>100</v>
      </c>
      <c r="F32" s="22">
        <v>100</v>
      </c>
      <c r="G32" s="22">
        <v>50</v>
      </c>
      <c r="H32" s="22">
        <v>100</v>
      </c>
      <c r="I32" s="22">
        <v>52.0161290323</v>
      </c>
      <c r="J32" s="22">
        <v>16.664999999999999</v>
      </c>
      <c r="K32" s="22">
        <v>50</v>
      </c>
      <c r="L32" s="22">
        <v>100</v>
      </c>
      <c r="M32" s="22">
        <v>95</v>
      </c>
      <c r="N32" s="22">
        <v>95</v>
      </c>
      <c r="O32" s="22">
        <v>95</v>
      </c>
      <c r="P32" s="22">
        <v>92.999355670100002</v>
      </c>
      <c r="Q32" s="22">
        <v>94.304123711299994</v>
      </c>
      <c r="R32" s="22">
        <v>76.356314432999994</v>
      </c>
      <c r="S32" s="22">
        <v>50</v>
      </c>
      <c r="T32" s="22">
        <v>95</v>
      </c>
      <c r="U32" s="22">
        <v>95</v>
      </c>
      <c r="V32" s="22">
        <v>95</v>
      </c>
      <c r="W32" s="22">
        <v>94.304123711299994</v>
      </c>
      <c r="X32" s="22">
        <v>95</v>
      </c>
      <c r="Y32" s="22">
        <v>95</v>
      </c>
      <c r="Z32" s="22">
        <v>0</v>
      </c>
      <c r="AA32" s="22">
        <v>50</v>
      </c>
      <c r="AB32" s="22">
        <v>0</v>
      </c>
      <c r="AC32" s="22">
        <v>0</v>
      </c>
      <c r="AD32" s="22">
        <v>50</v>
      </c>
      <c r="AE32" s="22">
        <v>0</v>
      </c>
      <c r="AF32" s="22">
        <v>50</v>
      </c>
      <c r="AG32" s="22">
        <v>50</v>
      </c>
      <c r="AH32" s="22">
        <v>0</v>
      </c>
      <c r="AI32" s="22">
        <v>95</v>
      </c>
      <c r="AJ32" s="43">
        <v>95</v>
      </c>
      <c r="AK32" s="22">
        <v>0</v>
      </c>
      <c r="AL32" s="22">
        <v>0</v>
      </c>
      <c r="AM32" s="22">
        <v>0</v>
      </c>
      <c r="AN32" s="22">
        <v>50.144974226800002</v>
      </c>
      <c r="AO32" s="75" t="str">
        <f>VLOOKUP(A32,'Overall scores and ranking'!$A$3:$D$71,4,FALSE)</f>
        <v>Fair</v>
      </c>
    </row>
    <row r="33" spans="1:41" x14ac:dyDescent="0.25">
      <c r="A33" s="19" t="s">
        <v>2462</v>
      </c>
      <c r="B33" s="22">
        <v>33.33</v>
      </c>
      <c r="C33" s="22">
        <v>28</v>
      </c>
      <c r="D33" s="22">
        <v>33.33</v>
      </c>
      <c r="E33" s="22">
        <v>100</v>
      </c>
      <c r="F33" s="22">
        <v>100</v>
      </c>
      <c r="G33" s="22">
        <v>50</v>
      </c>
      <c r="H33" s="22">
        <v>100</v>
      </c>
      <c r="I33" s="22">
        <v>52.0161290323</v>
      </c>
      <c r="J33" s="22">
        <v>16.664999999999999</v>
      </c>
      <c r="K33" s="22">
        <v>50</v>
      </c>
      <c r="L33" s="22">
        <v>100</v>
      </c>
      <c r="M33" s="22">
        <v>95</v>
      </c>
      <c r="N33" s="22">
        <v>95</v>
      </c>
      <c r="O33" s="22">
        <v>95</v>
      </c>
      <c r="P33" s="22">
        <v>88.549661399499996</v>
      </c>
      <c r="Q33" s="22">
        <v>90.733634311499998</v>
      </c>
      <c r="R33" s="22">
        <v>76.055304740400004</v>
      </c>
      <c r="S33" s="22">
        <v>50</v>
      </c>
      <c r="T33" s="22">
        <v>95</v>
      </c>
      <c r="U33" s="22">
        <v>95</v>
      </c>
      <c r="V33" s="22">
        <v>95</v>
      </c>
      <c r="W33" s="22">
        <v>90.733634311499998</v>
      </c>
      <c r="X33" s="22">
        <v>90.733634311499998</v>
      </c>
      <c r="Y33" s="22">
        <v>95</v>
      </c>
      <c r="Z33" s="22">
        <v>0</v>
      </c>
      <c r="AA33" s="22">
        <v>16.664999999999999</v>
      </c>
      <c r="AB33" s="22">
        <v>0</v>
      </c>
      <c r="AC33" s="22">
        <v>50</v>
      </c>
      <c r="AD33" s="22">
        <v>0</v>
      </c>
      <c r="AE33" s="22">
        <v>0</v>
      </c>
      <c r="AF33" s="22">
        <v>0</v>
      </c>
      <c r="AG33" s="22">
        <v>50</v>
      </c>
      <c r="AH33" s="22">
        <v>0</v>
      </c>
      <c r="AI33" s="22">
        <v>95</v>
      </c>
      <c r="AJ33" s="43">
        <v>95</v>
      </c>
      <c r="AK33" s="22">
        <v>0</v>
      </c>
      <c r="AL33" s="22">
        <v>0</v>
      </c>
      <c r="AM33" s="22">
        <v>0</v>
      </c>
      <c r="AN33" s="22">
        <v>50.101580135399999</v>
      </c>
      <c r="AO33" s="75" t="str">
        <f>VLOOKUP(A33,'Overall scores and ranking'!$A$3:$D$71,4,FALSE)</f>
        <v>Fair</v>
      </c>
    </row>
    <row r="34" spans="1:41" x14ac:dyDescent="0.25">
      <c r="A34" s="19" t="s">
        <v>1238</v>
      </c>
      <c r="B34" s="22">
        <v>33.33</v>
      </c>
      <c r="C34" s="22">
        <v>71</v>
      </c>
      <c r="D34" s="22">
        <v>66.66</v>
      </c>
      <c r="E34" s="22">
        <v>100</v>
      </c>
      <c r="F34" s="22">
        <v>50</v>
      </c>
      <c r="G34" s="22">
        <v>100</v>
      </c>
      <c r="H34" s="22">
        <v>100</v>
      </c>
      <c r="I34" s="22">
        <v>0</v>
      </c>
      <c r="J34" s="22">
        <v>16.666666666699999</v>
      </c>
      <c r="K34" s="22">
        <v>16.666666666699999</v>
      </c>
      <c r="L34" s="22">
        <v>100</v>
      </c>
      <c r="M34" s="22">
        <v>100</v>
      </c>
      <c r="N34" s="22">
        <v>100</v>
      </c>
      <c r="O34" s="22">
        <v>97.628951747100004</v>
      </c>
      <c r="P34" s="22">
        <v>91.514143094800005</v>
      </c>
      <c r="Q34" s="22">
        <v>100</v>
      </c>
      <c r="R34" s="22">
        <v>100</v>
      </c>
      <c r="S34" s="22">
        <v>100</v>
      </c>
      <c r="T34" s="22">
        <v>100</v>
      </c>
      <c r="U34" s="22">
        <v>100</v>
      </c>
      <c r="V34" s="22">
        <v>100</v>
      </c>
      <c r="W34" s="22">
        <v>100</v>
      </c>
      <c r="X34" s="22">
        <v>100</v>
      </c>
      <c r="Y34" s="22">
        <v>100</v>
      </c>
      <c r="Z34" s="22">
        <v>0</v>
      </c>
      <c r="AA34" s="22">
        <v>100</v>
      </c>
      <c r="AB34" s="22">
        <v>91.763727121499997</v>
      </c>
      <c r="AC34" s="22">
        <v>98.039215686299997</v>
      </c>
      <c r="AD34" s="22">
        <v>97.836938435899995</v>
      </c>
      <c r="AE34" s="22">
        <v>97.836938435899995</v>
      </c>
      <c r="AF34" s="22">
        <v>97.836938435899995</v>
      </c>
      <c r="AG34" s="22">
        <v>50</v>
      </c>
      <c r="AH34" s="22">
        <v>16.664999999999999</v>
      </c>
      <c r="AI34" s="22">
        <v>99.916805324500004</v>
      </c>
      <c r="AJ34" s="43">
        <v>99.833610648900006</v>
      </c>
      <c r="AK34" s="22">
        <v>0</v>
      </c>
      <c r="AL34" s="22">
        <v>97.379367720499999</v>
      </c>
      <c r="AM34" s="22">
        <v>50</v>
      </c>
      <c r="AN34" s="22">
        <v>98.918469217999998</v>
      </c>
      <c r="AO34" s="75" t="str">
        <f>VLOOKUP(A34,'Overall scores and ranking'!$A$3:$D$71,4,FALSE)</f>
        <v>Good</v>
      </c>
    </row>
    <row r="35" spans="1:41" x14ac:dyDescent="0.25">
      <c r="A35" s="19" t="s">
        <v>417</v>
      </c>
      <c r="B35" s="22">
        <v>66.66</v>
      </c>
      <c r="C35" s="22">
        <v>0</v>
      </c>
      <c r="D35" s="22">
        <v>0</v>
      </c>
      <c r="E35" s="22">
        <v>0</v>
      </c>
      <c r="F35" s="22">
        <v>50</v>
      </c>
      <c r="G35" s="22">
        <v>50</v>
      </c>
      <c r="H35" s="22">
        <v>0</v>
      </c>
      <c r="I35" s="22">
        <v>0</v>
      </c>
      <c r="J35" s="22">
        <v>0</v>
      </c>
      <c r="K35" s="22">
        <v>0</v>
      </c>
      <c r="L35" s="22">
        <v>0</v>
      </c>
      <c r="M35" s="22">
        <v>0</v>
      </c>
      <c r="N35" s="22">
        <v>0</v>
      </c>
      <c r="O35" s="22">
        <v>0</v>
      </c>
      <c r="P35" s="22">
        <v>0</v>
      </c>
      <c r="Q35" s="22">
        <v>0</v>
      </c>
      <c r="R35" s="22">
        <v>0</v>
      </c>
      <c r="S35" s="22">
        <v>0</v>
      </c>
      <c r="T35" s="22">
        <v>0</v>
      </c>
      <c r="U35" s="22">
        <v>0</v>
      </c>
      <c r="V35" s="22">
        <v>0</v>
      </c>
      <c r="W35" s="22">
        <v>0</v>
      </c>
      <c r="X35" s="22">
        <v>0</v>
      </c>
      <c r="Y35" s="22">
        <v>0</v>
      </c>
      <c r="Z35" s="22">
        <v>0</v>
      </c>
      <c r="AA35" s="22">
        <v>0</v>
      </c>
      <c r="AB35" s="22">
        <v>0</v>
      </c>
      <c r="AC35" s="22">
        <v>0</v>
      </c>
      <c r="AD35" s="22">
        <v>0</v>
      </c>
      <c r="AE35" s="22">
        <v>0</v>
      </c>
      <c r="AF35" s="22">
        <v>0</v>
      </c>
      <c r="AG35" s="22">
        <v>0</v>
      </c>
      <c r="AH35" s="22">
        <v>0</v>
      </c>
      <c r="AI35" s="22">
        <v>0</v>
      </c>
      <c r="AJ35" s="43">
        <v>0</v>
      </c>
      <c r="AK35" s="22">
        <v>0</v>
      </c>
      <c r="AL35" s="22">
        <v>0</v>
      </c>
      <c r="AM35" s="22">
        <v>0</v>
      </c>
      <c r="AN35" s="22">
        <v>0</v>
      </c>
      <c r="AO35" s="75" t="str">
        <f>VLOOKUP(A35,'Overall scores and ranking'!$A$3:$D$71,4,FALSE)</f>
        <v>Very Poor</v>
      </c>
    </row>
    <row r="36" spans="1:41" x14ac:dyDescent="0.25">
      <c r="A36" s="19" t="s">
        <v>458</v>
      </c>
      <c r="B36" s="22">
        <v>66.66</v>
      </c>
      <c r="C36" s="22">
        <v>0</v>
      </c>
      <c r="D36" s="22">
        <v>0</v>
      </c>
      <c r="E36" s="22">
        <v>50</v>
      </c>
      <c r="F36" s="22">
        <v>50</v>
      </c>
      <c r="G36" s="22">
        <v>50</v>
      </c>
      <c r="H36" s="22">
        <v>50</v>
      </c>
      <c r="I36" s="22">
        <v>0</v>
      </c>
      <c r="J36" s="22">
        <v>0</v>
      </c>
      <c r="K36" s="22">
        <v>0</v>
      </c>
      <c r="L36" s="22">
        <v>0</v>
      </c>
      <c r="M36" s="22">
        <v>0</v>
      </c>
      <c r="N36" s="22">
        <v>0</v>
      </c>
      <c r="O36" s="22">
        <v>0</v>
      </c>
      <c r="P36" s="22">
        <v>0</v>
      </c>
      <c r="Q36" s="22">
        <v>0</v>
      </c>
      <c r="R36" s="22">
        <v>0</v>
      </c>
      <c r="S36" s="22">
        <v>0</v>
      </c>
      <c r="T36" s="22">
        <v>0</v>
      </c>
      <c r="U36" s="22">
        <v>0</v>
      </c>
      <c r="V36" s="22">
        <v>0</v>
      </c>
      <c r="W36" s="22">
        <v>0</v>
      </c>
      <c r="X36" s="22">
        <v>0</v>
      </c>
      <c r="Y36" s="22">
        <v>0</v>
      </c>
      <c r="Z36" s="22">
        <v>0</v>
      </c>
      <c r="AA36" s="22">
        <v>0</v>
      </c>
      <c r="AB36" s="22">
        <v>0</v>
      </c>
      <c r="AC36" s="22">
        <v>0</v>
      </c>
      <c r="AD36" s="22">
        <v>0</v>
      </c>
      <c r="AE36" s="22">
        <v>0</v>
      </c>
      <c r="AF36" s="22">
        <v>0</v>
      </c>
      <c r="AG36" s="22">
        <v>50</v>
      </c>
      <c r="AH36" s="22">
        <v>0</v>
      </c>
      <c r="AI36" s="22">
        <v>0</v>
      </c>
      <c r="AJ36" s="43">
        <v>0</v>
      </c>
      <c r="AK36" s="22">
        <v>0</v>
      </c>
      <c r="AL36" s="22">
        <v>0</v>
      </c>
      <c r="AM36" s="22">
        <v>0</v>
      </c>
      <c r="AN36" s="22">
        <v>0</v>
      </c>
      <c r="AO36" s="75" t="str">
        <f>VLOOKUP(A36,'Overall scores and ranking'!$A$3:$D$71,4,FALSE)</f>
        <v>Very Poor</v>
      </c>
    </row>
    <row r="37" spans="1:41" x14ac:dyDescent="0.25">
      <c r="A37" s="19" t="s">
        <v>951</v>
      </c>
      <c r="B37" s="22">
        <v>66.66</v>
      </c>
      <c r="C37" s="22">
        <v>74</v>
      </c>
      <c r="D37" s="22">
        <v>33.33</v>
      </c>
      <c r="E37" s="22">
        <v>100</v>
      </c>
      <c r="F37" s="22">
        <v>100</v>
      </c>
      <c r="G37" s="22">
        <v>100</v>
      </c>
      <c r="H37" s="22">
        <v>100</v>
      </c>
      <c r="I37" s="22">
        <v>100</v>
      </c>
      <c r="J37" s="22">
        <v>5.5549999999999997</v>
      </c>
      <c r="K37" s="22">
        <v>16.666666666699999</v>
      </c>
      <c r="L37" s="22">
        <v>100</v>
      </c>
      <c r="M37" s="22">
        <v>95</v>
      </c>
      <c r="N37" s="22">
        <v>95</v>
      </c>
      <c r="O37" s="22">
        <v>95</v>
      </c>
      <c r="P37" s="22">
        <v>94.826120556399999</v>
      </c>
      <c r="Q37" s="22">
        <v>72.5</v>
      </c>
      <c r="R37" s="22">
        <v>92.264764172100001</v>
      </c>
      <c r="S37" s="22">
        <v>95</v>
      </c>
      <c r="T37" s="22">
        <v>95</v>
      </c>
      <c r="U37" s="22">
        <v>95</v>
      </c>
      <c r="V37" s="22">
        <v>93.991499227199995</v>
      </c>
      <c r="W37" s="22">
        <v>95</v>
      </c>
      <c r="X37" s="22">
        <v>95</v>
      </c>
      <c r="Y37" s="22">
        <v>95</v>
      </c>
      <c r="Z37" s="22">
        <v>0</v>
      </c>
      <c r="AA37" s="22">
        <v>95</v>
      </c>
      <c r="AB37" s="22">
        <v>61.754250386400003</v>
      </c>
      <c r="AC37" s="22">
        <v>86.290322580600005</v>
      </c>
      <c r="AD37" s="22">
        <v>93.887171561100004</v>
      </c>
      <c r="AE37" s="22">
        <v>94.928571428599994</v>
      </c>
      <c r="AF37" s="22">
        <v>93.571428571400006</v>
      </c>
      <c r="AG37" s="22">
        <v>62.642857142899999</v>
      </c>
      <c r="AH37" s="22">
        <v>0</v>
      </c>
      <c r="AI37" s="22">
        <v>94.930448222600006</v>
      </c>
      <c r="AJ37" s="43">
        <v>90.618238021600007</v>
      </c>
      <c r="AK37" s="22">
        <v>0</v>
      </c>
      <c r="AL37" s="22">
        <v>70.378670788299999</v>
      </c>
      <c r="AM37" s="22">
        <v>94.930448222600006</v>
      </c>
      <c r="AN37" s="22">
        <v>94.269706336900001</v>
      </c>
      <c r="AO37" s="75" t="str">
        <f>VLOOKUP(A37,'Overall scores and ranking'!$A$3:$D$71,4,FALSE)</f>
        <v>Good</v>
      </c>
    </row>
    <row r="38" spans="1:41" x14ac:dyDescent="0.25">
      <c r="A38" s="19" t="s">
        <v>499</v>
      </c>
      <c r="B38" s="22">
        <v>33.33</v>
      </c>
      <c r="C38" s="22">
        <v>0</v>
      </c>
      <c r="D38" s="22">
        <v>66.66</v>
      </c>
      <c r="E38" s="22">
        <v>50</v>
      </c>
      <c r="F38" s="22">
        <v>50</v>
      </c>
      <c r="G38" s="22">
        <v>50</v>
      </c>
      <c r="H38" s="22">
        <v>50</v>
      </c>
      <c r="I38" s="22">
        <v>50</v>
      </c>
      <c r="J38" s="22">
        <v>16.664999999999999</v>
      </c>
      <c r="K38" s="22">
        <v>0</v>
      </c>
      <c r="L38" s="22">
        <v>50</v>
      </c>
      <c r="M38" s="22">
        <v>50</v>
      </c>
      <c r="N38" s="22">
        <v>0</v>
      </c>
      <c r="O38" s="22">
        <v>16.664999999999999</v>
      </c>
      <c r="P38" s="22">
        <v>50</v>
      </c>
      <c r="Q38" s="22">
        <v>16.664999999999999</v>
      </c>
      <c r="R38" s="22">
        <v>50</v>
      </c>
      <c r="S38" s="22">
        <v>50</v>
      </c>
      <c r="T38" s="22">
        <v>33.33</v>
      </c>
      <c r="U38" s="22">
        <v>16.664999999999999</v>
      </c>
      <c r="V38" s="22">
        <v>0</v>
      </c>
      <c r="W38" s="22">
        <v>50</v>
      </c>
      <c r="X38" s="22">
        <v>50</v>
      </c>
      <c r="Y38" s="22">
        <v>33.33</v>
      </c>
      <c r="Z38" s="22">
        <v>0</v>
      </c>
      <c r="AA38" s="22">
        <v>0</v>
      </c>
      <c r="AB38" s="22">
        <v>50</v>
      </c>
      <c r="AC38" s="22">
        <v>50</v>
      </c>
      <c r="AD38" s="22">
        <v>50</v>
      </c>
      <c r="AE38" s="22">
        <v>50</v>
      </c>
      <c r="AF38" s="22">
        <v>0</v>
      </c>
      <c r="AG38" s="22">
        <v>0</v>
      </c>
      <c r="AH38" s="22">
        <v>16.664999999999999</v>
      </c>
      <c r="AI38" s="22">
        <v>16.664999999999999</v>
      </c>
      <c r="AJ38" s="43">
        <v>50</v>
      </c>
      <c r="AK38" s="22">
        <v>0</v>
      </c>
      <c r="AL38" s="22">
        <v>16.664999999999999</v>
      </c>
      <c r="AM38" s="22">
        <v>50</v>
      </c>
      <c r="AN38" s="22">
        <v>50</v>
      </c>
      <c r="AO38" s="75" t="str">
        <f>VLOOKUP(A38,'Overall scores and ranking'!$A$3:$D$71,4,FALSE)</f>
        <v>Poor</v>
      </c>
    </row>
    <row r="39" spans="1:41" x14ac:dyDescent="0.25">
      <c r="A39" s="19" t="s">
        <v>1441</v>
      </c>
      <c r="B39" s="22">
        <v>100</v>
      </c>
      <c r="C39" s="22">
        <v>59</v>
      </c>
      <c r="D39" s="22">
        <v>0</v>
      </c>
      <c r="E39" s="22">
        <v>50</v>
      </c>
      <c r="F39" s="22">
        <v>100</v>
      </c>
      <c r="G39" s="22">
        <v>50</v>
      </c>
      <c r="H39" s="22">
        <v>50</v>
      </c>
      <c r="I39" s="22">
        <v>50</v>
      </c>
      <c r="J39" s="22">
        <v>66.666666666699996</v>
      </c>
      <c r="K39" s="22">
        <v>66.666666666699996</v>
      </c>
      <c r="L39" s="22">
        <v>50</v>
      </c>
      <c r="M39" s="22">
        <v>66.746641074899998</v>
      </c>
      <c r="N39" s="22">
        <v>75</v>
      </c>
      <c r="O39" s="22">
        <v>74.904030710200004</v>
      </c>
      <c r="P39" s="22">
        <v>0</v>
      </c>
      <c r="Q39" s="22">
        <v>62.5</v>
      </c>
      <c r="R39" s="22">
        <v>75</v>
      </c>
      <c r="S39" s="22">
        <v>75</v>
      </c>
      <c r="T39" s="22">
        <v>33.33</v>
      </c>
      <c r="U39" s="22">
        <v>75</v>
      </c>
      <c r="V39" s="22">
        <v>75</v>
      </c>
      <c r="W39" s="22">
        <v>66.746641074899998</v>
      </c>
      <c r="X39" s="22">
        <v>75</v>
      </c>
      <c r="Y39" s="22">
        <v>75</v>
      </c>
      <c r="Z39" s="22">
        <v>0</v>
      </c>
      <c r="AA39" s="22">
        <v>75</v>
      </c>
      <c r="AB39" s="22">
        <v>0</v>
      </c>
      <c r="AC39" s="22">
        <v>50</v>
      </c>
      <c r="AD39" s="22">
        <v>0</v>
      </c>
      <c r="AE39" s="22">
        <v>0</v>
      </c>
      <c r="AF39" s="22">
        <v>0</v>
      </c>
      <c r="AG39" s="22">
        <v>50</v>
      </c>
      <c r="AH39" s="22">
        <v>59.5132743363</v>
      </c>
      <c r="AI39" s="22">
        <v>0</v>
      </c>
      <c r="AJ39" s="43">
        <v>66.746641074899998</v>
      </c>
      <c r="AK39" s="22">
        <v>0</v>
      </c>
      <c r="AL39" s="22">
        <v>0</v>
      </c>
      <c r="AM39" s="22">
        <v>0</v>
      </c>
      <c r="AN39" s="22">
        <v>0</v>
      </c>
      <c r="AO39" s="75" t="str">
        <f>VLOOKUP(A39,'Overall scores and ranking'!$A$3:$D$71,4,FALSE)</f>
        <v>Fair</v>
      </c>
    </row>
    <row r="40" spans="1:41" x14ac:dyDescent="0.25">
      <c r="A40" s="19" t="s">
        <v>2340</v>
      </c>
      <c r="B40" s="22">
        <v>33.33</v>
      </c>
      <c r="C40" s="22">
        <v>0</v>
      </c>
      <c r="D40" s="22">
        <v>0</v>
      </c>
      <c r="E40" s="22">
        <v>50</v>
      </c>
      <c r="F40" s="22">
        <v>50</v>
      </c>
      <c r="G40" s="22">
        <v>50</v>
      </c>
      <c r="H40" s="22">
        <v>50</v>
      </c>
      <c r="I40" s="22">
        <v>50</v>
      </c>
      <c r="J40" s="22">
        <v>0</v>
      </c>
      <c r="K40" s="22">
        <v>0</v>
      </c>
      <c r="L40" s="22">
        <v>50</v>
      </c>
      <c r="M40" s="22">
        <v>33.33</v>
      </c>
      <c r="N40" s="22">
        <v>0</v>
      </c>
      <c r="O40" s="22">
        <v>33.33</v>
      </c>
      <c r="P40" s="22">
        <v>33.33</v>
      </c>
      <c r="Q40" s="22">
        <v>0</v>
      </c>
      <c r="R40" s="22">
        <v>0</v>
      </c>
      <c r="S40" s="22">
        <v>0</v>
      </c>
      <c r="T40" s="22">
        <v>33.33</v>
      </c>
      <c r="U40" s="22">
        <v>33.33</v>
      </c>
      <c r="V40" s="22">
        <v>0</v>
      </c>
      <c r="W40" s="22">
        <v>0</v>
      </c>
      <c r="X40" s="22">
        <v>33.33</v>
      </c>
      <c r="Y40" s="22">
        <v>33.33</v>
      </c>
      <c r="Z40" s="22">
        <v>0</v>
      </c>
      <c r="AA40" s="22">
        <v>0</v>
      </c>
      <c r="AB40" s="22">
        <v>0</v>
      </c>
      <c r="AC40" s="22">
        <v>0</v>
      </c>
      <c r="AD40" s="22">
        <v>0</v>
      </c>
      <c r="AE40" s="22">
        <v>0</v>
      </c>
      <c r="AF40" s="22">
        <v>0</v>
      </c>
      <c r="AG40" s="22">
        <v>50</v>
      </c>
      <c r="AH40" s="22">
        <v>0</v>
      </c>
      <c r="AI40" s="22">
        <v>33.33</v>
      </c>
      <c r="AJ40" s="43">
        <v>0</v>
      </c>
      <c r="AK40" s="22">
        <v>0</v>
      </c>
      <c r="AL40" s="22">
        <v>0</v>
      </c>
      <c r="AM40" s="22">
        <v>0</v>
      </c>
      <c r="AN40" s="22">
        <v>0</v>
      </c>
      <c r="AO40" s="75" t="str">
        <f>VLOOKUP(A40,'Overall scores and ranking'!$A$3:$D$71,4,FALSE)</f>
        <v>Very Poor</v>
      </c>
    </row>
    <row r="41" spans="1:41" x14ac:dyDescent="0.25">
      <c r="A41" s="19" t="s">
        <v>539</v>
      </c>
      <c r="B41" s="22">
        <v>66.66</v>
      </c>
      <c r="C41" s="22">
        <v>0</v>
      </c>
      <c r="D41" s="22">
        <v>33.33</v>
      </c>
      <c r="E41" s="22">
        <v>100</v>
      </c>
      <c r="F41" s="22">
        <v>100</v>
      </c>
      <c r="G41" s="22">
        <v>100</v>
      </c>
      <c r="H41" s="22">
        <v>100</v>
      </c>
      <c r="I41" s="22">
        <v>50</v>
      </c>
      <c r="J41" s="22">
        <v>66.666666666699996</v>
      </c>
      <c r="K41" s="22">
        <v>0</v>
      </c>
      <c r="L41" s="22">
        <v>100</v>
      </c>
      <c r="M41" s="22">
        <v>33.33</v>
      </c>
      <c r="N41" s="22">
        <v>75</v>
      </c>
      <c r="O41" s="22">
        <v>75</v>
      </c>
      <c r="P41" s="22">
        <v>66.071428571400006</v>
      </c>
      <c r="Q41" s="22">
        <v>75</v>
      </c>
      <c r="R41" s="22">
        <v>0</v>
      </c>
      <c r="S41" s="22">
        <v>62.5</v>
      </c>
      <c r="T41" s="22">
        <v>33.33</v>
      </c>
      <c r="U41" s="22">
        <v>33.33</v>
      </c>
      <c r="V41" s="22">
        <v>33.33</v>
      </c>
      <c r="W41" s="22">
        <v>33.33</v>
      </c>
      <c r="X41" s="22">
        <v>33.33</v>
      </c>
      <c r="Y41" s="22">
        <v>75</v>
      </c>
      <c r="Z41" s="22">
        <v>33.33</v>
      </c>
      <c r="AA41" s="22">
        <v>0</v>
      </c>
      <c r="AB41" s="22">
        <v>0</v>
      </c>
      <c r="AC41" s="22">
        <v>50</v>
      </c>
      <c r="AD41" s="22">
        <v>50</v>
      </c>
      <c r="AE41" s="22">
        <v>0</v>
      </c>
      <c r="AF41" s="22">
        <v>50</v>
      </c>
      <c r="AG41" s="22">
        <v>50</v>
      </c>
      <c r="AH41" s="22">
        <v>0</v>
      </c>
      <c r="AI41" s="22">
        <v>0</v>
      </c>
      <c r="AJ41" s="43">
        <v>0</v>
      </c>
      <c r="AK41" s="22">
        <v>0</v>
      </c>
      <c r="AL41" s="22">
        <v>0</v>
      </c>
      <c r="AM41" s="22">
        <v>0</v>
      </c>
      <c r="AN41" s="22">
        <v>0</v>
      </c>
      <c r="AO41" s="75" t="str">
        <f>VLOOKUP(A41,'Overall scores and ranking'!$A$3:$D$71,4,FALSE)</f>
        <v>Poor</v>
      </c>
    </row>
    <row r="42" spans="1:41" x14ac:dyDescent="0.25">
      <c r="A42" s="19" t="s">
        <v>581</v>
      </c>
      <c r="B42" s="22">
        <v>66.66</v>
      </c>
      <c r="C42" s="22">
        <v>0</v>
      </c>
      <c r="D42" s="22">
        <v>33.33</v>
      </c>
      <c r="E42" s="22">
        <v>50</v>
      </c>
      <c r="F42" s="22">
        <v>50</v>
      </c>
      <c r="G42" s="22">
        <v>50</v>
      </c>
      <c r="H42" s="22">
        <v>50</v>
      </c>
      <c r="I42" s="22">
        <v>50</v>
      </c>
      <c r="J42" s="22">
        <v>0</v>
      </c>
      <c r="K42" s="22">
        <v>0</v>
      </c>
      <c r="L42" s="22">
        <v>50</v>
      </c>
      <c r="M42" s="22">
        <v>33.33</v>
      </c>
      <c r="N42" s="22">
        <v>0</v>
      </c>
      <c r="O42" s="22">
        <v>33.33</v>
      </c>
      <c r="P42" s="22">
        <v>33.33</v>
      </c>
      <c r="Q42" s="22">
        <v>0</v>
      </c>
      <c r="R42" s="22">
        <v>0</v>
      </c>
      <c r="S42" s="22">
        <v>0</v>
      </c>
      <c r="T42" s="22">
        <v>0</v>
      </c>
      <c r="U42" s="22">
        <v>0</v>
      </c>
      <c r="V42" s="22">
        <v>33.33</v>
      </c>
      <c r="W42" s="22">
        <v>0</v>
      </c>
      <c r="X42" s="22">
        <v>33.33</v>
      </c>
      <c r="Y42" s="22">
        <v>0</v>
      </c>
      <c r="Z42" s="22">
        <v>16.664999999999999</v>
      </c>
      <c r="AA42" s="22">
        <v>0</v>
      </c>
      <c r="AB42" s="22">
        <v>0</v>
      </c>
      <c r="AC42" s="22">
        <v>0</v>
      </c>
      <c r="AD42" s="22">
        <v>50</v>
      </c>
      <c r="AE42" s="22">
        <v>0</v>
      </c>
      <c r="AF42" s="22">
        <v>0</v>
      </c>
      <c r="AG42" s="22">
        <v>0</v>
      </c>
      <c r="AH42" s="22">
        <v>0</v>
      </c>
      <c r="AI42" s="22">
        <v>33.33</v>
      </c>
      <c r="AJ42" s="43">
        <v>0</v>
      </c>
      <c r="AK42" s="22">
        <v>0</v>
      </c>
      <c r="AL42" s="22">
        <v>0</v>
      </c>
      <c r="AM42" s="22">
        <v>0</v>
      </c>
      <c r="AN42" s="22">
        <v>0</v>
      </c>
      <c r="AO42" s="75" t="str">
        <f>VLOOKUP(A42,'Overall scores and ranking'!$A$3:$D$71,4,FALSE)</f>
        <v>Very Poor</v>
      </c>
    </row>
    <row r="43" spans="1:41" x14ac:dyDescent="0.25">
      <c r="A43" s="19" t="s">
        <v>622</v>
      </c>
      <c r="B43" s="22">
        <v>66.66</v>
      </c>
      <c r="C43" s="22">
        <v>39.5</v>
      </c>
      <c r="D43" s="22">
        <v>0</v>
      </c>
      <c r="E43" s="22">
        <v>50</v>
      </c>
      <c r="F43" s="22">
        <v>50</v>
      </c>
      <c r="G43" s="22">
        <v>50</v>
      </c>
      <c r="H43" s="22">
        <v>50</v>
      </c>
      <c r="I43" s="22">
        <v>50</v>
      </c>
      <c r="J43" s="22">
        <v>50</v>
      </c>
      <c r="K43" s="22">
        <v>16.666666666699999</v>
      </c>
      <c r="L43" s="22">
        <v>50</v>
      </c>
      <c r="M43" s="22">
        <v>50</v>
      </c>
      <c r="N43" s="22">
        <v>0</v>
      </c>
      <c r="O43" s="22">
        <v>50</v>
      </c>
      <c r="P43" s="22">
        <v>33.33</v>
      </c>
      <c r="Q43" s="22">
        <v>0</v>
      </c>
      <c r="R43" s="22">
        <v>0</v>
      </c>
      <c r="S43" s="22">
        <v>50</v>
      </c>
      <c r="T43" s="22">
        <v>33.33</v>
      </c>
      <c r="U43" s="22">
        <v>50</v>
      </c>
      <c r="V43" s="22">
        <v>50</v>
      </c>
      <c r="W43" s="22">
        <v>50</v>
      </c>
      <c r="X43" s="22">
        <v>50</v>
      </c>
      <c r="Y43" s="22">
        <v>50</v>
      </c>
      <c r="Z43" s="22">
        <v>33.33</v>
      </c>
      <c r="AA43" s="22">
        <v>33.33</v>
      </c>
      <c r="AB43" s="22">
        <v>50</v>
      </c>
      <c r="AC43" s="22">
        <v>50</v>
      </c>
      <c r="AD43" s="22">
        <v>50</v>
      </c>
      <c r="AE43" s="22">
        <v>50</v>
      </c>
      <c r="AF43" s="22">
        <v>0</v>
      </c>
      <c r="AG43" s="22">
        <v>50</v>
      </c>
      <c r="AH43" s="22">
        <v>0</v>
      </c>
      <c r="AI43" s="22">
        <v>50</v>
      </c>
      <c r="AJ43" s="43">
        <v>0</v>
      </c>
      <c r="AK43" s="22">
        <v>0</v>
      </c>
      <c r="AL43" s="22">
        <v>33.33</v>
      </c>
      <c r="AM43" s="22">
        <v>50</v>
      </c>
      <c r="AN43" s="22">
        <v>50</v>
      </c>
      <c r="AO43" s="75" t="str">
        <f>VLOOKUP(A43,'Overall scores and ranking'!$A$3:$D$71,4,FALSE)</f>
        <v>Poor</v>
      </c>
    </row>
    <row r="44" spans="1:41" x14ac:dyDescent="0.25">
      <c r="A44" s="19" t="s">
        <v>663</v>
      </c>
      <c r="B44" s="22">
        <v>66.66</v>
      </c>
      <c r="C44" s="22">
        <v>0</v>
      </c>
      <c r="D44" s="22">
        <v>0</v>
      </c>
      <c r="E44" s="22">
        <v>50</v>
      </c>
      <c r="F44" s="22">
        <v>50</v>
      </c>
      <c r="G44" s="22">
        <v>50</v>
      </c>
      <c r="H44" s="22">
        <v>50</v>
      </c>
      <c r="I44" s="22">
        <v>0</v>
      </c>
      <c r="J44" s="22">
        <v>11.11</v>
      </c>
      <c r="K44" s="22">
        <v>5.5549999999999997</v>
      </c>
      <c r="L44" s="22">
        <v>50</v>
      </c>
      <c r="M44" s="22">
        <v>50</v>
      </c>
      <c r="N44" s="22">
        <v>33.33</v>
      </c>
      <c r="O44" s="22">
        <v>50</v>
      </c>
      <c r="P44" s="22">
        <v>50</v>
      </c>
      <c r="Q44" s="22">
        <v>50</v>
      </c>
      <c r="R44" s="22">
        <v>0</v>
      </c>
      <c r="S44" s="22">
        <v>16.664999999999999</v>
      </c>
      <c r="T44" s="22">
        <v>33.33</v>
      </c>
      <c r="U44" s="22">
        <v>50</v>
      </c>
      <c r="V44" s="22">
        <v>0</v>
      </c>
      <c r="W44" s="22">
        <v>50</v>
      </c>
      <c r="X44" s="22">
        <v>0</v>
      </c>
      <c r="Y44" s="22">
        <v>50</v>
      </c>
      <c r="Z44" s="22">
        <v>0</v>
      </c>
      <c r="AA44" s="22">
        <v>0</v>
      </c>
      <c r="AB44" s="22">
        <v>0</v>
      </c>
      <c r="AC44" s="22">
        <v>0</v>
      </c>
      <c r="AD44" s="22">
        <v>0</v>
      </c>
      <c r="AE44" s="22">
        <v>0</v>
      </c>
      <c r="AF44" s="22">
        <v>0</v>
      </c>
      <c r="AG44" s="22">
        <v>0</v>
      </c>
      <c r="AH44" s="22">
        <v>0</v>
      </c>
      <c r="AI44" s="22">
        <v>50</v>
      </c>
      <c r="AJ44" s="43">
        <v>0</v>
      </c>
      <c r="AK44" s="22">
        <v>0</v>
      </c>
      <c r="AL44" s="22">
        <v>0</v>
      </c>
      <c r="AM44" s="22">
        <v>0</v>
      </c>
      <c r="AN44" s="22">
        <v>0</v>
      </c>
      <c r="AO44" s="75" t="str">
        <f>VLOOKUP(A44,'Overall scores and ranking'!$A$3:$D$71,4,FALSE)</f>
        <v>Very Poor</v>
      </c>
    </row>
    <row r="45" spans="1:41" x14ac:dyDescent="0.25">
      <c r="A45" s="19" t="s">
        <v>2013</v>
      </c>
      <c r="B45" s="22">
        <v>66.66</v>
      </c>
      <c r="C45" s="22">
        <v>0</v>
      </c>
      <c r="D45" s="22">
        <v>0</v>
      </c>
      <c r="E45" s="22">
        <v>50</v>
      </c>
      <c r="F45" s="22">
        <v>50</v>
      </c>
      <c r="G45" s="22">
        <v>50</v>
      </c>
      <c r="H45" s="22">
        <v>0</v>
      </c>
      <c r="I45" s="22">
        <v>0</v>
      </c>
      <c r="J45" s="22">
        <v>0</v>
      </c>
      <c r="K45" s="22">
        <v>0</v>
      </c>
      <c r="L45" s="22">
        <v>0</v>
      </c>
      <c r="M45" s="22">
        <v>0</v>
      </c>
      <c r="N45" s="22">
        <v>0</v>
      </c>
      <c r="O45" s="22">
        <v>0</v>
      </c>
      <c r="P45" s="22">
        <v>0</v>
      </c>
      <c r="Q45" s="22">
        <v>0</v>
      </c>
      <c r="R45" s="22">
        <v>0</v>
      </c>
      <c r="S45" s="22">
        <v>0</v>
      </c>
      <c r="T45" s="22">
        <v>33.33</v>
      </c>
      <c r="U45" s="22">
        <v>0</v>
      </c>
      <c r="V45" s="22">
        <v>0</v>
      </c>
      <c r="W45" s="22">
        <v>0</v>
      </c>
      <c r="X45" s="22">
        <v>0</v>
      </c>
      <c r="Y45" s="22">
        <v>0</v>
      </c>
      <c r="Z45" s="22">
        <v>0</v>
      </c>
      <c r="AA45" s="22">
        <v>0</v>
      </c>
      <c r="AB45" s="22">
        <v>0</v>
      </c>
      <c r="AC45" s="22">
        <v>0</v>
      </c>
      <c r="AD45" s="22">
        <v>0</v>
      </c>
      <c r="AE45" s="22">
        <v>0</v>
      </c>
      <c r="AF45" s="22">
        <v>0</v>
      </c>
      <c r="AG45" s="22">
        <v>0</v>
      </c>
      <c r="AH45" s="22">
        <v>0</v>
      </c>
      <c r="AI45" s="22">
        <v>0</v>
      </c>
      <c r="AJ45" s="43">
        <v>0</v>
      </c>
      <c r="AK45" s="22">
        <v>0</v>
      </c>
      <c r="AL45" s="22">
        <v>0</v>
      </c>
      <c r="AM45" s="22">
        <v>0</v>
      </c>
      <c r="AN45" s="22">
        <v>0</v>
      </c>
      <c r="AO45" s="75" t="str">
        <f>VLOOKUP(A45,'Overall scores and ranking'!$A$3:$D$71,4,FALSE)</f>
        <v>Very Poor</v>
      </c>
    </row>
    <row r="46" spans="1:41" x14ac:dyDescent="0.25">
      <c r="A46" s="19" t="s">
        <v>1808</v>
      </c>
      <c r="B46" s="22">
        <v>0</v>
      </c>
      <c r="C46" s="22">
        <v>0</v>
      </c>
      <c r="D46" s="22">
        <v>33.33</v>
      </c>
      <c r="E46" s="22">
        <v>50</v>
      </c>
      <c r="F46" s="22">
        <v>50</v>
      </c>
      <c r="G46" s="22">
        <v>0</v>
      </c>
      <c r="H46" s="22">
        <v>50</v>
      </c>
      <c r="I46" s="22">
        <v>50</v>
      </c>
      <c r="J46" s="22">
        <v>0</v>
      </c>
      <c r="K46" s="22">
        <v>16.666666666699999</v>
      </c>
      <c r="L46" s="22">
        <v>50</v>
      </c>
      <c r="M46" s="22">
        <v>33.33</v>
      </c>
      <c r="N46" s="22">
        <v>33.33</v>
      </c>
      <c r="O46" s="22">
        <v>33.33</v>
      </c>
      <c r="P46" s="22">
        <v>33.33</v>
      </c>
      <c r="Q46" s="22">
        <v>33.33</v>
      </c>
      <c r="R46" s="22">
        <v>0</v>
      </c>
      <c r="S46" s="22">
        <v>0</v>
      </c>
      <c r="T46" s="22">
        <v>33.33</v>
      </c>
      <c r="U46" s="22">
        <v>33.33</v>
      </c>
      <c r="V46" s="22">
        <v>0</v>
      </c>
      <c r="W46" s="22">
        <v>0</v>
      </c>
      <c r="X46" s="22">
        <v>0</v>
      </c>
      <c r="Y46" s="22">
        <v>33.33</v>
      </c>
      <c r="Z46" s="22">
        <v>0</v>
      </c>
      <c r="AA46" s="22">
        <v>0</v>
      </c>
      <c r="AB46" s="22">
        <v>0</v>
      </c>
      <c r="AC46" s="22">
        <v>50</v>
      </c>
      <c r="AD46" s="22">
        <v>50</v>
      </c>
      <c r="AE46" s="22">
        <v>0</v>
      </c>
      <c r="AF46" s="22">
        <v>50</v>
      </c>
      <c r="AG46" s="22">
        <v>50</v>
      </c>
      <c r="AH46" s="22">
        <v>0</v>
      </c>
      <c r="AI46" s="22">
        <v>33.33</v>
      </c>
      <c r="AJ46" s="43">
        <v>0</v>
      </c>
      <c r="AK46" s="22">
        <v>0</v>
      </c>
      <c r="AL46" s="22">
        <v>0</v>
      </c>
      <c r="AM46" s="22">
        <v>0</v>
      </c>
      <c r="AN46" s="22">
        <v>0</v>
      </c>
      <c r="AO46" s="75" t="str">
        <f>VLOOKUP(A46,'Overall scores and ranking'!$A$3:$D$71,4,FALSE)</f>
        <v>Very Poor</v>
      </c>
    </row>
    <row r="47" spans="1:41" x14ac:dyDescent="0.25">
      <c r="A47" s="19" t="s">
        <v>2258</v>
      </c>
      <c r="B47" s="22">
        <v>66.66</v>
      </c>
      <c r="C47" s="22">
        <v>0</v>
      </c>
      <c r="D47" s="22">
        <v>0</v>
      </c>
      <c r="E47" s="22">
        <v>50</v>
      </c>
      <c r="F47" s="22">
        <v>0</v>
      </c>
      <c r="G47" s="22">
        <v>50</v>
      </c>
      <c r="H47" s="22">
        <v>50</v>
      </c>
      <c r="I47" s="22">
        <v>0</v>
      </c>
      <c r="J47" s="22">
        <v>0</v>
      </c>
      <c r="K47" s="22">
        <v>0</v>
      </c>
      <c r="L47" s="22">
        <v>0</v>
      </c>
      <c r="M47" s="22">
        <v>0</v>
      </c>
      <c r="N47" s="22">
        <v>0</v>
      </c>
      <c r="O47" s="22">
        <v>0</v>
      </c>
      <c r="P47" s="22">
        <v>0</v>
      </c>
      <c r="Q47" s="22">
        <v>0</v>
      </c>
      <c r="R47" s="22">
        <v>0</v>
      </c>
      <c r="S47" s="22">
        <v>0</v>
      </c>
      <c r="T47" s="22">
        <v>0</v>
      </c>
      <c r="U47" s="22">
        <v>0</v>
      </c>
      <c r="V47" s="22">
        <v>16.664999999999999</v>
      </c>
      <c r="W47" s="22">
        <v>0</v>
      </c>
      <c r="X47" s="22">
        <v>0</v>
      </c>
      <c r="Y47" s="22">
        <v>0</v>
      </c>
      <c r="Z47" s="22">
        <v>0</v>
      </c>
      <c r="AA47" s="22">
        <v>16.664999999999999</v>
      </c>
      <c r="AB47" s="22">
        <v>0</v>
      </c>
      <c r="AC47" s="22">
        <v>0</v>
      </c>
      <c r="AD47" s="22">
        <v>0</v>
      </c>
      <c r="AE47" s="22">
        <v>0</v>
      </c>
      <c r="AF47" s="22">
        <v>0</v>
      </c>
      <c r="AG47" s="22">
        <v>0</v>
      </c>
      <c r="AH47" s="22">
        <v>0</v>
      </c>
      <c r="AI47" s="22">
        <v>0</v>
      </c>
      <c r="AJ47" s="43">
        <v>0</v>
      </c>
      <c r="AK47" s="22">
        <v>0</v>
      </c>
      <c r="AL47" s="22">
        <v>0</v>
      </c>
      <c r="AM47" s="22">
        <v>0</v>
      </c>
      <c r="AN47" s="22">
        <v>0</v>
      </c>
      <c r="AO47" s="75" t="str">
        <f>VLOOKUP(A47,'Overall scores and ranking'!$A$3:$D$71,4,FALSE)</f>
        <v>Very Poor</v>
      </c>
    </row>
    <row r="48" spans="1:41" x14ac:dyDescent="0.25">
      <c r="A48" s="19" t="s">
        <v>1767</v>
      </c>
      <c r="B48" s="22">
        <v>66.66</v>
      </c>
      <c r="C48" s="22">
        <v>76</v>
      </c>
      <c r="D48" s="22">
        <v>66.66</v>
      </c>
      <c r="E48" s="22">
        <v>50</v>
      </c>
      <c r="F48" s="22">
        <v>50</v>
      </c>
      <c r="G48" s="22">
        <v>50</v>
      </c>
      <c r="H48" s="22">
        <v>50</v>
      </c>
      <c r="I48" s="22">
        <v>50</v>
      </c>
      <c r="J48" s="22">
        <v>66.666666666699996</v>
      </c>
      <c r="K48" s="22">
        <v>65.310156195499999</v>
      </c>
      <c r="L48" s="22">
        <v>0</v>
      </c>
      <c r="M48" s="22">
        <v>100</v>
      </c>
      <c r="N48" s="22">
        <v>100</v>
      </c>
      <c r="O48" s="22">
        <v>98.5716672235</v>
      </c>
      <c r="P48" s="22">
        <v>91.137654527199999</v>
      </c>
      <c r="Q48" s="22">
        <v>100</v>
      </c>
      <c r="R48" s="22">
        <v>100</v>
      </c>
      <c r="S48" s="22">
        <v>100</v>
      </c>
      <c r="T48" s="22">
        <v>33.33</v>
      </c>
      <c r="U48" s="22">
        <v>100</v>
      </c>
      <c r="V48" s="22">
        <v>100</v>
      </c>
      <c r="W48" s="22">
        <v>100</v>
      </c>
      <c r="X48" s="22">
        <v>100</v>
      </c>
      <c r="Y48" s="22">
        <v>99.9832943535</v>
      </c>
      <c r="Z48" s="22">
        <v>56.116900770299999</v>
      </c>
      <c r="AA48" s="22">
        <v>99.206481790799998</v>
      </c>
      <c r="AB48" s="22">
        <v>0</v>
      </c>
      <c r="AC48" s="22">
        <v>50</v>
      </c>
      <c r="AD48" s="22">
        <v>0</v>
      </c>
      <c r="AE48" s="22">
        <v>0</v>
      </c>
      <c r="AF48" s="22">
        <v>0</v>
      </c>
      <c r="AG48" s="22">
        <v>50</v>
      </c>
      <c r="AH48" s="22">
        <v>75</v>
      </c>
      <c r="AI48" s="22">
        <v>99.832943534899997</v>
      </c>
      <c r="AJ48" s="43">
        <v>98.897427330400006</v>
      </c>
      <c r="AK48" s="22">
        <v>0</v>
      </c>
      <c r="AL48" s="22">
        <v>0</v>
      </c>
      <c r="AM48" s="22">
        <v>0</v>
      </c>
      <c r="AN48" s="22">
        <v>0</v>
      </c>
      <c r="AO48" s="75" t="str">
        <f>VLOOKUP(A48,'Overall scores and ranking'!$A$3:$D$71,4,FALSE)</f>
        <v>Fair</v>
      </c>
    </row>
    <row r="49" spans="1:41" x14ac:dyDescent="0.25">
      <c r="A49" s="19" t="s">
        <v>1523</v>
      </c>
      <c r="B49" s="22">
        <v>100</v>
      </c>
      <c r="C49" s="22">
        <v>54</v>
      </c>
      <c r="D49" s="22">
        <v>0</v>
      </c>
      <c r="E49" s="22">
        <v>50</v>
      </c>
      <c r="F49" s="22">
        <v>50</v>
      </c>
      <c r="G49" s="22">
        <v>50</v>
      </c>
      <c r="H49" s="22">
        <v>50</v>
      </c>
      <c r="I49" s="22">
        <v>50</v>
      </c>
      <c r="J49" s="22">
        <v>11.11</v>
      </c>
      <c r="K49" s="22">
        <v>11.11</v>
      </c>
      <c r="L49" s="22">
        <v>50</v>
      </c>
      <c r="M49" s="22">
        <v>0</v>
      </c>
      <c r="N49" s="22">
        <v>95</v>
      </c>
      <c r="O49" s="22">
        <v>94.730538922199997</v>
      </c>
      <c r="P49" s="22">
        <v>94.831586826299997</v>
      </c>
      <c r="Q49" s="22">
        <v>95</v>
      </c>
      <c r="R49" s="22">
        <v>95</v>
      </c>
      <c r="S49" s="22">
        <v>95</v>
      </c>
      <c r="T49" s="22">
        <v>95</v>
      </c>
      <c r="U49" s="22">
        <v>33.33</v>
      </c>
      <c r="V49" s="22">
        <v>95</v>
      </c>
      <c r="W49" s="22">
        <v>93.113772455100005</v>
      </c>
      <c r="X49" s="22">
        <v>95</v>
      </c>
      <c r="Y49" s="22">
        <v>94.629491017999996</v>
      </c>
      <c r="Z49" s="22">
        <v>0</v>
      </c>
      <c r="AA49" s="22">
        <v>95</v>
      </c>
      <c r="AB49" s="22">
        <v>50</v>
      </c>
      <c r="AC49" s="22">
        <v>50</v>
      </c>
      <c r="AD49" s="22">
        <v>50</v>
      </c>
      <c r="AE49" s="22">
        <v>0</v>
      </c>
      <c r="AF49" s="22">
        <v>50</v>
      </c>
      <c r="AG49" s="22">
        <v>50</v>
      </c>
      <c r="AH49" s="22">
        <v>50</v>
      </c>
      <c r="AI49" s="22">
        <v>16.664999999999999</v>
      </c>
      <c r="AJ49" s="43">
        <v>89.071856287399996</v>
      </c>
      <c r="AK49" s="22">
        <v>0</v>
      </c>
      <c r="AL49" s="22">
        <v>0</v>
      </c>
      <c r="AM49" s="22">
        <v>0</v>
      </c>
      <c r="AN49" s="22">
        <v>0</v>
      </c>
      <c r="AO49" s="75" t="str">
        <f>VLOOKUP(A49,'Overall scores and ranking'!$A$3:$D$71,4,FALSE)</f>
        <v>Fair</v>
      </c>
    </row>
    <row r="50" spans="1:41" x14ac:dyDescent="0.25">
      <c r="A50" s="19" t="s">
        <v>1726</v>
      </c>
      <c r="B50" s="22">
        <v>66.66</v>
      </c>
      <c r="C50" s="22">
        <v>34</v>
      </c>
      <c r="D50" s="22">
        <v>100</v>
      </c>
      <c r="E50" s="22">
        <v>50</v>
      </c>
      <c r="F50" s="22">
        <v>50</v>
      </c>
      <c r="G50" s="22">
        <v>50</v>
      </c>
      <c r="H50" s="22">
        <v>50</v>
      </c>
      <c r="I50" s="22">
        <v>50</v>
      </c>
      <c r="J50" s="22">
        <v>11.11</v>
      </c>
      <c r="K50" s="22">
        <v>0</v>
      </c>
      <c r="L50" s="22">
        <v>50</v>
      </c>
      <c r="M50" s="22">
        <v>50</v>
      </c>
      <c r="N50" s="22">
        <v>50</v>
      </c>
      <c r="O50" s="22">
        <v>50</v>
      </c>
      <c r="P50" s="22">
        <v>50</v>
      </c>
      <c r="Q50" s="22">
        <v>0</v>
      </c>
      <c r="R50" s="22">
        <v>0</v>
      </c>
      <c r="S50" s="22">
        <v>0</v>
      </c>
      <c r="T50" s="22">
        <v>33.33</v>
      </c>
      <c r="U50" s="22">
        <v>50</v>
      </c>
      <c r="V50" s="22">
        <v>0</v>
      </c>
      <c r="W50" s="22">
        <v>0</v>
      </c>
      <c r="X50" s="22">
        <v>0</v>
      </c>
      <c r="Y50" s="22">
        <v>50</v>
      </c>
      <c r="Z50" s="22">
        <v>0</v>
      </c>
      <c r="AA50" s="22">
        <v>0</v>
      </c>
      <c r="AB50" s="22">
        <v>0</v>
      </c>
      <c r="AC50" s="22">
        <v>50</v>
      </c>
      <c r="AD50" s="22">
        <v>50</v>
      </c>
      <c r="AE50" s="22">
        <v>0</v>
      </c>
      <c r="AF50" s="22">
        <v>0</v>
      </c>
      <c r="AG50" s="22">
        <v>50</v>
      </c>
      <c r="AH50" s="22">
        <v>50</v>
      </c>
      <c r="AI50" s="22">
        <v>50</v>
      </c>
      <c r="AJ50" s="43">
        <v>0</v>
      </c>
      <c r="AK50" s="22">
        <v>0</v>
      </c>
      <c r="AL50" s="22">
        <v>0</v>
      </c>
      <c r="AM50" s="22">
        <v>0</v>
      </c>
      <c r="AN50" s="22">
        <v>0</v>
      </c>
      <c r="AO50" s="75" t="str">
        <f>VLOOKUP(A50,'Overall scores and ranking'!$A$3:$D$71,4,FALSE)</f>
        <v>Poor</v>
      </c>
    </row>
    <row r="51" spans="1:41" x14ac:dyDescent="0.25">
      <c r="A51" s="19" t="s">
        <v>1564</v>
      </c>
      <c r="B51" s="22">
        <v>66.66</v>
      </c>
      <c r="C51" s="22">
        <v>0</v>
      </c>
      <c r="D51" s="22">
        <v>0</v>
      </c>
      <c r="E51" s="22">
        <v>50</v>
      </c>
      <c r="F51" s="22">
        <v>50</v>
      </c>
      <c r="G51" s="22">
        <v>50</v>
      </c>
      <c r="H51" s="22">
        <v>50</v>
      </c>
      <c r="I51" s="22">
        <v>50</v>
      </c>
      <c r="J51" s="22">
        <v>5.5549999999999997</v>
      </c>
      <c r="K51" s="22">
        <v>5.5549999999999997</v>
      </c>
      <c r="L51" s="22">
        <v>0</v>
      </c>
      <c r="M51" s="22">
        <v>33.33</v>
      </c>
      <c r="N51" s="22">
        <v>33.33</v>
      </c>
      <c r="O51" s="22">
        <v>33.33</v>
      </c>
      <c r="P51" s="22">
        <v>0</v>
      </c>
      <c r="Q51" s="22">
        <v>0</v>
      </c>
      <c r="R51" s="22">
        <v>0</v>
      </c>
      <c r="S51" s="22">
        <v>0</v>
      </c>
      <c r="T51" s="22">
        <v>33.33</v>
      </c>
      <c r="U51" s="22">
        <v>0</v>
      </c>
      <c r="V51" s="22">
        <v>0</v>
      </c>
      <c r="W51" s="22">
        <v>0</v>
      </c>
      <c r="X51" s="22">
        <v>0</v>
      </c>
      <c r="Y51" s="22">
        <v>0</v>
      </c>
      <c r="Z51" s="22">
        <v>0</v>
      </c>
      <c r="AA51" s="22">
        <v>0</v>
      </c>
      <c r="AB51" s="22">
        <v>0</v>
      </c>
      <c r="AC51" s="22">
        <v>50</v>
      </c>
      <c r="AD51" s="22">
        <v>0</v>
      </c>
      <c r="AE51" s="22">
        <v>0</v>
      </c>
      <c r="AF51" s="22">
        <v>0</v>
      </c>
      <c r="AG51" s="22">
        <v>50</v>
      </c>
      <c r="AH51" s="22">
        <v>0</v>
      </c>
      <c r="AI51" s="22">
        <v>33.33</v>
      </c>
      <c r="AJ51" s="43">
        <v>0</v>
      </c>
      <c r="AK51" s="22">
        <v>0</v>
      </c>
      <c r="AL51" s="22">
        <v>0</v>
      </c>
      <c r="AM51" s="22">
        <v>0</v>
      </c>
      <c r="AN51" s="22">
        <v>0</v>
      </c>
      <c r="AO51" s="75" t="str">
        <f>VLOOKUP(A51,'Overall scores and ranking'!$A$3:$D$71,4,FALSE)</f>
        <v>Very Poor</v>
      </c>
    </row>
    <row r="52" spans="1:41" x14ac:dyDescent="0.25">
      <c r="A52" s="19" t="s">
        <v>704</v>
      </c>
      <c r="B52" s="22">
        <v>66.66</v>
      </c>
      <c r="C52" s="22">
        <v>0</v>
      </c>
      <c r="D52" s="22">
        <v>0</v>
      </c>
      <c r="E52" s="22">
        <v>50</v>
      </c>
      <c r="F52" s="22">
        <v>50</v>
      </c>
      <c r="G52" s="22">
        <v>50</v>
      </c>
      <c r="H52" s="22">
        <v>50</v>
      </c>
      <c r="I52" s="22">
        <v>0</v>
      </c>
      <c r="J52" s="22">
        <v>5.5549999999999997</v>
      </c>
      <c r="K52" s="22">
        <v>50</v>
      </c>
      <c r="L52" s="22">
        <v>50</v>
      </c>
      <c r="M52" s="22">
        <v>33.33</v>
      </c>
      <c r="N52" s="22">
        <v>50</v>
      </c>
      <c r="O52" s="22">
        <v>50</v>
      </c>
      <c r="P52" s="22">
        <v>33.33</v>
      </c>
      <c r="Q52" s="22">
        <v>50</v>
      </c>
      <c r="R52" s="22">
        <v>0</v>
      </c>
      <c r="S52" s="22">
        <v>33.33</v>
      </c>
      <c r="T52" s="22">
        <v>33.33</v>
      </c>
      <c r="U52" s="22">
        <v>50</v>
      </c>
      <c r="V52" s="22">
        <v>50</v>
      </c>
      <c r="W52" s="22">
        <v>50</v>
      </c>
      <c r="X52" s="22">
        <v>50</v>
      </c>
      <c r="Y52" s="22">
        <v>50</v>
      </c>
      <c r="Z52" s="22">
        <v>50</v>
      </c>
      <c r="AA52" s="22">
        <v>50</v>
      </c>
      <c r="AB52" s="22">
        <v>0</v>
      </c>
      <c r="AC52" s="22">
        <v>50</v>
      </c>
      <c r="AD52" s="22">
        <v>0</v>
      </c>
      <c r="AE52" s="22">
        <v>0</v>
      </c>
      <c r="AF52" s="22">
        <v>50</v>
      </c>
      <c r="AG52" s="22">
        <v>0</v>
      </c>
      <c r="AH52" s="22">
        <v>0</v>
      </c>
      <c r="AI52" s="22">
        <v>50</v>
      </c>
      <c r="AJ52" s="43">
        <v>0</v>
      </c>
      <c r="AK52" s="22">
        <v>0</v>
      </c>
      <c r="AL52" s="22">
        <v>0</v>
      </c>
      <c r="AM52" s="22">
        <v>0</v>
      </c>
      <c r="AN52" s="22">
        <v>0</v>
      </c>
      <c r="AO52" s="75" t="str">
        <f>VLOOKUP(A52,'Overall scores and ranking'!$A$3:$D$71,4,FALSE)</f>
        <v>Poor</v>
      </c>
    </row>
    <row r="53" spans="1:41" x14ac:dyDescent="0.25">
      <c r="A53" s="19" t="s">
        <v>745</v>
      </c>
      <c r="B53" s="22">
        <v>66.66</v>
      </c>
      <c r="C53" s="22">
        <v>0</v>
      </c>
      <c r="D53" s="22">
        <v>0</v>
      </c>
      <c r="E53" s="22">
        <v>50</v>
      </c>
      <c r="F53" s="22">
        <v>50</v>
      </c>
      <c r="G53" s="22">
        <v>50</v>
      </c>
      <c r="H53" s="22">
        <v>50</v>
      </c>
      <c r="I53" s="22">
        <v>0</v>
      </c>
      <c r="J53" s="22">
        <v>5.5549999999999997</v>
      </c>
      <c r="K53" s="22">
        <v>5.5549999999999997</v>
      </c>
      <c r="L53" s="22">
        <v>0</v>
      </c>
      <c r="M53" s="22">
        <v>16.664999999999999</v>
      </c>
      <c r="N53" s="22">
        <v>0</v>
      </c>
      <c r="O53" s="22">
        <v>16.664999999999999</v>
      </c>
      <c r="P53" s="22">
        <v>0</v>
      </c>
      <c r="Q53" s="22">
        <v>0</v>
      </c>
      <c r="R53" s="22">
        <v>0</v>
      </c>
      <c r="S53" s="22">
        <v>0</v>
      </c>
      <c r="T53" s="22">
        <v>33.33</v>
      </c>
      <c r="U53" s="22">
        <v>16.664999999999999</v>
      </c>
      <c r="V53" s="22">
        <v>0</v>
      </c>
      <c r="W53" s="22">
        <v>16.664999999999999</v>
      </c>
      <c r="X53" s="22">
        <v>0</v>
      </c>
      <c r="Y53" s="22">
        <v>0</v>
      </c>
      <c r="Z53" s="22">
        <v>0</v>
      </c>
      <c r="AA53" s="22">
        <v>33.33</v>
      </c>
      <c r="AB53" s="22">
        <v>0</v>
      </c>
      <c r="AC53" s="22">
        <v>0</v>
      </c>
      <c r="AD53" s="22">
        <v>0</v>
      </c>
      <c r="AE53" s="22">
        <v>0</v>
      </c>
      <c r="AF53" s="22">
        <v>0</v>
      </c>
      <c r="AG53" s="22">
        <v>0</v>
      </c>
      <c r="AH53" s="22">
        <v>0</v>
      </c>
      <c r="AI53" s="22">
        <v>16.664999999999999</v>
      </c>
      <c r="AJ53" s="43">
        <v>0</v>
      </c>
      <c r="AK53" s="22">
        <v>0</v>
      </c>
      <c r="AL53" s="22">
        <v>0</v>
      </c>
      <c r="AM53" s="22">
        <v>0</v>
      </c>
      <c r="AN53" s="22">
        <v>0</v>
      </c>
      <c r="AO53" s="75" t="str">
        <f>VLOOKUP(A53,'Overall scores and ranking'!$A$3:$D$71,4,FALSE)</f>
        <v>Very Poor</v>
      </c>
    </row>
    <row r="54" spans="1:41" x14ac:dyDescent="0.25">
      <c r="A54" s="19" t="s">
        <v>786</v>
      </c>
      <c r="B54" s="22">
        <v>66.66</v>
      </c>
      <c r="C54" s="22">
        <v>0</v>
      </c>
      <c r="D54" s="22">
        <v>33.33</v>
      </c>
      <c r="E54" s="22">
        <v>50</v>
      </c>
      <c r="F54" s="22">
        <v>50</v>
      </c>
      <c r="G54" s="22">
        <v>50</v>
      </c>
      <c r="H54" s="22">
        <v>50</v>
      </c>
      <c r="I54" s="22">
        <v>0</v>
      </c>
      <c r="J54" s="22">
        <v>11.11</v>
      </c>
      <c r="K54" s="22">
        <v>0</v>
      </c>
      <c r="L54" s="22">
        <v>0</v>
      </c>
      <c r="M54" s="22">
        <v>33.33</v>
      </c>
      <c r="N54" s="22">
        <v>33.33</v>
      </c>
      <c r="O54" s="22">
        <v>33.33</v>
      </c>
      <c r="P54" s="22">
        <v>33.33</v>
      </c>
      <c r="Q54" s="22">
        <v>33.33</v>
      </c>
      <c r="R54" s="22">
        <v>0</v>
      </c>
      <c r="S54" s="22">
        <v>0</v>
      </c>
      <c r="T54" s="22">
        <v>33.33</v>
      </c>
      <c r="U54" s="22">
        <v>0</v>
      </c>
      <c r="V54" s="22">
        <v>0</v>
      </c>
      <c r="W54" s="22">
        <v>0</v>
      </c>
      <c r="X54" s="22">
        <v>33.33</v>
      </c>
      <c r="Y54" s="22">
        <v>33.33</v>
      </c>
      <c r="Z54" s="22">
        <v>33.33</v>
      </c>
      <c r="AA54" s="22">
        <v>0</v>
      </c>
      <c r="AB54" s="22">
        <v>0</v>
      </c>
      <c r="AC54" s="22">
        <v>50</v>
      </c>
      <c r="AD54" s="22">
        <v>50</v>
      </c>
      <c r="AE54" s="22">
        <v>0</v>
      </c>
      <c r="AF54" s="22">
        <v>50</v>
      </c>
      <c r="AG54" s="22">
        <v>0</v>
      </c>
      <c r="AH54" s="22">
        <v>0</v>
      </c>
      <c r="AI54" s="22">
        <v>33.33</v>
      </c>
      <c r="AJ54" s="43">
        <v>0</v>
      </c>
      <c r="AK54" s="22">
        <v>0</v>
      </c>
      <c r="AL54" s="22">
        <v>0</v>
      </c>
      <c r="AM54" s="22">
        <v>0</v>
      </c>
      <c r="AN54" s="22">
        <v>0</v>
      </c>
      <c r="AO54" s="75" t="str">
        <f>VLOOKUP(A54,'Overall scores and ranking'!$A$3:$D$71,4,FALSE)</f>
        <v>Very Poor</v>
      </c>
    </row>
    <row r="55" spans="1:41" x14ac:dyDescent="0.25">
      <c r="A55" s="19" t="s">
        <v>827</v>
      </c>
      <c r="B55" s="22">
        <v>100</v>
      </c>
      <c r="C55" s="22">
        <v>0</v>
      </c>
      <c r="D55" s="22">
        <v>0</v>
      </c>
      <c r="E55" s="22">
        <v>50</v>
      </c>
      <c r="F55" s="22">
        <v>50</v>
      </c>
      <c r="G55" s="22">
        <v>50</v>
      </c>
      <c r="H55" s="22">
        <v>50</v>
      </c>
      <c r="I55" s="22">
        <v>0</v>
      </c>
      <c r="J55" s="22">
        <v>11.11</v>
      </c>
      <c r="K55" s="22">
        <v>11.11</v>
      </c>
      <c r="L55" s="22">
        <v>0</v>
      </c>
      <c r="M55" s="22">
        <v>0</v>
      </c>
      <c r="N55" s="22">
        <v>33.33</v>
      </c>
      <c r="O55" s="22">
        <v>33.33</v>
      </c>
      <c r="P55" s="22">
        <v>33.33</v>
      </c>
      <c r="Q55" s="22">
        <v>33.33</v>
      </c>
      <c r="R55" s="22">
        <v>0</v>
      </c>
      <c r="S55" s="22">
        <v>33.33</v>
      </c>
      <c r="T55" s="22">
        <v>33.33</v>
      </c>
      <c r="U55" s="22">
        <v>33.33</v>
      </c>
      <c r="V55" s="22">
        <v>33.33</v>
      </c>
      <c r="W55" s="22">
        <v>33.33</v>
      </c>
      <c r="X55" s="22">
        <v>33.33</v>
      </c>
      <c r="Y55" s="22">
        <v>33.33</v>
      </c>
      <c r="Z55" s="22">
        <v>0</v>
      </c>
      <c r="AA55" s="22">
        <v>0</v>
      </c>
      <c r="AB55" s="22">
        <v>0</v>
      </c>
      <c r="AC55" s="22">
        <v>0</v>
      </c>
      <c r="AD55" s="22">
        <v>0</v>
      </c>
      <c r="AE55" s="22">
        <v>0</v>
      </c>
      <c r="AF55" s="22">
        <v>0</v>
      </c>
      <c r="AG55" s="22">
        <v>50</v>
      </c>
      <c r="AH55" s="22">
        <v>0</v>
      </c>
      <c r="AI55" s="22">
        <v>33.33</v>
      </c>
      <c r="AJ55" s="43">
        <v>0</v>
      </c>
      <c r="AK55" s="22">
        <v>0</v>
      </c>
      <c r="AL55" s="22">
        <v>0</v>
      </c>
      <c r="AM55" s="22">
        <v>0</v>
      </c>
      <c r="AN55" s="22">
        <v>0</v>
      </c>
      <c r="AO55" s="75" t="str">
        <f>VLOOKUP(A55,'Overall scores and ranking'!$A$3:$D$71,4,FALSE)</f>
        <v>Very Poor</v>
      </c>
    </row>
    <row r="56" spans="1:41" x14ac:dyDescent="0.25">
      <c r="A56" s="19" t="s">
        <v>1890</v>
      </c>
      <c r="B56" s="22">
        <v>66.66</v>
      </c>
      <c r="C56" s="22">
        <v>60</v>
      </c>
      <c r="D56" s="22">
        <v>0</v>
      </c>
      <c r="E56" s="22">
        <v>100</v>
      </c>
      <c r="F56" s="22">
        <v>100</v>
      </c>
      <c r="G56" s="22">
        <v>100</v>
      </c>
      <c r="H56" s="22">
        <v>100</v>
      </c>
      <c r="I56" s="22">
        <v>62.244897959200003</v>
      </c>
      <c r="J56" s="22">
        <v>66.666666666699996</v>
      </c>
      <c r="K56" s="22">
        <v>66.666666666699996</v>
      </c>
      <c r="L56" s="22">
        <v>0</v>
      </c>
      <c r="M56" s="22">
        <v>100</v>
      </c>
      <c r="N56" s="22">
        <v>100</v>
      </c>
      <c r="O56" s="22">
        <v>99.938834519599993</v>
      </c>
      <c r="P56" s="22">
        <v>98.459741992900007</v>
      </c>
      <c r="Q56" s="22">
        <v>100</v>
      </c>
      <c r="R56" s="22">
        <v>0</v>
      </c>
      <c r="S56" s="22">
        <v>0</v>
      </c>
      <c r="T56" s="22">
        <v>100</v>
      </c>
      <c r="U56" s="22">
        <v>100</v>
      </c>
      <c r="V56" s="22">
        <v>100</v>
      </c>
      <c r="W56" s="22">
        <v>96.469083629899998</v>
      </c>
      <c r="X56" s="22">
        <v>0</v>
      </c>
      <c r="Y56" s="22">
        <v>100</v>
      </c>
      <c r="Z56" s="22">
        <v>52.755021141599997</v>
      </c>
      <c r="AA56" s="22">
        <v>91.003113878999997</v>
      </c>
      <c r="AB56" s="22">
        <v>0</v>
      </c>
      <c r="AC56" s="22">
        <v>0</v>
      </c>
      <c r="AD56" s="22">
        <v>0</v>
      </c>
      <c r="AE56" s="22">
        <v>0</v>
      </c>
      <c r="AF56" s="22">
        <v>0</v>
      </c>
      <c r="AG56" s="22">
        <v>50</v>
      </c>
      <c r="AH56" s="22">
        <v>57.759661835700001</v>
      </c>
      <c r="AI56" s="22">
        <v>100</v>
      </c>
      <c r="AJ56" s="43">
        <v>100</v>
      </c>
      <c r="AK56" s="22">
        <v>0</v>
      </c>
      <c r="AL56" s="22">
        <v>0</v>
      </c>
      <c r="AM56" s="22">
        <v>0</v>
      </c>
      <c r="AN56" s="22">
        <v>0</v>
      </c>
      <c r="AO56" s="75" t="str">
        <f>VLOOKUP(A56,'Overall scores and ranking'!$A$3:$D$71,4,FALSE)</f>
        <v>Fair</v>
      </c>
    </row>
    <row r="57" spans="1:41" x14ac:dyDescent="0.25">
      <c r="A57" s="19" t="s">
        <v>1115</v>
      </c>
      <c r="B57" s="22">
        <v>100</v>
      </c>
      <c r="C57" s="22">
        <v>95</v>
      </c>
      <c r="D57" s="22">
        <v>100</v>
      </c>
      <c r="E57" s="22">
        <v>100</v>
      </c>
      <c r="F57" s="22">
        <v>100</v>
      </c>
      <c r="G57" s="22">
        <v>100</v>
      </c>
      <c r="H57" s="22">
        <v>100</v>
      </c>
      <c r="I57" s="22">
        <v>97.222222222200003</v>
      </c>
      <c r="J57" s="22">
        <v>100</v>
      </c>
      <c r="K57" s="22">
        <v>97.106405092200006</v>
      </c>
      <c r="L57" s="22">
        <v>100</v>
      </c>
      <c r="M57" s="22">
        <v>93.978539001200005</v>
      </c>
      <c r="N57" s="22">
        <v>99.997939333999994</v>
      </c>
      <c r="O57" s="22">
        <v>99.989696670000001</v>
      </c>
      <c r="P57" s="22">
        <v>92.948400923199998</v>
      </c>
      <c r="Q57" s="22">
        <v>50.024727992099997</v>
      </c>
      <c r="R57" s="22">
        <v>99.940729001500003</v>
      </c>
      <c r="S57" s="22">
        <v>100</v>
      </c>
      <c r="T57" s="22">
        <v>100</v>
      </c>
      <c r="U57" s="22">
        <v>100</v>
      </c>
      <c r="V57" s="22">
        <v>100</v>
      </c>
      <c r="W57" s="22">
        <v>99.991745769700003</v>
      </c>
      <c r="X57" s="22">
        <v>100</v>
      </c>
      <c r="Y57" s="22">
        <v>99.9690900099</v>
      </c>
      <c r="Z57" s="22">
        <v>50.091720376799998</v>
      </c>
      <c r="AA57" s="22">
        <v>98.010730499399997</v>
      </c>
      <c r="AB57" s="22">
        <v>54.8122162608</v>
      </c>
      <c r="AC57" s="22">
        <v>52.797749296699998</v>
      </c>
      <c r="AD57" s="22">
        <v>51.060668592699997</v>
      </c>
      <c r="AE57" s="22">
        <v>52.7011399306</v>
      </c>
      <c r="AF57" s="22">
        <v>52.180736824699999</v>
      </c>
      <c r="AG57" s="22">
        <v>50.747563191799998</v>
      </c>
      <c r="AH57" s="22">
        <v>63.7117472853</v>
      </c>
      <c r="AI57" s="22">
        <v>81.114321089599997</v>
      </c>
      <c r="AJ57" s="43">
        <v>95.666529096199994</v>
      </c>
      <c r="AK57" s="22">
        <v>65.920367154600001</v>
      </c>
      <c r="AL57" s="22">
        <v>51.366075113500003</v>
      </c>
      <c r="AM57" s="22">
        <v>51.060668592699997</v>
      </c>
      <c r="AN57" s="22">
        <v>77.4061081304</v>
      </c>
      <c r="AO57" s="75" t="str">
        <f>VLOOKUP(A57,'Overall scores and ranking'!$A$3:$D$71,4,FALSE)</f>
        <v>Very good</v>
      </c>
    </row>
    <row r="58" spans="1:41" x14ac:dyDescent="0.25">
      <c r="A58" s="19" t="s">
        <v>1197</v>
      </c>
      <c r="B58" s="22">
        <v>66.66</v>
      </c>
      <c r="C58" s="22">
        <v>50</v>
      </c>
      <c r="D58" s="22">
        <v>33.33</v>
      </c>
      <c r="E58" s="22">
        <v>100</v>
      </c>
      <c r="F58" s="22">
        <v>100</v>
      </c>
      <c r="G58" s="22">
        <v>50</v>
      </c>
      <c r="H58" s="22">
        <v>50</v>
      </c>
      <c r="I58" s="22">
        <v>50</v>
      </c>
      <c r="J58" s="22">
        <v>100</v>
      </c>
      <c r="K58" s="22">
        <v>33.33</v>
      </c>
      <c r="L58" s="22">
        <v>0</v>
      </c>
      <c r="M58" s="22">
        <v>95</v>
      </c>
      <c r="N58" s="22">
        <v>95</v>
      </c>
      <c r="O58" s="22">
        <v>94.991685144100003</v>
      </c>
      <c r="P58" s="22">
        <v>82.569290465600005</v>
      </c>
      <c r="Q58" s="22">
        <v>72.5</v>
      </c>
      <c r="R58" s="22">
        <v>95</v>
      </c>
      <c r="S58" s="22">
        <v>95</v>
      </c>
      <c r="T58" s="22">
        <v>95</v>
      </c>
      <c r="U58" s="22">
        <v>95</v>
      </c>
      <c r="V58" s="22">
        <v>95</v>
      </c>
      <c r="W58" s="22">
        <v>95</v>
      </c>
      <c r="X58" s="22">
        <v>95</v>
      </c>
      <c r="Y58" s="22">
        <v>95</v>
      </c>
      <c r="Z58" s="22">
        <v>0</v>
      </c>
      <c r="AA58" s="22">
        <v>95</v>
      </c>
      <c r="AB58" s="22">
        <v>0</v>
      </c>
      <c r="AC58" s="22">
        <v>0</v>
      </c>
      <c r="AD58" s="22">
        <v>50</v>
      </c>
      <c r="AE58" s="22">
        <v>0</v>
      </c>
      <c r="AF58" s="22">
        <v>50</v>
      </c>
      <c r="AG58" s="22">
        <v>50</v>
      </c>
      <c r="AH58" s="22">
        <v>0</v>
      </c>
      <c r="AI58" s="22">
        <v>79.185144124199994</v>
      </c>
      <c r="AJ58" s="43">
        <v>95</v>
      </c>
      <c r="AK58" s="22">
        <v>0</v>
      </c>
      <c r="AL58" s="22">
        <v>0</v>
      </c>
      <c r="AM58" s="22">
        <v>0</v>
      </c>
      <c r="AN58" s="22">
        <v>72.5</v>
      </c>
      <c r="AO58" s="75" t="str">
        <f>VLOOKUP(A58,'Overall scores and ranking'!$A$3:$D$71,4,FALSE)</f>
        <v>Fair</v>
      </c>
    </row>
    <row r="59" spans="1:41" x14ac:dyDescent="0.25">
      <c r="A59" s="19" t="s">
        <v>2666</v>
      </c>
      <c r="B59" s="22">
        <v>66.66</v>
      </c>
      <c r="C59" s="22">
        <v>31</v>
      </c>
      <c r="D59" s="22">
        <v>0</v>
      </c>
      <c r="E59" s="22">
        <v>50</v>
      </c>
      <c r="F59" s="22">
        <v>50</v>
      </c>
      <c r="G59" s="22">
        <v>50</v>
      </c>
      <c r="H59" s="22">
        <v>50</v>
      </c>
      <c r="I59" s="22">
        <v>0</v>
      </c>
      <c r="J59" s="22">
        <v>16.664999999999999</v>
      </c>
      <c r="K59" s="22">
        <v>0</v>
      </c>
      <c r="L59" s="22">
        <v>50</v>
      </c>
      <c r="M59" s="22">
        <v>0</v>
      </c>
      <c r="N59" s="22">
        <v>100</v>
      </c>
      <c r="O59" s="22">
        <v>75</v>
      </c>
      <c r="P59" s="22">
        <v>100</v>
      </c>
      <c r="Q59" s="22">
        <v>0</v>
      </c>
      <c r="R59" s="22">
        <v>100</v>
      </c>
      <c r="S59" s="22">
        <v>0</v>
      </c>
      <c r="T59" s="22">
        <v>0</v>
      </c>
      <c r="U59" s="22">
        <v>0</v>
      </c>
      <c r="V59" s="22">
        <v>75</v>
      </c>
      <c r="W59" s="22">
        <v>0</v>
      </c>
      <c r="X59" s="22">
        <v>0</v>
      </c>
      <c r="Y59" s="22">
        <v>90.688259109300006</v>
      </c>
      <c r="Z59" s="22">
        <v>0</v>
      </c>
      <c r="AA59" s="22">
        <v>100</v>
      </c>
      <c r="AB59" s="22">
        <v>0</v>
      </c>
      <c r="AC59" s="22">
        <v>0</v>
      </c>
      <c r="AD59" s="22">
        <v>0</v>
      </c>
      <c r="AE59" s="22">
        <v>0</v>
      </c>
      <c r="AF59" s="22">
        <v>50</v>
      </c>
      <c r="AG59" s="22">
        <v>50</v>
      </c>
      <c r="AH59" s="22">
        <v>0</v>
      </c>
      <c r="AI59" s="22">
        <v>100</v>
      </c>
      <c r="AJ59" s="43">
        <v>100</v>
      </c>
      <c r="AK59" s="22">
        <v>0</v>
      </c>
      <c r="AL59" s="22">
        <v>0</v>
      </c>
      <c r="AM59" s="22">
        <v>0</v>
      </c>
      <c r="AN59" s="22">
        <v>0</v>
      </c>
      <c r="AO59" s="75" t="str">
        <f>VLOOKUP(A59,'Overall scores and ranking'!$A$3:$D$71,4,FALSE)</f>
        <v>Poor</v>
      </c>
    </row>
    <row r="60" spans="1:41" x14ac:dyDescent="0.25">
      <c r="A60" s="19" t="s">
        <v>2625</v>
      </c>
      <c r="B60" s="22">
        <v>66.66</v>
      </c>
      <c r="C60" s="22">
        <v>75</v>
      </c>
      <c r="D60" s="22">
        <v>100</v>
      </c>
      <c r="E60" s="22">
        <v>100</v>
      </c>
      <c r="F60" s="22">
        <v>100</v>
      </c>
      <c r="G60" s="22">
        <v>100</v>
      </c>
      <c r="H60" s="22">
        <v>100</v>
      </c>
      <c r="I60" s="22">
        <v>95.454545454500007</v>
      </c>
      <c r="J60" s="22">
        <v>66.666666666699996</v>
      </c>
      <c r="K60" s="22">
        <v>100</v>
      </c>
      <c r="L60" s="22">
        <v>100</v>
      </c>
      <c r="M60" s="22">
        <v>100</v>
      </c>
      <c r="N60" s="22">
        <v>100</v>
      </c>
      <c r="O60" s="22">
        <v>100</v>
      </c>
      <c r="P60" s="22">
        <v>99.830890642599996</v>
      </c>
      <c r="Q60" s="22">
        <v>100</v>
      </c>
      <c r="R60" s="22">
        <v>100</v>
      </c>
      <c r="S60" s="22">
        <v>100</v>
      </c>
      <c r="T60" s="22">
        <v>100</v>
      </c>
      <c r="U60" s="22">
        <v>100</v>
      </c>
      <c r="V60" s="22">
        <v>50</v>
      </c>
      <c r="W60" s="22">
        <v>50</v>
      </c>
      <c r="X60" s="22">
        <v>50</v>
      </c>
      <c r="Y60" s="22">
        <v>99.978317432799997</v>
      </c>
      <c r="Z60" s="22">
        <v>51.4030612245</v>
      </c>
      <c r="AA60" s="22">
        <v>50</v>
      </c>
      <c r="AB60" s="22">
        <v>100</v>
      </c>
      <c r="AC60" s="22">
        <v>58.333333333299997</v>
      </c>
      <c r="AD60" s="22">
        <v>100</v>
      </c>
      <c r="AE60" s="22">
        <v>100</v>
      </c>
      <c r="AF60" s="22">
        <v>50</v>
      </c>
      <c r="AG60" s="22">
        <v>50</v>
      </c>
      <c r="AH60" s="22">
        <v>72.222222222200003</v>
      </c>
      <c r="AI60" s="22">
        <v>100</v>
      </c>
      <c r="AJ60" s="43">
        <v>100</v>
      </c>
      <c r="AK60" s="22">
        <v>100</v>
      </c>
      <c r="AL60" s="22">
        <v>82.351532567000007</v>
      </c>
      <c r="AM60" s="22">
        <v>91.666666666699996</v>
      </c>
      <c r="AN60" s="22">
        <v>100</v>
      </c>
      <c r="AO60" s="75" t="str">
        <f>VLOOKUP(A60,'Overall scores and ranking'!$A$3:$D$71,4,FALSE)</f>
        <v>Very good</v>
      </c>
    </row>
    <row r="61" spans="1:41" x14ac:dyDescent="0.25">
      <c r="A61" s="19" t="s">
        <v>2054</v>
      </c>
      <c r="B61" s="22">
        <v>66.66</v>
      </c>
      <c r="C61" s="22">
        <v>31</v>
      </c>
      <c r="D61" s="22">
        <v>0</v>
      </c>
      <c r="E61" s="22">
        <v>50</v>
      </c>
      <c r="F61" s="22">
        <v>50</v>
      </c>
      <c r="G61" s="22">
        <v>50</v>
      </c>
      <c r="H61" s="22">
        <v>50</v>
      </c>
      <c r="I61" s="22">
        <v>0</v>
      </c>
      <c r="J61" s="22">
        <v>5.5549999999999997</v>
      </c>
      <c r="K61" s="22">
        <v>16.664999999999999</v>
      </c>
      <c r="L61" s="22">
        <v>50</v>
      </c>
      <c r="M61" s="22">
        <v>100</v>
      </c>
      <c r="N61" s="22">
        <v>100</v>
      </c>
      <c r="O61" s="22">
        <v>91.257465162599999</v>
      </c>
      <c r="P61" s="22">
        <v>95.728268082300005</v>
      </c>
      <c r="Q61" s="22">
        <v>100</v>
      </c>
      <c r="R61" s="22">
        <v>0</v>
      </c>
      <c r="S61" s="22">
        <v>100</v>
      </c>
      <c r="T61" s="22">
        <v>100</v>
      </c>
      <c r="U61" s="22">
        <v>100</v>
      </c>
      <c r="V61" s="22">
        <v>100</v>
      </c>
      <c r="W61" s="22">
        <v>100</v>
      </c>
      <c r="X61" s="22">
        <v>100</v>
      </c>
      <c r="Y61" s="22">
        <v>100</v>
      </c>
      <c r="Z61" s="22">
        <v>0</v>
      </c>
      <c r="AA61" s="22">
        <v>100</v>
      </c>
      <c r="AB61" s="22">
        <v>50</v>
      </c>
      <c r="AC61" s="22">
        <v>0</v>
      </c>
      <c r="AD61" s="22">
        <v>0</v>
      </c>
      <c r="AE61" s="22">
        <v>0</v>
      </c>
      <c r="AF61" s="22">
        <v>0</v>
      </c>
      <c r="AG61" s="22">
        <v>50</v>
      </c>
      <c r="AH61" s="22">
        <v>75</v>
      </c>
      <c r="AI61" s="22">
        <v>0</v>
      </c>
      <c r="AJ61" s="43">
        <v>0</v>
      </c>
      <c r="AK61" s="22">
        <v>75</v>
      </c>
      <c r="AL61" s="22">
        <v>0</v>
      </c>
      <c r="AM61" s="22">
        <v>0</v>
      </c>
      <c r="AN61" s="22">
        <v>0</v>
      </c>
      <c r="AO61" s="75" t="str">
        <f>VLOOKUP(A61,'Overall scores and ranking'!$A$3:$D$71,4,FALSE)</f>
        <v>Fair</v>
      </c>
    </row>
    <row r="62" spans="1:41" x14ac:dyDescent="0.25">
      <c r="A62" s="19" t="s">
        <v>1400</v>
      </c>
      <c r="B62" s="22">
        <v>66.66</v>
      </c>
      <c r="C62" s="22">
        <v>31</v>
      </c>
      <c r="D62" s="22">
        <v>66.66</v>
      </c>
      <c r="E62" s="22">
        <v>50</v>
      </c>
      <c r="F62" s="22">
        <v>50</v>
      </c>
      <c r="G62" s="22">
        <v>50</v>
      </c>
      <c r="H62" s="22">
        <v>50</v>
      </c>
      <c r="I62" s="22">
        <v>50</v>
      </c>
      <c r="J62" s="22">
        <v>5.5549999999999997</v>
      </c>
      <c r="K62" s="22">
        <v>0</v>
      </c>
      <c r="L62" s="22">
        <v>50</v>
      </c>
      <c r="M62" s="22">
        <v>100</v>
      </c>
      <c r="N62" s="22">
        <v>100</v>
      </c>
      <c r="O62" s="22">
        <v>100</v>
      </c>
      <c r="P62" s="22">
        <v>75</v>
      </c>
      <c r="Q62" s="22">
        <v>0</v>
      </c>
      <c r="R62" s="22">
        <v>100</v>
      </c>
      <c r="S62" s="22">
        <v>0</v>
      </c>
      <c r="T62" s="22">
        <v>100</v>
      </c>
      <c r="U62" s="22">
        <v>0</v>
      </c>
      <c r="V62" s="22">
        <v>75</v>
      </c>
      <c r="W62" s="22">
        <v>50</v>
      </c>
      <c r="X62" s="22">
        <v>50</v>
      </c>
      <c r="Y62" s="22">
        <v>86.368421052599999</v>
      </c>
      <c r="Z62" s="22">
        <v>0</v>
      </c>
      <c r="AA62" s="22">
        <v>100</v>
      </c>
      <c r="AB62" s="22">
        <v>0</v>
      </c>
      <c r="AC62" s="22">
        <v>0</v>
      </c>
      <c r="AD62" s="22">
        <v>0</v>
      </c>
      <c r="AE62" s="22">
        <v>0</v>
      </c>
      <c r="AF62" s="22">
        <v>50</v>
      </c>
      <c r="AG62" s="22">
        <v>50</v>
      </c>
      <c r="AH62" s="22">
        <v>0</v>
      </c>
      <c r="AI62" s="22">
        <v>100</v>
      </c>
      <c r="AJ62" s="43">
        <v>100</v>
      </c>
      <c r="AK62" s="22">
        <v>0</v>
      </c>
      <c r="AL62" s="22">
        <v>0</v>
      </c>
      <c r="AM62" s="22">
        <v>0</v>
      </c>
      <c r="AN62" s="22">
        <v>0</v>
      </c>
      <c r="AO62" s="75" t="str">
        <f>VLOOKUP(A62,'Overall scores and ranking'!$A$3:$D$71,4,FALSE)</f>
        <v>Poor</v>
      </c>
    </row>
    <row r="63" spans="1:41" x14ac:dyDescent="0.25">
      <c r="A63" s="19" t="s">
        <v>2584</v>
      </c>
      <c r="B63" s="22">
        <v>66.66</v>
      </c>
      <c r="C63" s="22">
        <v>31</v>
      </c>
      <c r="D63" s="22">
        <v>66.66</v>
      </c>
      <c r="E63" s="22">
        <v>50</v>
      </c>
      <c r="F63" s="22">
        <v>50</v>
      </c>
      <c r="G63" s="22">
        <v>50</v>
      </c>
      <c r="H63" s="22">
        <v>50</v>
      </c>
      <c r="I63" s="22">
        <v>0</v>
      </c>
      <c r="J63" s="22">
        <v>5.5549999999999997</v>
      </c>
      <c r="K63" s="22">
        <v>66.666666666699996</v>
      </c>
      <c r="L63" s="22">
        <v>50</v>
      </c>
      <c r="M63" s="22">
        <v>50</v>
      </c>
      <c r="N63" s="22">
        <v>50</v>
      </c>
      <c r="O63" s="22">
        <v>50</v>
      </c>
      <c r="P63" s="22">
        <v>50</v>
      </c>
      <c r="Q63" s="22">
        <v>50</v>
      </c>
      <c r="R63" s="22">
        <v>0</v>
      </c>
      <c r="S63" s="22">
        <v>50</v>
      </c>
      <c r="T63" s="22">
        <v>50</v>
      </c>
      <c r="U63" s="22">
        <v>50</v>
      </c>
      <c r="V63" s="22">
        <v>50</v>
      </c>
      <c r="W63" s="22">
        <v>50</v>
      </c>
      <c r="X63" s="22">
        <v>50</v>
      </c>
      <c r="Y63" s="22">
        <v>50</v>
      </c>
      <c r="Z63" s="22">
        <v>50</v>
      </c>
      <c r="AA63" s="22">
        <v>50</v>
      </c>
      <c r="AB63" s="22">
        <v>0</v>
      </c>
      <c r="AC63" s="22">
        <v>0</v>
      </c>
      <c r="AD63" s="22">
        <v>50</v>
      </c>
      <c r="AE63" s="22">
        <v>0</v>
      </c>
      <c r="AF63" s="22">
        <v>50</v>
      </c>
      <c r="AG63" s="22">
        <v>50</v>
      </c>
      <c r="AH63" s="22">
        <v>0</v>
      </c>
      <c r="AI63" s="22">
        <v>50</v>
      </c>
      <c r="AJ63" s="43">
        <v>0</v>
      </c>
      <c r="AK63" s="22">
        <v>0</v>
      </c>
      <c r="AL63" s="22">
        <v>0</v>
      </c>
      <c r="AM63" s="22">
        <v>0</v>
      </c>
      <c r="AN63" s="22">
        <v>50</v>
      </c>
      <c r="AO63" s="75" t="str">
        <f>VLOOKUP(A63,'Overall scores and ranking'!$A$3:$D$71,4,FALSE)</f>
        <v>Poor</v>
      </c>
    </row>
    <row r="64" spans="1:41" x14ac:dyDescent="0.25">
      <c r="A64" s="19" t="s">
        <v>1278</v>
      </c>
      <c r="B64" s="22">
        <v>66.66</v>
      </c>
      <c r="C64" s="22">
        <v>31</v>
      </c>
      <c r="D64" s="22">
        <v>66.66</v>
      </c>
      <c r="E64" s="22">
        <v>50</v>
      </c>
      <c r="F64" s="22">
        <v>50</v>
      </c>
      <c r="G64" s="22">
        <v>50</v>
      </c>
      <c r="H64" s="22">
        <v>50</v>
      </c>
      <c r="I64" s="22">
        <v>0</v>
      </c>
      <c r="J64" s="22">
        <v>5.5549999999999997</v>
      </c>
      <c r="K64" s="22">
        <v>0</v>
      </c>
      <c r="L64" s="22">
        <v>50</v>
      </c>
      <c r="M64" s="22">
        <v>99.791470864700003</v>
      </c>
      <c r="N64" s="22">
        <v>100</v>
      </c>
      <c r="O64" s="22">
        <v>98.561589520699997</v>
      </c>
      <c r="P64" s="22">
        <v>78.857789003799994</v>
      </c>
      <c r="Q64" s="22">
        <v>50</v>
      </c>
      <c r="R64" s="22">
        <v>99.921434445499997</v>
      </c>
      <c r="S64" s="22">
        <v>0</v>
      </c>
      <c r="T64" s="22">
        <v>100</v>
      </c>
      <c r="U64" s="22">
        <v>0</v>
      </c>
      <c r="V64" s="22">
        <v>75</v>
      </c>
      <c r="W64" s="22">
        <v>50</v>
      </c>
      <c r="X64" s="22">
        <v>50</v>
      </c>
      <c r="Y64" s="22">
        <v>97.399994125899994</v>
      </c>
      <c r="Z64" s="22">
        <v>33.33</v>
      </c>
      <c r="AA64" s="22">
        <v>100</v>
      </c>
      <c r="AB64" s="22">
        <v>0</v>
      </c>
      <c r="AC64" s="22">
        <v>50</v>
      </c>
      <c r="AD64" s="22">
        <v>0</v>
      </c>
      <c r="AE64" s="22">
        <v>0</v>
      </c>
      <c r="AF64" s="22">
        <v>50</v>
      </c>
      <c r="AG64" s="22">
        <v>50</v>
      </c>
      <c r="AH64" s="22">
        <v>0</v>
      </c>
      <c r="AI64" s="22">
        <v>100</v>
      </c>
      <c r="AJ64" s="43">
        <v>100</v>
      </c>
      <c r="AK64" s="22">
        <v>0</v>
      </c>
      <c r="AL64" s="22">
        <v>0</v>
      </c>
      <c r="AM64" s="22">
        <v>0</v>
      </c>
      <c r="AN64" s="22">
        <v>0</v>
      </c>
      <c r="AO64" s="75" t="str">
        <f>VLOOKUP(A64,'Overall scores and ranking'!$A$3:$D$71,4,FALSE)</f>
        <v>Fair</v>
      </c>
    </row>
    <row r="65" spans="1:41" x14ac:dyDescent="0.25">
      <c r="A65" s="19" t="s">
        <v>2543</v>
      </c>
      <c r="B65" s="22">
        <v>100</v>
      </c>
      <c r="C65" s="22">
        <v>88</v>
      </c>
      <c r="D65" s="22">
        <v>100</v>
      </c>
      <c r="E65" s="22">
        <v>100</v>
      </c>
      <c r="F65" s="22">
        <v>100</v>
      </c>
      <c r="G65" s="22">
        <v>100</v>
      </c>
      <c r="H65" s="22">
        <v>100</v>
      </c>
      <c r="I65" s="22">
        <v>100</v>
      </c>
      <c r="J65" s="22">
        <v>66.666666666699996</v>
      </c>
      <c r="K65" s="22">
        <v>66.666666666699996</v>
      </c>
      <c r="L65" s="22">
        <v>100</v>
      </c>
      <c r="M65" s="22">
        <v>92.428326390600006</v>
      </c>
      <c r="N65" s="22">
        <v>100</v>
      </c>
      <c r="O65" s="22">
        <v>99.924887330999994</v>
      </c>
      <c r="P65" s="22">
        <v>99.421487603299994</v>
      </c>
      <c r="Q65" s="22">
        <v>99.991654147899993</v>
      </c>
      <c r="R65" s="22">
        <v>100</v>
      </c>
      <c r="S65" s="22">
        <v>100</v>
      </c>
      <c r="T65" s="22">
        <v>100</v>
      </c>
      <c r="U65" s="22">
        <v>99.901984807600002</v>
      </c>
      <c r="V65" s="22">
        <v>100</v>
      </c>
      <c r="W65" s="22">
        <v>100</v>
      </c>
      <c r="X65" s="22">
        <v>93.849546679699998</v>
      </c>
      <c r="Y65" s="22">
        <v>99.868295019200005</v>
      </c>
      <c r="Z65" s="22">
        <v>57.138744962600001</v>
      </c>
      <c r="AA65" s="22">
        <v>100</v>
      </c>
      <c r="AB65" s="22">
        <v>52.533103051200001</v>
      </c>
      <c r="AC65" s="22">
        <v>76.478149100300001</v>
      </c>
      <c r="AD65" s="22">
        <v>88.198042602200005</v>
      </c>
      <c r="AE65" s="22">
        <v>79.965457685700002</v>
      </c>
      <c r="AF65" s="22">
        <v>57.426597581999999</v>
      </c>
      <c r="AG65" s="22">
        <v>55.872193437</v>
      </c>
      <c r="AH65" s="22">
        <v>86.318861729299996</v>
      </c>
      <c r="AI65" s="22">
        <v>98.149963244299997</v>
      </c>
      <c r="AJ65" s="43">
        <v>91.252144082300006</v>
      </c>
      <c r="AK65" s="22">
        <v>96.647248388700007</v>
      </c>
      <c r="AL65" s="22">
        <v>69.070236039099996</v>
      </c>
      <c r="AM65" s="22">
        <v>82.930339666099997</v>
      </c>
      <c r="AN65" s="22">
        <v>90.428900403</v>
      </c>
      <c r="AO65" s="75" t="str">
        <f>VLOOKUP(A65,'Overall scores and ranking'!$A$3:$D$71,4,FALSE)</f>
        <v>Very good</v>
      </c>
    </row>
    <row r="66" spans="1:41" x14ac:dyDescent="0.25">
      <c r="A66" s="19" t="s">
        <v>1359</v>
      </c>
      <c r="B66" s="22">
        <v>100</v>
      </c>
      <c r="C66" s="22">
        <v>63</v>
      </c>
      <c r="D66" s="22">
        <v>0</v>
      </c>
      <c r="E66" s="22">
        <v>50</v>
      </c>
      <c r="F66" s="22">
        <v>50</v>
      </c>
      <c r="G66" s="22">
        <v>0</v>
      </c>
      <c r="H66" s="22">
        <v>50</v>
      </c>
      <c r="I66" s="22">
        <v>50</v>
      </c>
      <c r="J66" s="22">
        <v>5.5549999999999997</v>
      </c>
      <c r="K66" s="22">
        <v>0</v>
      </c>
      <c r="L66" s="22">
        <v>50</v>
      </c>
      <c r="M66" s="22">
        <v>0</v>
      </c>
      <c r="N66" s="22">
        <v>95</v>
      </c>
      <c r="O66" s="22">
        <v>94.772684752100005</v>
      </c>
      <c r="P66" s="22">
        <v>92.305893358299997</v>
      </c>
      <c r="Q66" s="22">
        <v>72.5</v>
      </c>
      <c r="R66" s="22">
        <v>95</v>
      </c>
      <c r="S66" s="22">
        <v>95</v>
      </c>
      <c r="T66" s="22">
        <v>0</v>
      </c>
      <c r="U66" s="22">
        <v>50</v>
      </c>
      <c r="V66" s="22">
        <v>94.991580916700002</v>
      </c>
      <c r="W66" s="22">
        <v>89.531805425599998</v>
      </c>
      <c r="X66" s="22">
        <v>80.708606173999996</v>
      </c>
      <c r="Y66" s="22">
        <v>85.221234798899999</v>
      </c>
      <c r="Z66" s="22">
        <v>0</v>
      </c>
      <c r="AA66" s="22">
        <v>50</v>
      </c>
      <c r="AB66" s="22">
        <v>0</v>
      </c>
      <c r="AC66" s="22">
        <v>50</v>
      </c>
      <c r="AD66" s="22">
        <v>0</v>
      </c>
      <c r="AE66" s="22">
        <v>0</v>
      </c>
      <c r="AF66" s="22">
        <v>0</v>
      </c>
      <c r="AG66" s="22">
        <v>0</v>
      </c>
      <c r="AH66" s="22">
        <v>0</v>
      </c>
      <c r="AI66" s="22">
        <v>50</v>
      </c>
      <c r="AJ66" s="43">
        <v>95</v>
      </c>
      <c r="AK66" s="22">
        <v>0</v>
      </c>
      <c r="AL66" s="22">
        <v>0</v>
      </c>
      <c r="AM66" s="22">
        <v>0</v>
      </c>
      <c r="AN66" s="22">
        <v>0</v>
      </c>
      <c r="AO66" s="75" t="str">
        <f>VLOOKUP(A66,'Overall scores and ranking'!$A$3:$D$71,4,FALSE)</f>
        <v>Poor</v>
      </c>
    </row>
    <row r="67" spans="1:41" x14ac:dyDescent="0.25">
      <c r="A67" s="19" t="s">
        <v>2176</v>
      </c>
      <c r="B67" s="22">
        <v>100</v>
      </c>
      <c r="C67" s="22">
        <v>0</v>
      </c>
      <c r="D67" s="22">
        <v>0</v>
      </c>
      <c r="E67" s="22">
        <v>50</v>
      </c>
      <c r="F67" s="22">
        <v>50</v>
      </c>
      <c r="G67" s="22">
        <v>0</v>
      </c>
      <c r="H67" s="22">
        <v>50</v>
      </c>
      <c r="I67" s="22">
        <v>0</v>
      </c>
      <c r="J67" s="22">
        <v>11.11</v>
      </c>
      <c r="K67" s="22">
        <v>0</v>
      </c>
      <c r="L67" s="22">
        <v>50</v>
      </c>
      <c r="M67" s="22">
        <v>0</v>
      </c>
      <c r="N67" s="22">
        <v>0</v>
      </c>
      <c r="O67" s="22">
        <v>0</v>
      </c>
      <c r="P67" s="22">
        <v>0</v>
      </c>
      <c r="Q67" s="22">
        <v>0</v>
      </c>
      <c r="R67" s="22">
        <v>0</v>
      </c>
      <c r="S67" s="22">
        <v>0</v>
      </c>
      <c r="T67" s="22">
        <v>0</v>
      </c>
      <c r="U67" s="22">
        <v>0</v>
      </c>
      <c r="V67" s="22">
        <v>0</v>
      </c>
      <c r="W67" s="22">
        <v>0</v>
      </c>
      <c r="X67" s="22">
        <v>0</v>
      </c>
      <c r="Y67" s="22">
        <v>0</v>
      </c>
      <c r="Z67" s="22">
        <v>0</v>
      </c>
      <c r="AA67" s="22">
        <v>0</v>
      </c>
      <c r="AB67" s="22">
        <v>0</v>
      </c>
      <c r="AC67" s="22">
        <v>0</v>
      </c>
      <c r="AD67" s="22">
        <v>0</v>
      </c>
      <c r="AE67" s="22">
        <v>0</v>
      </c>
      <c r="AF67" s="22">
        <v>0</v>
      </c>
      <c r="AG67" s="22">
        <v>0</v>
      </c>
      <c r="AH67" s="22">
        <v>0</v>
      </c>
      <c r="AI67" s="22">
        <v>0</v>
      </c>
      <c r="AJ67" s="43">
        <v>0</v>
      </c>
      <c r="AK67" s="22">
        <v>0</v>
      </c>
      <c r="AL67" s="22">
        <v>0</v>
      </c>
      <c r="AM67" s="22">
        <v>0</v>
      </c>
      <c r="AN67" s="22">
        <v>0</v>
      </c>
      <c r="AO67" s="75" t="str">
        <f>VLOOKUP(A67,'Overall scores and ranking'!$A$3:$D$71,4,FALSE)</f>
        <v>Very Poor</v>
      </c>
    </row>
    <row r="68" spans="1:41" x14ac:dyDescent="0.25">
      <c r="A68" s="19" t="s">
        <v>1032</v>
      </c>
      <c r="B68" s="22">
        <v>0</v>
      </c>
      <c r="C68" s="22">
        <v>32</v>
      </c>
      <c r="D68" s="22">
        <v>66.66</v>
      </c>
      <c r="E68" s="22">
        <v>50</v>
      </c>
      <c r="F68" s="22">
        <v>50</v>
      </c>
      <c r="G68" s="22">
        <v>50</v>
      </c>
      <c r="H68" s="22">
        <v>50</v>
      </c>
      <c r="I68" s="22">
        <v>50</v>
      </c>
      <c r="J68" s="22">
        <v>22.22</v>
      </c>
      <c r="K68" s="22">
        <v>22.22</v>
      </c>
      <c r="L68" s="22">
        <v>50</v>
      </c>
      <c r="M68" s="22">
        <v>100</v>
      </c>
      <c r="N68" s="22">
        <v>100</v>
      </c>
      <c r="O68" s="22">
        <v>99.886745579399999</v>
      </c>
      <c r="P68" s="22">
        <v>95.685371912899996</v>
      </c>
      <c r="Q68" s="22">
        <v>97.577816747</v>
      </c>
      <c r="R68" s="22">
        <v>0</v>
      </c>
      <c r="S68" s="22">
        <v>0</v>
      </c>
      <c r="T68" s="22">
        <v>0</v>
      </c>
      <c r="U68" s="22">
        <v>33.33</v>
      </c>
      <c r="V68" s="22">
        <v>0</v>
      </c>
      <c r="W68" s="22">
        <v>50</v>
      </c>
      <c r="X68" s="22">
        <v>75.003653368399995</v>
      </c>
      <c r="Y68" s="22">
        <v>100</v>
      </c>
      <c r="Z68" s="22">
        <v>16.664999999999999</v>
      </c>
      <c r="AA68" s="22">
        <v>0</v>
      </c>
      <c r="AB68" s="22">
        <v>50</v>
      </c>
      <c r="AC68" s="22">
        <v>50</v>
      </c>
      <c r="AD68" s="22">
        <v>94.841443811199994</v>
      </c>
      <c r="AE68" s="22">
        <v>50</v>
      </c>
      <c r="AF68" s="22">
        <v>0</v>
      </c>
      <c r="AG68" s="22">
        <v>50</v>
      </c>
      <c r="AH68" s="22">
        <v>59.400116907799998</v>
      </c>
      <c r="AI68" s="22">
        <v>61.873447318399997</v>
      </c>
      <c r="AJ68" s="43">
        <v>66.637439719400007</v>
      </c>
      <c r="AK68" s="22">
        <v>0</v>
      </c>
      <c r="AL68" s="22">
        <v>0</v>
      </c>
      <c r="AM68" s="22">
        <v>50</v>
      </c>
      <c r="AN68" s="22">
        <v>0</v>
      </c>
      <c r="AO68" s="75" t="str">
        <f>VLOOKUP(A68,'Overall scores and ranking'!$A$3:$D$71,4,FALSE)</f>
        <v>Fair</v>
      </c>
    </row>
    <row r="69" spans="1:41" x14ac:dyDescent="0.25">
      <c r="A69" s="19" t="s">
        <v>1605</v>
      </c>
      <c r="B69" s="22">
        <v>66.66</v>
      </c>
      <c r="C69" s="22">
        <v>97</v>
      </c>
      <c r="D69" s="22">
        <v>100</v>
      </c>
      <c r="E69" s="22">
        <v>100</v>
      </c>
      <c r="F69" s="22">
        <v>100</v>
      </c>
      <c r="G69" s="22">
        <v>100</v>
      </c>
      <c r="H69" s="22">
        <v>100</v>
      </c>
      <c r="I69" s="22">
        <v>99.675324675300004</v>
      </c>
      <c r="J69" s="22">
        <v>100</v>
      </c>
      <c r="K69" s="22">
        <v>100</v>
      </c>
      <c r="L69" s="22">
        <v>100</v>
      </c>
      <c r="M69" s="22">
        <v>99.671052631600006</v>
      </c>
      <c r="N69" s="22">
        <v>100</v>
      </c>
      <c r="O69" s="22">
        <v>99.575387365899999</v>
      </c>
      <c r="P69" s="22">
        <v>95.801052840699995</v>
      </c>
      <c r="Q69" s="22">
        <v>100</v>
      </c>
      <c r="R69" s="22">
        <v>98.901098901099999</v>
      </c>
      <c r="S69" s="22">
        <v>100</v>
      </c>
      <c r="T69" s="22">
        <v>100</v>
      </c>
      <c r="U69" s="22">
        <v>100</v>
      </c>
      <c r="V69" s="22">
        <v>100</v>
      </c>
      <c r="W69" s="22">
        <v>100</v>
      </c>
      <c r="X69" s="22">
        <v>100</v>
      </c>
      <c r="Y69" s="22">
        <v>100</v>
      </c>
      <c r="Z69" s="22">
        <v>96.736862075499999</v>
      </c>
      <c r="AA69" s="22">
        <v>100</v>
      </c>
      <c r="AB69" s="22">
        <v>92.531676413300005</v>
      </c>
      <c r="AC69" s="22">
        <v>57.142857142899999</v>
      </c>
      <c r="AD69" s="22">
        <v>79.873294346999998</v>
      </c>
      <c r="AE69" s="22">
        <v>81.091617933699993</v>
      </c>
      <c r="AF69" s="22">
        <v>82.151559454199997</v>
      </c>
      <c r="AG69" s="22">
        <v>53.2772904483</v>
      </c>
      <c r="AH69" s="22">
        <v>75</v>
      </c>
      <c r="AI69" s="22">
        <v>99.991616364899997</v>
      </c>
      <c r="AJ69" s="43">
        <v>100</v>
      </c>
      <c r="AK69" s="22">
        <v>66.398390342100001</v>
      </c>
      <c r="AL69" s="22">
        <v>65.277777777799997</v>
      </c>
      <c r="AM69" s="22">
        <v>79.885477582799993</v>
      </c>
      <c r="AN69" s="22">
        <v>89.936647173500006</v>
      </c>
      <c r="AO69" s="75" t="str">
        <f>VLOOKUP(A69,'Overall scores and ranking'!$A$3:$D$71,4,FALSE)</f>
        <v>Very good</v>
      </c>
    </row>
    <row r="70" spans="1:41" x14ac:dyDescent="0.25">
      <c r="A70" s="19" t="s">
        <v>2095</v>
      </c>
      <c r="B70" s="22">
        <v>33.33</v>
      </c>
      <c r="C70" s="22">
        <v>94</v>
      </c>
      <c r="D70" s="22">
        <v>66.66</v>
      </c>
      <c r="E70" s="22">
        <v>50</v>
      </c>
      <c r="F70" s="22">
        <v>50</v>
      </c>
      <c r="G70" s="22">
        <v>50</v>
      </c>
      <c r="H70" s="22">
        <v>50</v>
      </c>
      <c r="I70" s="22">
        <v>50</v>
      </c>
      <c r="J70" s="22">
        <v>100</v>
      </c>
      <c r="K70" s="22">
        <v>100</v>
      </c>
      <c r="L70" s="22">
        <v>51.910828025500003</v>
      </c>
      <c r="M70" s="22">
        <v>0</v>
      </c>
      <c r="N70" s="22">
        <v>95</v>
      </c>
      <c r="O70" s="22">
        <v>94.463381173499997</v>
      </c>
      <c r="P70" s="22">
        <v>92.744301393000001</v>
      </c>
      <c r="Q70" s="22">
        <v>50</v>
      </c>
      <c r="R70" s="22">
        <v>95</v>
      </c>
      <c r="S70" s="22">
        <v>95</v>
      </c>
      <c r="T70" s="22">
        <v>95</v>
      </c>
      <c r="U70" s="22">
        <v>95</v>
      </c>
      <c r="V70" s="22">
        <v>95</v>
      </c>
      <c r="W70" s="22">
        <v>95</v>
      </c>
      <c r="X70" s="22">
        <v>95</v>
      </c>
      <c r="Y70" s="22">
        <v>94.078725200500003</v>
      </c>
      <c r="Z70" s="22">
        <v>95</v>
      </c>
      <c r="AA70" s="22">
        <v>95</v>
      </c>
      <c r="AB70" s="22">
        <v>0</v>
      </c>
      <c r="AC70" s="22">
        <v>50</v>
      </c>
      <c r="AD70" s="22">
        <v>50</v>
      </c>
      <c r="AE70" s="22">
        <v>0</v>
      </c>
      <c r="AF70" s="22">
        <v>50</v>
      </c>
      <c r="AG70" s="22">
        <v>50</v>
      </c>
      <c r="AH70" s="22">
        <v>70.289692148</v>
      </c>
      <c r="AI70" s="22">
        <v>93.280920219500004</v>
      </c>
      <c r="AJ70" s="43">
        <v>95</v>
      </c>
      <c r="AK70" s="22">
        <v>0</v>
      </c>
      <c r="AL70" s="22">
        <v>72.5</v>
      </c>
      <c r="AM70" s="22">
        <v>0</v>
      </c>
      <c r="AN70" s="22">
        <v>72.5</v>
      </c>
      <c r="AO70" s="75" t="str">
        <f>VLOOKUP(A70,'Overall scores and ranking'!$A$3:$D$71,4,FALSE)</f>
        <v>Good</v>
      </c>
    </row>
    <row r="71" spans="1:41" x14ac:dyDescent="0.25">
      <c r="A71" s="19" t="s">
        <v>2707</v>
      </c>
      <c r="B71" s="22">
        <v>33.33</v>
      </c>
      <c r="C71" s="22">
        <v>89</v>
      </c>
      <c r="D71" s="22">
        <v>100</v>
      </c>
      <c r="E71" s="22">
        <v>100</v>
      </c>
      <c r="F71" s="22">
        <v>100</v>
      </c>
      <c r="G71" s="22">
        <v>100</v>
      </c>
      <c r="H71" s="22">
        <v>100</v>
      </c>
      <c r="I71" s="22">
        <v>100</v>
      </c>
      <c r="J71" s="22">
        <v>66.666666666699996</v>
      </c>
      <c r="K71" s="22">
        <v>56.390114961000002</v>
      </c>
      <c r="L71" s="22">
        <v>100</v>
      </c>
      <c r="M71" s="22">
        <v>95</v>
      </c>
      <c r="N71" s="22">
        <v>95</v>
      </c>
      <c r="O71" s="22">
        <v>94.408431550299994</v>
      </c>
      <c r="P71" s="22">
        <v>94.877606527699996</v>
      </c>
      <c r="Q71" s="22">
        <v>95</v>
      </c>
      <c r="R71" s="22">
        <v>95</v>
      </c>
      <c r="S71" s="22">
        <v>95</v>
      </c>
      <c r="T71" s="22">
        <v>95</v>
      </c>
      <c r="U71" s="22">
        <v>95</v>
      </c>
      <c r="V71" s="22">
        <v>95</v>
      </c>
      <c r="W71" s="22">
        <v>95</v>
      </c>
      <c r="X71" s="22">
        <v>95</v>
      </c>
      <c r="Y71" s="22">
        <v>94.979601087899994</v>
      </c>
      <c r="Z71" s="22">
        <v>80.802357207599997</v>
      </c>
      <c r="AA71" s="22">
        <v>95</v>
      </c>
      <c r="AB71" s="22">
        <v>87.574796010900002</v>
      </c>
      <c r="AC71" s="22">
        <v>93.548387096799999</v>
      </c>
      <c r="AD71" s="22">
        <v>93.980054397100005</v>
      </c>
      <c r="AE71" s="22">
        <v>93.980054397100005</v>
      </c>
      <c r="AF71" s="22">
        <v>95</v>
      </c>
      <c r="AG71" s="22">
        <v>95</v>
      </c>
      <c r="AH71" s="22">
        <v>16.664999999999999</v>
      </c>
      <c r="AI71" s="22">
        <v>95</v>
      </c>
      <c r="AJ71" s="43">
        <v>89.981867633700006</v>
      </c>
      <c r="AK71" s="22">
        <v>0</v>
      </c>
      <c r="AL71" s="22">
        <v>71.561650045299999</v>
      </c>
      <c r="AM71" s="22">
        <v>88.227561196699995</v>
      </c>
      <c r="AN71" s="22">
        <v>68.787398005399993</v>
      </c>
      <c r="AO71" s="75" t="str">
        <f>VLOOKUP(A71,'Overall scores and ranking'!$A$3:$D$71,4,FALSE)</f>
        <v>Very good</v>
      </c>
    </row>
    <row r="72" spans="1:41" x14ac:dyDescent="0.25">
      <c r="A72" s="19" t="s">
        <v>2503</v>
      </c>
      <c r="B72" s="22">
        <v>66.66</v>
      </c>
      <c r="C72" s="22">
        <v>0</v>
      </c>
      <c r="D72" s="22">
        <v>100</v>
      </c>
      <c r="E72" s="22">
        <v>50</v>
      </c>
      <c r="F72" s="22">
        <v>50</v>
      </c>
      <c r="G72" s="22">
        <v>50</v>
      </c>
      <c r="H72" s="22">
        <v>50</v>
      </c>
      <c r="I72" s="22">
        <v>50</v>
      </c>
      <c r="J72" s="22">
        <v>11.11</v>
      </c>
      <c r="K72" s="22">
        <v>11.11</v>
      </c>
      <c r="L72" s="22">
        <v>50</v>
      </c>
      <c r="M72" s="22">
        <v>50</v>
      </c>
      <c r="N72" s="22">
        <v>50</v>
      </c>
      <c r="O72" s="22">
        <v>50</v>
      </c>
      <c r="P72" s="22">
        <v>33.33</v>
      </c>
      <c r="Q72" s="22">
        <v>0</v>
      </c>
      <c r="R72" s="22">
        <v>0</v>
      </c>
      <c r="S72" s="22">
        <v>50</v>
      </c>
      <c r="T72" s="22">
        <v>33.33</v>
      </c>
      <c r="U72" s="22">
        <v>0</v>
      </c>
      <c r="V72" s="22">
        <v>0</v>
      </c>
      <c r="W72" s="22">
        <v>50</v>
      </c>
      <c r="X72" s="22">
        <v>50</v>
      </c>
      <c r="Y72" s="22">
        <v>50</v>
      </c>
      <c r="Z72" s="22">
        <v>0</v>
      </c>
      <c r="AA72" s="22">
        <v>0</v>
      </c>
      <c r="AB72" s="22">
        <v>0</v>
      </c>
      <c r="AC72" s="22">
        <v>50</v>
      </c>
      <c r="AD72" s="22">
        <v>50</v>
      </c>
      <c r="AE72" s="22">
        <v>0</v>
      </c>
      <c r="AF72" s="22">
        <v>0</v>
      </c>
      <c r="AG72" s="22">
        <v>50</v>
      </c>
      <c r="AH72" s="22">
        <v>50</v>
      </c>
      <c r="AI72" s="22">
        <v>50</v>
      </c>
      <c r="AJ72" s="43">
        <v>0</v>
      </c>
      <c r="AK72" s="22">
        <v>0</v>
      </c>
      <c r="AL72" s="22">
        <v>0</v>
      </c>
      <c r="AM72" s="22">
        <v>50</v>
      </c>
      <c r="AN72" s="22">
        <v>0</v>
      </c>
      <c r="AO72" s="75" t="str">
        <f>VLOOKUP(A72,'Overall scores and ranking'!$A$3:$D$71,4,FALSE)</f>
        <v>Poor</v>
      </c>
    </row>
    <row r="73" spans="1:41" x14ac:dyDescent="0.25">
      <c r="A73" s="19" t="s">
        <v>2989</v>
      </c>
      <c r="B73" s="22">
        <v>33.33</v>
      </c>
      <c r="C73" s="22">
        <v>28</v>
      </c>
      <c r="D73" s="22">
        <v>0</v>
      </c>
      <c r="E73" s="22">
        <v>50</v>
      </c>
      <c r="F73" s="22">
        <v>0</v>
      </c>
      <c r="G73" s="22">
        <v>50</v>
      </c>
      <c r="H73" s="22">
        <v>0</v>
      </c>
      <c r="I73" s="22">
        <v>50</v>
      </c>
      <c r="J73" s="22">
        <v>16.664999999999999</v>
      </c>
      <c r="K73" s="22">
        <v>0</v>
      </c>
      <c r="L73" s="22">
        <v>50</v>
      </c>
      <c r="M73" s="22">
        <v>0</v>
      </c>
      <c r="N73" s="22">
        <v>0</v>
      </c>
      <c r="O73" s="22">
        <v>0</v>
      </c>
      <c r="P73" s="22">
        <v>0</v>
      </c>
      <c r="Q73" s="22">
        <v>0</v>
      </c>
      <c r="R73" s="22">
        <v>0</v>
      </c>
      <c r="S73" s="22">
        <v>0</v>
      </c>
      <c r="T73" s="22">
        <v>33.33</v>
      </c>
      <c r="U73" s="22">
        <v>0</v>
      </c>
      <c r="V73" s="22">
        <v>0</v>
      </c>
      <c r="W73" s="22">
        <v>0</v>
      </c>
      <c r="X73" s="22">
        <v>0</v>
      </c>
      <c r="Y73" s="22">
        <v>0</v>
      </c>
      <c r="Z73" s="22">
        <v>0</v>
      </c>
      <c r="AA73" s="22">
        <v>0</v>
      </c>
      <c r="AB73" s="22">
        <v>0</v>
      </c>
      <c r="AC73" s="22">
        <v>0</v>
      </c>
      <c r="AD73" s="22">
        <v>0</v>
      </c>
      <c r="AE73" s="22">
        <v>0</v>
      </c>
      <c r="AF73" s="22">
        <v>0</v>
      </c>
      <c r="AG73" s="22">
        <v>0</v>
      </c>
      <c r="AH73" s="22">
        <v>0</v>
      </c>
      <c r="AI73" s="22">
        <v>0</v>
      </c>
      <c r="AJ73" s="43">
        <v>0</v>
      </c>
      <c r="AK73" s="22">
        <v>0</v>
      </c>
      <c r="AL73" s="22">
        <v>0</v>
      </c>
      <c r="AM73" s="22">
        <v>0</v>
      </c>
      <c r="AN73" s="22">
        <v>0</v>
      </c>
      <c r="AO73" s="75" t="str">
        <f>VLOOKUP(A73,'Overall scores and ranking'!$A$3:$D$71,4,FALSE)</f>
        <v>Very Poor</v>
      </c>
    </row>
    <row r="74" spans="1:41" x14ac:dyDescent="0.25">
      <c r="A74" s="19" t="s">
        <v>3188</v>
      </c>
      <c r="B74" s="22">
        <v>66.66</v>
      </c>
      <c r="C74" s="22">
        <v>12.5</v>
      </c>
      <c r="D74" s="22">
        <v>0</v>
      </c>
      <c r="E74" s="22">
        <v>100</v>
      </c>
      <c r="F74" s="22">
        <v>100</v>
      </c>
      <c r="G74" s="22">
        <v>50</v>
      </c>
      <c r="H74" s="22">
        <v>50</v>
      </c>
      <c r="I74" s="22">
        <v>0</v>
      </c>
      <c r="J74" s="22">
        <v>16.664999999999999</v>
      </c>
      <c r="K74" s="22">
        <v>0</v>
      </c>
      <c r="L74" s="22">
        <v>0</v>
      </c>
      <c r="M74" s="22">
        <v>95</v>
      </c>
      <c r="N74" s="22">
        <v>95</v>
      </c>
      <c r="O74" s="22">
        <v>94.723738062799995</v>
      </c>
      <c r="P74" s="22">
        <v>85.146657571600002</v>
      </c>
      <c r="Q74" s="22">
        <v>56.691678035499997</v>
      </c>
      <c r="R74" s="22">
        <v>0</v>
      </c>
      <c r="S74" s="22">
        <v>56.691678035499997</v>
      </c>
      <c r="T74" s="22">
        <v>0</v>
      </c>
      <c r="U74" s="22">
        <v>94.938440492500007</v>
      </c>
      <c r="V74" s="22">
        <v>94.938440492500007</v>
      </c>
      <c r="W74" s="22">
        <v>94.938440492500007</v>
      </c>
      <c r="X74" s="22">
        <v>91.060191518500005</v>
      </c>
      <c r="Y74" s="22">
        <v>94.416780354699995</v>
      </c>
      <c r="Z74" s="22">
        <v>56.121562952200001</v>
      </c>
      <c r="AA74" s="22">
        <v>95</v>
      </c>
      <c r="AB74" s="22">
        <v>0</v>
      </c>
      <c r="AC74" s="22">
        <v>50</v>
      </c>
      <c r="AD74" s="22">
        <v>50.554035567699998</v>
      </c>
      <c r="AE74" s="22">
        <v>0</v>
      </c>
      <c r="AF74" s="22">
        <v>50</v>
      </c>
      <c r="AG74" s="22">
        <v>50</v>
      </c>
      <c r="AH74" s="22">
        <v>0</v>
      </c>
      <c r="AI74" s="22">
        <v>76.716826265400002</v>
      </c>
      <c r="AJ74" s="43">
        <v>94.015047879600004</v>
      </c>
      <c r="AK74" s="22">
        <v>0</v>
      </c>
      <c r="AL74" s="22">
        <v>51.631326949399998</v>
      </c>
      <c r="AM74" s="22">
        <v>0</v>
      </c>
      <c r="AN74" s="22">
        <v>0</v>
      </c>
      <c r="AO74" s="75" t="str">
        <f>VLOOKUP(A74,'Overall scores and ranking'!$A$3:$D$71,4,FALSE)</f>
        <v>Fair</v>
      </c>
    </row>
    <row r="75" spans="1:41" x14ac:dyDescent="0.25">
      <c r="A75" s="80" t="s">
        <v>3107</v>
      </c>
      <c r="B75" s="68">
        <f t="shared" ref="B75:AN75" si="0">SUBTOTAL(1,B7:B74)</f>
        <v>65.191911764705836</v>
      </c>
      <c r="C75" s="68">
        <f t="shared" si="0"/>
        <v>35.698529411764703</v>
      </c>
      <c r="D75" s="68">
        <f t="shared" si="0"/>
        <v>37.253088235294115</v>
      </c>
      <c r="E75" s="68">
        <f t="shared" si="0"/>
        <v>64.705882352941174</v>
      </c>
      <c r="F75" s="68">
        <f t="shared" si="0"/>
        <v>62.5</v>
      </c>
      <c r="G75" s="68">
        <f t="shared" si="0"/>
        <v>60.294117647058826</v>
      </c>
      <c r="H75" s="68">
        <f t="shared" si="0"/>
        <v>61.764705882352942</v>
      </c>
      <c r="I75" s="68">
        <f t="shared" si="0"/>
        <v>39.353914489894116</v>
      </c>
      <c r="J75" s="68">
        <f t="shared" si="0"/>
        <v>33.332818627455879</v>
      </c>
      <c r="K75" s="68">
        <f t="shared" si="0"/>
        <v>29.443014846799993</v>
      </c>
      <c r="L75" s="68">
        <f t="shared" si="0"/>
        <v>50.028100412139707</v>
      </c>
      <c r="M75" s="68">
        <f t="shared" si="0"/>
        <v>52.198826387383804</v>
      </c>
      <c r="N75" s="68">
        <f t="shared" si="0"/>
        <v>57.744069607922057</v>
      </c>
      <c r="O75" s="68">
        <f t="shared" si="0"/>
        <v>61.37173767884704</v>
      </c>
      <c r="P75" s="68">
        <f t="shared" si="0"/>
        <v>55.787640775427938</v>
      </c>
      <c r="Q75" s="68">
        <f t="shared" si="0"/>
        <v>46.049520136920584</v>
      </c>
      <c r="R75" s="68">
        <f t="shared" si="0"/>
        <v>39.096549917786767</v>
      </c>
      <c r="S75" s="68">
        <f t="shared" si="0"/>
        <v>43.344243339048532</v>
      </c>
      <c r="T75" s="68">
        <f t="shared" si="0"/>
        <v>50.024388438424985</v>
      </c>
      <c r="U75" s="68">
        <f t="shared" si="0"/>
        <v>48.834864107783815</v>
      </c>
      <c r="V75" s="68">
        <f t="shared" si="0"/>
        <v>50.253404715241174</v>
      </c>
      <c r="W75" s="68">
        <f t="shared" si="0"/>
        <v>51.102766310050001</v>
      </c>
      <c r="X75" s="68">
        <f t="shared" si="0"/>
        <v>49.72258528039265</v>
      </c>
      <c r="Y75" s="68">
        <f t="shared" si="0"/>
        <v>59.024479102786742</v>
      </c>
      <c r="Z75" s="68">
        <f t="shared" si="0"/>
        <v>21.383106395817649</v>
      </c>
      <c r="AA75" s="68">
        <f t="shared" si="0"/>
        <v>44.35955307609558</v>
      </c>
      <c r="AB75" s="68">
        <f t="shared" si="0"/>
        <v>15.925927896813235</v>
      </c>
      <c r="AC75" s="68">
        <f t="shared" si="0"/>
        <v>31.560730902144119</v>
      </c>
      <c r="AD75" s="68">
        <f t="shared" si="0"/>
        <v>30.089406294098527</v>
      </c>
      <c r="AE75" s="68">
        <f t="shared" si="0"/>
        <v>14.703194872267646</v>
      </c>
      <c r="AF75" s="68">
        <f t="shared" si="0"/>
        <v>30.561283248061766</v>
      </c>
      <c r="AG75" s="68">
        <f t="shared" si="0"/>
        <v>40.723975275408826</v>
      </c>
      <c r="AH75" s="68">
        <f t="shared" si="0"/>
        <v>21.076589043036762</v>
      </c>
      <c r="AI75" s="68">
        <f t="shared" si="0"/>
        <v>52.593910048364698</v>
      </c>
      <c r="AJ75" s="68">
        <f t="shared" si="0"/>
        <v>43.853204222885296</v>
      </c>
      <c r="AK75" s="68">
        <f t="shared" si="0"/>
        <v>8.3103127456205872</v>
      </c>
      <c r="AL75" s="68">
        <f t="shared" si="0"/>
        <v>14.714482292641176</v>
      </c>
      <c r="AM75" s="68">
        <f t="shared" si="0"/>
        <v>15.268491351876472</v>
      </c>
      <c r="AN75" s="68">
        <f t="shared" si="0"/>
        <v>18.929409856013233</v>
      </c>
    </row>
    <row r="76" spans="1:41" x14ac:dyDescent="0.25">
      <c r="B76" s="44"/>
      <c r="C76" s="44"/>
      <c r="D76" s="44"/>
      <c r="E76" s="44"/>
      <c r="F76" s="44"/>
      <c r="G76" s="44"/>
      <c r="H76" s="44"/>
      <c r="I76" s="44"/>
      <c r="J76" s="44"/>
      <c r="K76" s="44"/>
      <c r="L76" s="44"/>
      <c r="M76" s="44"/>
      <c r="N76" s="44"/>
      <c r="O76" s="44"/>
      <c r="P76" s="44"/>
      <c r="Q76" s="44"/>
      <c r="R76" s="44"/>
      <c r="S76" s="44"/>
      <c r="T76" s="44"/>
      <c r="U76" s="44"/>
      <c r="V76" s="44"/>
      <c r="W76" s="44"/>
      <c r="X76" s="44"/>
      <c r="Y76" s="44"/>
      <c r="Z76" s="44"/>
      <c r="AA76" s="44"/>
      <c r="AB76" s="44"/>
      <c r="AC76" s="44"/>
      <c r="AD76" s="44"/>
      <c r="AE76" s="44"/>
      <c r="AF76" s="44"/>
      <c r="AG76" s="44"/>
      <c r="AH76" s="44"/>
      <c r="AI76" s="44"/>
      <c r="AJ76" s="44"/>
      <c r="AK76" s="44"/>
      <c r="AL76" s="44"/>
      <c r="AM76" s="44"/>
      <c r="AN76" s="44"/>
    </row>
    <row r="77" spans="1:41" x14ac:dyDescent="0.25">
      <c r="A77" s="52" t="s">
        <v>3075</v>
      </c>
      <c r="B77" s="82">
        <f>COUNTIF(B7:B74,"&gt;0")</f>
        <v>65</v>
      </c>
      <c r="C77" s="82">
        <f>COUNTIF(C7:C74,"&gt;0")</f>
        <v>42</v>
      </c>
      <c r="D77" s="82">
        <f t="shared" ref="D77:AN77" si="1">COUNTIF(D7:D74,"&gt;0")</f>
        <v>38</v>
      </c>
      <c r="E77" s="82">
        <f t="shared" si="1"/>
        <v>65</v>
      </c>
      <c r="F77" s="82">
        <f t="shared" si="1"/>
        <v>62</v>
      </c>
      <c r="G77" s="82">
        <f t="shared" si="1"/>
        <v>63</v>
      </c>
      <c r="H77" s="82">
        <f t="shared" si="1"/>
        <v>63</v>
      </c>
      <c r="I77" s="82">
        <f t="shared" si="1"/>
        <v>43</v>
      </c>
      <c r="J77" s="82">
        <f t="shared" si="1"/>
        <v>54</v>
      </c>
      <c r="K77" s="82">
        <f t="shared" si="1"/>
        <v>40</v>
      </c>
      <c r="L77" s="82">
        <f t="shared" si="1"/>
        <v>49</v>
      </c>
      <c r="M77" s="82">
        <f t="shared" si="1"/>
        <v>50</v>
      </c>
      <c r="N77" s="82">
        <f t="shared" si="1"/>
        <v>51</v>
      </c>
      <c r="O77" s="82">
        <f t="shared" si="1"/>
        <v>58</v>
      </c>
      <c r="P77" s="82">
        <f t="shared" si="1"/>
        <v>54</v>
      </c>
      <c r="Q77" s="82">
        <f t="shared" si="1"/>
        <v>42</v>
      </c>
      <c r="R77" s="82">
        <f t="shared" si="1"/>
        <v>29</v>
      </c>
      <c r="S77" s="82">
        <f t="shared" si="1"/>
        <v>40</v>
      </c>
      <c r="T77" s="82">
        <f t="shared" si="1"/>
        <v>53</v>
      </c>
      <c r="U77" s="82">
        <f t="shared" si="1"/>
        <v>46</v>
      </c>
      <c r="V77" s="82">
        <f t="shared" si="1"/>
        <v>44</v>
      </c>
      <c r="W77" s="82">
        <f t="shared" si="1"/>
        <v>47</v>
      </c>
      <c r="X77" s="82">
        <f t="shared" si="1"/>
        <v>46</v>
      </c>
      <c r="Y77" s="82">
        <f t="shared" si="1"/>
        <v>53</v>
      </c>
      <c r="Z77" s="82">
        <f t="shared" si="1"/>
        <v>26</v>
      </c>
      <c r="AA77" s="82">
        <f t="shared" si="1"/>
        <v>40</v>
      </c>
      <c r="AB77" s="82">
        <f t="shared" si="1"/>
        <v>16</v>
      </c>
      <c r="AC77" s="82">
        <f t="shared" si="1"/>
        <v>39</v>
      </c>
      <c r="AD77" s="82">
        <f t="shared" si="1"/>
        <v>33</v>
      </c>
      <c r="AE77" s="82">
        <f t="shared" si="1"/>
        <v>13</v>
      </c>
      <c r="AF77" s="82">
        <f t="shared" si="1"/>
        <v>37</v>
      </c>
      <c r="AG77" s="82">
        <f t="shared" si="1"/>
        <v>53</v>
      </c>
      <c r="AH77" s="82">
        <f t="shared" si="1"/>
        <v>26</v>
      </c>
      <c r="AI77" s="82">
        <f t="shared" si="1"/>
        <v>53</v>
      </c>
      <c r="AJ77" s="82">
        <f t="shared" si="1"/>
        <v>33</v>
      </c>
      <c r="AK77" s="82">
        <f t="shared" si="1"/>
        <v>7</v>
      </c>
      <c r="AL77" s="82">
        <f t="shared" si="1"/>
        <v>16</v>
      </c>
      <c r="AM77" s="82">
        <f t="shared" si="1"/>
        <v>16</v>
      </c>
      <c r="AN77" s="82">
        <f t="shared" si="1"/>
        <v>18</v>
      </c>
    </row>
    <row r="78" spans="1:41" x14ac:dyDescent="0.25">
      <c r="A78" s="46" t="s">
        <v>3110</v>
      </c>
      <c r="B78" s="83">
        <f>COUNTIF(B7:B74,"=0")</f>
        <v>3</v>
      </c>
      <c r="C78" s="83">
        <f t="shared" ref="C78:AN78" si="2">COUNTIF(C7:C74,"=0")</f>
        <v>26</v>
      </c>
      <c r="D78" s="83">
        <f t="shared" si="2"/>
        <v>30</v>
      </c>
      <c r="E78" s="83">
        <f t="shared" si="2"/>
        <v>3</v>
      </c>
      <c r="F78" s="83">
        <f t="shared" si="2"/>
        <v>6</v>
      </c>
      <c r="G78" s="83">
        <f t="shared" si="2"/>
        <v>5</v>
      </c>
      <c r="H78" s="83">
        <f t="shared" si="2"/>
        <v>5</v>
      </c>
      <c r="I78" s="83">
        <f t="shared" si="2"/>
        <v>25</v>
      </c>
      <c r="J78" s="83">
        <f t="shared" si="2"/>
        <v>14</v>
      </c>
      <c r="K78" s="83">
        <f t="shared" si="2"/>
        <v>28</v>
      </c>
      <c r="L78" s="83">
        <f t="shared" si="2"/>
        <v>19</v>
      </c>
      <c r="M78" s="83">
        <f t="shared" si="2"/>
        <v>18</v>
      </c>
      <c r="N78" s="83">
        <f t="shared" si="2"/>
        <v>17</v>
      </c>
      <c r="O78" s="83">
        <f t="shared" si="2"/>
        <v>10</v>
      </c>
      <c r="P78" s="83">
        <f t="shared" si="2"/>
        <v>14</v>
      </c>
      <c r="Q78" s="83">
        <f t="shared" si="2"/>
        <v>26</v>
      </c>
      <c r="R78" s="83">
        <f t="shared" si="2"/>
        <v>39</v>
      </c>
      <c r="S78" s="83">
        <f t="shared" si="2"/>
        <v>28</v>
      </c>
      <c r="T78" s="83">
        <f t="shared" si="2"/>
        <v>15</v>
      </c>
      <c r="U78" s="83">
        <f t="shared" si="2"/>
        <v>22</v>
      </c>
      <c r="V78" s="83">
        <f t="shared" si="2"/>
        <v>24</v>
      </c>
      <c r="W78" s="83">
        <f t="shared" si="2"/>
        <v>21</v>
      </c>
      <c r="X78" s="83">
        <f t="shared" si="2"/>
        <v>22</v>
      </c>
      <c r="Y78" s="83">
        <f t="shared" si="2"/>
        <v>15</v>
      </c>
      <c r="Z78" s="83">
        <f t="shared" si="2"/>
        <v>42</v>
      </c>
      <c r="AA78" s="83">
        <f t="shared" si="2"/>
        <v>28</v>
      </c>
      <c r="AB78" s="83">
        <f t="shared" si="2"/>
        <v>52</v>
      </c>
      <c r="AC78" s="83">
        <f t="shared" si="2"/>
        <v>29</v>
      </c>
      <c r="AD78" s="83">
        <f t="shared" si="2"/>
        <v>35</v>
      </c>
      <c r="AE78" s="83">
        <f t="shared" si="2"/>
        <v>55</v>
      </c>
      <c r="AF78" s="83">
        <f t="shared" si="2"/>
        <v>31</v>
      </c>
      <c r="AG78" s="83">
        <f t="shared" si="2"/>
        <v>15</v>
      </c>
      <c r="AH78" s="83">
        <f t="shared" si="2"/>
        <v>42</v>
      </c>
      <c r="AI78" s="83">
        <f t="shared" si="2"/>
        <v>15</v>
      </c>
      <c r="AJ78" s="83">
        <f t="shared" si="2"/>
        <v>35</v>
      </c>
      <c r="AK78" s="83">
        <f t="shared" si="2"/>
        <v>61</v>
      </c>
      <c r="AL78" s="83">
        <f t="shared" si="2"/>
        <v>52</v>
      </c>
      <c r="AM78" s="83">
        <f t="shared" si="2"/>
        <v>52</v>
      </c>
      <c r="AN78" s="83">
        <f t="shared" si="2"/>
        <v>50</v>
      </c>
    </row>
    <row r="80" spans="1:41" x14ac:dyDescent="0.25">
      <c r="A80" t="s">
        <v>3082</v>
      </c>
      <c r="B80">
        <f>68-SUM(B77:B78)</f>
        <v>0</v>
      </c>
      <c r="C80">
        <f t="shared" ref="C80:AN80" si="3">68-SUM(C77:C78)</f>
        <v>0</v>
      </c>
      <c r="D80">
        <f t="shared" si="3"/>
        <v>0</v>
      </c>
      <c r="E80">
        <f t="shared" si="3"/>
        <v>0</v>
      </c>
      <c r="F80">
        <f t="shared" si="3"/>
        <v>0</v>
      </c>
      <c r="G80">
        <f t="shared" si="3"/>
        <v>0</v>
      </c>
      <c r="H80">
        <f t="shared" si="3"/>
        <v>0</v>
      </c>
      <c r="I80">
        <f t="shared" si="3"/>
        <v>0</v>
      </c>
      <c r="J80">
        <f t="shared" si="3"/>
        <v>0</v>
      </c>
      <c r="K80">
        <f t="shared" si="3"/>
        <v>0</v>
      </c>
      <c r="L80">
        <f t="shared" si="3"/>
        <v>0</v>
      </c>
      <c r="M80">
        <f t="shared" si="3"/>
        <v>0</v>
      </c>
      <c r="N80">
        <f t="shared" si="3"/>
        <v>0</v>
      </c>
      <c r="O80">
        <f t="shared" si="3"/>
        <v>0</v>
      </c>
      <c r="P80">
        <f t="shared" si="3"/>
        <v>0</v>
      </c>
      <c r="Q80">
        <f t="shared" si="3"/>
        <v>0</v>
      </c>
      <c r="R80">
        <f t="shared" si="3"/>
        <v>0</v>
      </c>
      <c r="S80">
        <f t="shared" si="3"/>
        <v>0</v>
      </c>
      <c r="T80">
        <f t="shared" si="3"/>
        <v>0</v>
      </c>
      <c r="U80">
        <f t="shared" si="3"/>
        <v>0</v>
      </c>
      <c r="V80">
        <f t="shared" si="3"/>
        <v>0</v>
      </c>
      <c r="W80">
        <f t="shared" si="3"/>
        <v>0</v>
      </c>
      <c r="X80">
        <f t="shared" si="3"/>
        <v>0</v>
      </c>
      <c r="Y80">
        <f t="shared" si="3"/>
        <v>0</v>
      </c>
      <c r="Z80">
        <f t="shared" si="3"/>
        <v>0</v>
      </c>
      <c r="AA80">
        <f t="shared" si="3"/>
        <v>0</v>
      </c>
      <c r="AB80">
        <f t="shared" si="3"/>
        <v>0</v>
      </c>
      <c r="AC80">
        <f t="shared" si="3"/>
        <v>0</v>
      </c>
      <c r="AD80">
        <f t="shared" si="3"/>
        <v>0</v>
      </c>
      <c r="AE80">
        <f t="shared" si="3"/>
        <v>0</v>
      </c>
      <c r="AF80">
        <f t="shared" si="3"/>
        <v>0</v>
      </c>
      <c r="AG80">
        <f t="shared" si="3"/>
        <v>0</v>
      </c>
      <c r="AH80">
        <f t="shared" si="3"/>
        <v>0</v>
      </c>
      <c r="AI80">
        <f t="shared" si="3"/>
        <v>0</v>
      </c>
      <c r="AJ80">
        <f t="shared" si="3"/>
        <v>0</v>
      </c>
      <c r="AK80">
        <f t="shared" si="3"/>
        <v>0</v>
      </c>
      <c r="AL80">
        <f t="shared" si="3"/>
        <v>0</v>
      </c>
      <c r="AM80">
        <f t="shared" si="3"/>
        <v>0</v>
      </c>
      <c r="AN80">
        <f t="shared" si="3"/>
        <v>0</v>
      </c>
    </row>
    <row r="145" spans="1:2" x14ac:dyDescent="0.25">
      <c r="A145" s="20" t="s">
        <v>3074</v>
      </c>
      <c r="B145">
        <f>COUNTIF(B7:B144,"&gt;0")</f>
        <v>68</v>
      </c>
    </row>
  </sheetData>
  <autoFilter ref="A3:AO78"/>
  <pageMargins left="0.7" right="0.7" top="0.75" bottom="0.75" header="0.3" footer="0.3"/>
  <pageSetup paperSize="9"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B42"/>
  <sheetViews>
    <sheetView workbookViewId="0">
      <selection activeCell="I27" sqref="I27"/>
    </sheetView>
  </sheetViews>
  <sheetFormatPr defaultRowHeight="15" x14ac:dyDescent="0.25"/>
  <cols>
    <col min="1" max="1" width="30.140625" bestFit="1" customWidth="1"/>
    <col min="2" max="2" width="33.28515625" style="51" bestFit="1" customWidth="1"/>
  </cols>
  <sheetData>
    <row r="1" spans="1:2" s="168" customFormat="1" ht="21" x14ac:dyDescent="0.35">
      <c r="A1" s="167" t="s">
        <v>3257</v>
      </c>
      <c r="B1" s="171"/>
    </row>
    <row r="2" spans="1:2" x14ac:dyDescent="0.25">
      <c r="A2" s="20"/>
    </row>
    <row r="3" spans="1:2" x14ac:dyDescent="0.25">
      <c r="A3" s="20" t="s">
        <v>3076</v>
      </c>
      <c r="B3" s="50" t="s">
        <v>3077</v>
      </c>
    </row>
    <row r="4" spans="1:2" x14ac:dyDescent="0.25">
      <c r="A4" t="str">
        <f>'Overall scores by indicator'!E6</f>
        <v>Organisation strategy</v>
      </c>
      <c r="B4" s="51">
        <f>'Overall scores by indicator'!E77</f>
        <v>65</v>
      </c>
    </row>
    <row r="5" spans="1:2" x14ac:dyDescent="0.25">
      <c r="A5" t="str">
        <f>'Overall scores by indicator'!B6</f>
        <v>FOIA</v>
      </c>
      <c r="B5" s="51">
        <f>'Overall scores by indicator'!B77</f>
        <v>65</v>
      </c>
    </row>
    <row r="6" spans="1:2" x14ac:dyDescent="0.25">
      <c r="A6" t="str">
        <f>'Overall scores by indicator'!H6</f>
        <v>Procurement policy</v>
      </c>
      <c r="B6" s="51">
        <f>'Overall scores by indicator'!H77</f>
        <v>63</v>
      </c>
    </row>
    <row r="7" spans="1:2" x14ac:dyDescent="0.25">
      <c r="A7" t="str">
        <f>'Overall scores by indicator'!G6</f>
        <v>Allocation policy</v>
      </c>
      <c r="B7" s="51">
        <f>'Overall scores by indicator'!G77</f>
        <v>63</v>
      </c>
    </row>
    <row r="8" spans="1:2" x14ac:dyDescent="0.25">
      <c r="A8" t="str">
        <f>'Overall scores by indicator'!F6</f>
        <v>Annual report</v>
      </c>
      <c r="B8" s="51">
        <f>'Overall scores by indicator'!F77</f>
        <v>62</v>
      </c>
    </row>
    <row r="9" spans="1:2" x14ac:dyDescent="0.25">
      <c r="A9" t="str">
        <f>'Overall scores by indicator'!O6</f>
        <v>Title</v>
      </c>
      <c r="B9" s="51">
        <f>'Overall scores by indicator'!O77</f>
        <v>58</v>
      </c>
    </row>
    <row r="10" spans="1:2" x14ac:dyDescent="0.25">
      <c r="A10" t="str">
        <f>'Overall scores by indicator'!P6</f>
        <v>Description</v>
      </c>
      <c r="B10" s="51">
        <f>'Overall scores by indicator'!P77</f>
        <v>54</v>
      </c>
    </row>
    <row r="11" spans="1:2" x14ac:dyDescent="0.25">
      <c r="A11" t="str">
        <f>'Overall scores by indicator'!AI6</f>
        <v>Commitments</v>
      </c>
      <c r="B11" s="51">
        <f>'Overall scores by indicator'!AI77</f>
        <v>53</v>
      </c>
    </row>
    <row r="12" spans="1:2" x14ac:dyDescent="0.25">
      <c r="A12" t="str">
        <f>'Overall scores by indicator'!J6</f>
        <v>Total budget</v>
      </c>
      <c r="B12" s="51">
        <f>'Overall scores by indicator'!J77</f>
        <v>54</v>
      </c>
    </row>
    <row r="13" spans="1:2" x14ac:dyDescent="0.25">
      <c r="A13" t="str">
        <f>'Overall scores by indicator'!Y6</f>
        <v>Sector</v>
      </c>
      <c r="B13" s="51">
        <f>'Overall scores by indicator'!Y77</f>
        <v>53</v>
      </c>
    </row>
    <row r="14" spans="1:2" x14ac:dyDescent="0.25">
      <c r="A14" t="str">
        <f>'Overall scores by indicator'!T6</f>
        <v>Contact details</v>
      </c>
      <c r="B14" s="51">
        <f>'Overall scores by indicator'!T77</f>
        <v>53</v>
      </c>
    </row>
    <row r="15" spans="1:2" x14ac:dyDescent="0.25">
      <c r="A15" t="str">
        <f>'Overall scores by indicator'!AG6</f>
        <v>Tenders</v>
      </c>
      <c r="B15" s="51">
        <f>'Overall scores by indicator'!AG77</f>
        <v>53</v>
      </c>
    </row>
    <row r="16" spans="1:2" x14ac:dyDescent="0.25">
      <c r="A16" t="str">
        <f>'Overall scores by indicator'!N6</f>
        <v>Unique ID</v>
      </c>
      <c r="B16" s="51">
        <f>'Overall scores by indicator'!N77</f>
        <v>51</v>
      </c>
    </row>
    <row r="17" spans="1:2" x14ac:dyDescent="0.25">
      <c r="A17" t="str">
        <f>'Overall scores by indicator'!M6</f>
        <v>Implementer</v>
      </c>
      <c r="B17" s="51">
        <f>'Overall scores by indicator'!M77</f>
        <v>50</v>
      </c>
    </row>
    <row r="18" spans="1:2" x14ac:dyDescent="0.25">
      <c r="A18" t="str">
        <f>'Overall scores by indicator'!L6</f>
        <v>Audit</v>
      </c>
      <c r="B18" s="51">
        <f>'Overall scores by indicator'!L77</f>
        <v>49</v>
      </c>
    </row>
    <row r="19" spans="1:2" x14ac:dyDescent="0.25">
      <c r="A19" t="str">
        <f>'Overall scores by indicator'!U6</f>
        <v>Collaboration Type</v>
      </c>
      <c r="B19" s="51">
        <f>'Overall scores by indicator'!U77</f>
        <v>46</v>
      </c>
    </row>
    <row r="20" spans="1:2" x14ac:dyDescent="0.25">
      <c r="A20" t="str">
        <f>'Overall scores by indicator'!X6</f>
        <v>Finance Type</v>
      </c>
      <c r="B20" s="51">
        <f>'Overall scores by indicator'!X77</f>
        <v>46</v>
      </c>
    </row>
    <row r="21" spans="1:2" x14ac:dyDescent="0.25">
      <c r="A21" t="str">
        <f>'Overall scores by indicator'!W6</f>
        <v>Aid Type</v>
      </c>
      <c r="B21" s="51">
        <f>'Overall scores by indicator'!W77</f>
        <v>47</v>
      </c>
    </row>
    <row r="22" spans="1:2" x14ac:dyDescent="0.25">
      <c r="A22" t="str">
        <f>'Overall scores by indicator'!V6</f>
        <v>Flow Type</v>
      </c>
      <c r="B22" s="51">
        <f>'Overall scores by indicator'!V77</f>
        <v>44</v>
      </c>
    </row>
    <row r="23" spans="1:2" x14ac:dyDescent="0.25">
      <c r="A23" t="str">
        <f>'Overall scores by indicator'!I6</f>
        <v>Country strategy</v>
      </c>
      <c r="B23" s="51">
        <f>'Overall scores by indicator'!I77</f>
        <v>43</v>
      </c>
    </row>
    <row r="24" spans="1:2" x14ac:dyDescent="0.25">
      <c r="A24" t="str">
        <f>'Overall scores by indicator'!S6</f>
        <v>Current Status</v>
      </c>
      <c r="B24" s="51">
        <f>'Overall scores by indicator'!S77</f>
        <v>40</v>
      </c>
    </row>
    <row r="25" spans="1:2" x14ac:dyDescent="0.25">
      <c r="A25" t="str">
        <f>'Overall scores by indicator'!Q6</f>
        <v>Planned dates</v>
      </c>
      <c r="B25" s="51">
        <f>'Overall scores by indicator'!Q77</f>
        <v>42</v>
      </c>
    </row>
    <row r="26" spans="1:2" x14ac:dyDescent="0.25">
      <c r="A26" t="str">
        <f>'Overall scores by indicator'!AA6</f>
        <v>Tied Aid Status</v>
      </c>
      <c r="B26" s="51">
        <f>'Overall scores by indicator'!AA77</f>
        <v>40</v>
      </c>
    </row>
    <row r="27" spans="1:2" x14ac:dyDescent="0.25">
      <c r="A27" t="str">
        <f>'Overall scores by indicator'!C6</f>
        <v>Implementation schedules</v>
      </c>
      <c r="B27" s="51">
        <f>'Overall scores by indicator'!C77</f>
        <v>42</v>
      </c>
    </row>
    <row r="28" spans="1:2" x14ac:dyDescent="0.25">
      <c r="A28" t="str">
        <f>'Overall scores by indicator'!K6</f>
        <v>Disaggregated budgets</v>
      </c>
      <c r="B28" s="51">
        <f>'Overall scores by indicator'!K77</f>
        <v>40</v>
      </c>
    </row>
    <row r="29" spans="1:2" x14ac:dyDescent="0.25">
      <c r="A29" t="str">
        <f>'Overall scores by indicator'!AC6</f>
        <v>Evaluations</v>
      </c>
      <c r="B29" s="51">
        <f>'Overall scores by indicator'!AC77</f>
        <v>39</v>
      </c>
    </row>
    <row r="30" spans="1:2" x14ac:dyDescent="0.25">
      <c r="A30" t="str">
        <f>'Overall scores by indicator'!D6</f>
        <v>Accessibility</v>
      </c>
      <c r="B30" s="51">
        <f>'Overall scores by indicator'!D77</f>
        <v>38</v>
      </c>
    </row>
    <row r="31" spans="1:2" x14ac:dyDescent="0.25">
      <c r="A31" t="str">
        <f>'Overall scores by indicator'!AF6</f>
        <v>Contracts</v>
      </c>
      <c r="B31" s="51">
        <f>'Overall scores by indicator'!AF77</f>
        <v>37</v>
      </c>
    </row>
    <row r="32" spans="1:2" x14ac:dyDescent="0.25">
      <c r="A32" t="str">
        <f>'Overall scores by indicator'!AJ6</f>
        <v>Disbursements and expenditure</v>
      </c>
      <c r="B32" s="51">
        <f>'Overall scores by indicator'!AJ77</f>
        <v>33</v>
      </c>
    </row>
    <row r="33" spans="1:2" x14ac:dyDescent="0.25">
      <c r="A33" t="str">
        <f>'Overall scores by indicator'!AD6</f>
        <v>Objectives</v>
      </c>
      <c r="B33" s="51">
        <f>'Overall scores by indicator'!AD77</f>
        <v>33</v>
      </c>
    </row>
    <row r="34" spans="1:2" x14ac:dyDescent="0.25">
      <c r="A34" t="str">
        <f>'Overall scores by indicator'!R6</f>
        <v>Actual dates</v>
      </c>
      <c r="B34" s="51">
        <f>'Overall scores by indicator'!R77</f>
        <v>29</v>
      </c>
    </row>
    <row r="35" spans="1:2" x14ac:dyDescent="0.25">
      <c r="A35" t="str">
        <f>'Overall scores by indicator'!AH6</f>
        <v>Budget</v>
      </c>
      <c r="B35" s="51">
        <f>'Overall scores by indicator'!AH77</f>
        <v>26</v>
      </c>
    </row>
    <row r="36" spans="1:2" x14ac:dyDescent="0.25">
      <c r="A36" t="str">
        <f>'Overall scores by indicator'!Z6</f>
        <v>Sub-national location</v>
      </c>
      <c r="B36" s="51">
        <f>'Overall scores by indicator'!Z77</f>
        <v>26</v>
      </c>
    </row>
    <row r="37" spans="1:2" x14ac:dyDescent="0.25">
      <c r="A37" t="str">
        <f>'Overall scores by indicator'!AN6</f>
        <v>Conditions</v>
      </c>
      <c r="B37" s="51">
        <f>'Overall scores by indicator'!AN77</f>
        <v>18</v>
      </c>
    </row>
    <row r="38" spans="1:2" x14ac:dyDescent="0.25">
      <c r="A38" t="str">
        <f>'Overall scores by indicator'!AB6</f>
        <v>MoU</v>
      </c>
      <c r="B38" s="51">
        <f>'Overall scores by indicator'!AB77</f>
        <v>16</v>
      </c>
    </row>
    <row r="39" spans="1:2" x14ac:dyDescent="0.25">
      <c r="A39" t="str">
        <f>'Overall scores by indicator'!AL6</f>
        <v>Results</v>
      </c>
      <c r="B39" s="51">
        <f>'Overall scores by indicator'!AL77</f>
        <v>16</v>
      </c>
    </row>
    <row r="40" spans="1:2" x14ac:dyDescent="0.25">
      <c r="A40" t="str">
        <f>'Overall scores by indicator'!AM6</f>
        <v>Impact Appraisals</v>
      </c>
      <c r="B40" s="51">
        <f>'Overall scores by indicator'!AM77</f>
        <v>16</v>
      </c>
    </row>
    <row r="41" spans="1:2" x14ac:dyDescent="0.25">
      <c r="A41" t="str">
        <f>'Overall scores by indicator'!AE6</f>
        <v>Budget Docs</v>
      </c>
      <c r="B41" s="51">
        <f>'Overall scores by indicator'!AE77</f>
        <v>13</v>
      </c>
    </row>
    <row r="42" spans="1:2" x14ac:dyDescent="0.25">
      <c r="A42" t="str">
        <f>'Overall scores by indicator'!AK6</f>
        <v>Budget Identifier</v>
      </c>
      <c r="B42" s="51">
        <f>'Overall scores by indicator'!AK77</f>
        <v>7</v>
      </c>
    </row>
  </sheetData>
  <pageMargins left="0.7" right="0.7" top="0.75" bottom="0.75" header="0.3" footer="0.3"/>
  <pageSetup paperSize="9" orientation="portrait" r:id="rId1"/>
  <drawing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I28"/>
  <sheetViews>
    <sheetView workbookViewId="0"/>
  </sheetViews>
  <sheetFormatPr defaultRowHeight="15" x14ac:dyDescent="0.25"/>
  <cols>
    <col min="1" max="1" width="30.140625" customWidth="1"/>
    <col min="2" max="2" width="17.85546875" bestFit="1" customWidth="1"/>
    <col min="3" max="3" width="17.42578125" customWidth="1"/>
    <col min="4" max="4" width="8.140625" customWidth="1"/>
    <col min="5" max="5" width="4" customWidth="1"/>
    <col min="6" max="6" width="11.28515625" customWidth="1"/>
    <col min="7" max="7" width="11.28515625" bestFit="1" customWidth="1"/>
    <col min="8" max="8" width="14.28515625" bestFit="1" customWidth="1"/>
    <col min="9" max="9" width="7" customWidth="1"/>
    <col min="10" max="10" width="13.42578125" bestFit="1" customWidth="1"/>
    <col min="11" max="11" width="10.85546875" bestFit="1" customWidth="1"/>
    <col min="12" max="12" width="7.28515625" customWidth="1"/>
    <col min="13" max="13" width="8.85546875" customWidth="1"/>
    <col min="14" max="14" width="10" bestFit="1" customWidth="1"/>
    <col min="15" max="15" width="13.42578125" bestFit="1" customWidth="1"/>
    <col min="16" max="16" width="10.85546875" bestFit="1" customWidth="1"/>
    <col min="17" max="17" width="7.28515625" customWidth="1"/>
    <col min="18" max="18" width="13.140625" bestFit="1" customWidth="1"/>
    <col min="20" max="20" width="13.42578125" bestFit="1" customWidth="1"/>
    <col min="21" max="21" width="10.85546875" bestFit="1" customWidth="1"/>
    <col min="22" max="22" width="7.28515625" customWidth="1"/>
    <col min="23" max="23" width="12.140625" bestFit="1" customWidth="1"/>
    <col min="24" max="24" width="11.28515625" bestFit="1" customWidth="1"/>
  </cols>
  <sheetData>
    <row r="1" spans="1:9" s="168" customFormat="1" ht="21" x14ac:dyDescent="0.35">
      <c r="A1" s="167" t="s">
        <v>3260</v>
      </c>
    </row>
    <row r="2" spans="1:9" x14ac:dyDescent="0.25">
      <c r="A2" s="18" t="s">
        <v>21</v>
      </c>
      <c r="B2" t="s">
        <v>3079</v>
      </c>
    </row>
    <row r="4" spans="1:9" x14ac:dyDescent="0.25">
      <c r="A4" s="18" t="s">
        <v>3078</v>
      </c>
      <c r="B4" s="18" t="s">
        <v>3043</v>
      </c>
      <c r="H4" t="s">
        <v>3080</v>
      </c>
      <c r="I4" t="s">
        <v>3082</v>
      </c>
    </row>
    <row r="5" spans="1:9" x14ac:dyDescent="0.25">
      <c r="A5" s="18" t="s">
        <v>3042</v>
      </c>
      <c r="B5" t="s">
        <v>541</v>
      </c>
      <c r="C5" t="s">
        <v>142</v>
      </c>
      <c r="D5" t="s">
        <v>40</v>
      </c>
      <c r="E5" t="s">
        <v>110</v>
      </c>
      <c r="F5" t="s">
        <v>3072</v>
      </c>
    </row>
    <row r="6" spans="1:9" x14ac:dyDescent="0.25">
      <c r="A6" s="19" t="s">
        <v>31</v>
      </c>
      <c r="B6" s="45">
        <v>28</v>
      </c>
      <c r="C6" s="45">
        <v>1</v>
      </c>
      <c r="D6" s="45"/>
      <c r="E6" s="45"/>
      <c r="F6" s="45">
        <v>29</v>
      </c>
      <c r="H6">
        <f>VLOOKUP(A6,Table5[#All],2,FALSE)</f>
        <v>29</v>
      </c>
      <c r="I6">
        <f t="shared" ref="I6:I27" si="0">F6-H6</f>
        <v>0</v>
      </c>
    </row>
    <row r="7" spans="1:9" x14ac:dyDescent="0.25">
      <c r="A7" s="19" t="s">
        <v>62</v>
      </c>
      <c r="B7" s="45">
        <v>29</v>
      </c>
      <c r="C7" s="45">
        <v>11</v>
      </c>
      <c r="D7" s="45">
        <v>5</v>
      </c>
      <c r="E7" s="45">
        <v>2</v>
      </c>
      <c r="F7" s="45">
        <v>47</v>
      </c>
      <c r="H7">
        <f>VLOOKUP(A7,Table5[#All],2,FALSE)</f>
        <v>47</v>
      </c>
      <c r="I7">
        <f t="shared" si="0"/>
        <v>0</v>
      </c>
    </row>
    <row r="8" spans="1:9" x14ac:dyDescent="0.25">
      <c r="A8" s="19" t="s">
        <v>91</v>
      </c>
      <c r="B8" s="45">
        <v>15</v>
      </c>
      <c r="C8" s="45">
        <v>6</v>
      </c>
      <c r="D8" s="45">
        <v>1</v>
      </c>
      <c r="E8" s="45">
        <v>4</v>
      </c>
      <c r="F8" s="45">
        <v>26</v>
      </c>
      <c r="H8">
        <f>VLOOKUP(A8,Table5[#All],2,FALSE)</f>
        <v>26</v>
      </c>
      <c r="I8">
        <f t="shared" si="0"/>
        <v>0</v>
      </c>
    </row>
    <row r="9" spans="1:9" x14ac:dyDescent="0.25">
      <c r="A9" s="19" t="s">
        <v>97</v>
      </c>
      <c r="B9" s="45">
        <v>7</v>
      </c>
      <c r="C9" s="45"/>
      <c r="D9" s="45"/>
      <c r="E9" s="45"/>
      <c r="F9" s="45">
        <v>7</v>
      </c>
      <c r="H9">
        <f>VLOOKUP(A9,Table5[#All],2,FALSE)</f>
        <v>7</v>
      </c>
      <c r="I9">
        <f t="shared" si="0"/>
        <v>0</v>
      </c>
    </row>
    <row r="10" spans="1:9" x14ac:dyDescent="0.25">
      <c r="A10" s="19" t="s">
        <v>67</v>
      </c>
      <c r="B10" s="45">
        <v>27</v>
      </c>
      <c r="C10" s="45">
        <v>9</v>
      </c>
      <c r="D10" s="45">
        <v>8</v>
      </c>
      <c r="E10" s="45">
        <v>2</v>
      </c>
      <c r="F10" s="45">
        <v>46</v>
      </c>
      <c r="H10">
        <f>VLOOKUP(A10,Table5[#All],2,FALSE)</f>
        <v>46</v>
      </c>
      <c r="I10">
        <f t="shared" si="0"/>
        <v>0</v>
      </c>
    </row>
    <row r="11" spans="1:9" x14ac:dyDescent="0.25">
      <c r="A11" s="19" t="s">
        <v>94</v>
      </c>
      <c r="B11" s="45">
        <v>29</v>
      </c>
      <c r="C11" s="45">
        <v>11</v>
      </c>
      <c r="D11" s="45">
        <v>10</v>
      </c>
      <c r="E11" s="45">
        <v>3</v>
      </c>
      <c r="F11" s="45">
        <v>53</v>
      </c>
      <c r="H11">
        <f>VLOOKUP(A11,Table5[#All],2,FALSE)</f>
        <v>53</v>
      </c>
      <c r="I11">
        <f t="shared" si="0"/>
        <v>0</v>
      </c>
    </row>
    <row r="12" spans="1:9" x14ac:dyDescent="0.25">
      <c r="A12" s="19" t="s">
        <v>39</v>
      </c>
      <c r="B12" s="45">
        <v>26</v>
      </c>
      <c r="C12" s="45">
        <v>1</v>
      </c>
      <c r="D12" s="45">
        <v>26</v>
      </c>
      <c r="E12" s="45"/>
      <c r="F12" s="45">
        <v>53</v>
      </c>
      <c r="H12">
        <f>VLOOKUP(A12,Table5[#All],2,FALSE)</f>
        <v>53</v>
      </c>
      <c r="I12">
        <f t="shared" si="0"/>
        <v>0</v>
      </c>
    </row>
    <row r="13" spans="1:9" x14ac:dyDescent="0.25">
      <c r="A13" s="19" t="s">
        <v>44</v>
      </c>
      <c r="B13" s="45">
        <v>26</v>
      </c>
      <c r="C13" s="45">
        <v>7</v>
      </c>
      <c r="D13" s="45">
        <v>6</v>
      </c>
      <c r="E13" s="45">
        <v>1</v>
      </c>
      <c r="F13" s="45">
        <v>40</v>
      </c>
      <c r="H13">
        <f>VLOOKUP(A13,Table5[#All],2,FALSE)</f>
        <v>40</v>
      </c>
      <c r="I13">
        <f t="shared" si="0"/>
        <v>0</v>
      </c>
    </row>
    <row r="14" spans="1:9" x14ac:dyDescent="0.25">
      <c r="A14" s="19" t="s">
        <v>47</v>
      </c>
      <c r="B14" s="45">
        <v>34</v>
      </c>
      <c r="C14" s="45">
        <v>6</v>
      </c>
      <c r="D14" s="45">
        <v>13</v>
      </c>
      <c r="E14" s="45">
        <v>1</v>
      </c>
      <c r="F14" s="45">
        <v>54</v>
      </c>
      <c r="H14">
        <f>VLOOKUP(A14,Table5[#All],2,FALSE)</f>
        <v>54</v>
      </c>
      <c r="I14">
        <f t="shared" si="0"/>
        <v>0</v>
      </c>
    </row>
    <row r="15" spans="1:9" x14ac:dyDescent="0.25">
      <c r="A15" s="19" t="s">
        <v>141</v>
      </c>
      <c r="B15" s="45">
        <v>17</v>
      </c>
      <c r="C15" s="45">
        <v>12</v>
      </c>
      <c r="D15" s="45">
        <v>4</v>
      </c>
      <c r="E15" s="45">
        <v>7</v>
      </c>
      <c r="F15" s="45">
        <v>40</v>
      </c>
      <c r="H15">
        <f>VLOOKUP(A15,Table5[#All],2,FALSE)</f>
        <v>40</v>
      </c>
      <c r="I15">
        <f t="shared" si="0"/>
        <v>0</v>
      </c>
    </row>
    <row r="16" spans="1:9" x14ac:dyDescent="0.25">
      <c r="A16" s="19" t="s">
        <v>86</v>
      </c>
      <c r="B16" s="45">
        <v>32</v>
      </c>
      <c r="C16" s="45">
        <v>1</v>
      </c>
      <c r="D16" s="45"/>
      <c r="E16" s="45"/>
      <c r="F16" s="45">
        <v>33</v>
      </c>
      <c r="H16">
        <f>VLOOKUP(A16,Table5[#All],2,FALSE)</f>
        <v>33</v>
      </c>
      <c r="I16">
        <f t="shared" si="0"/>
        <v>0</v>
      </c>
    </row>
    <row r="17" spans="1:9" x14ac:dyDescent="0.25">
      <c r="A17" s="19" t="s">
        <v>70</v>
      </c>
      <c r="B17" s="45">
        <v>29</v>
      </c>
      <c r="C17" s="45">
        <v>9</v>
      </c>
      <c r="D17" s="45">
        <v>7</v>
      </c>
      <c r="E17" s="45">
        <v>1</v>
      </c>
      <c r="F17" s="45">
        <v>46</v>
      </c>
      <c r="H17">
        <f>VLOOKUP(A17,Table5[#All],2,FALSE)</f>
        <v>46</v>
      </c>
      <c r="I17">
        <f t="shared" si="0"/>
        <v>0</v>
      </c>
    </row>
    <row r="18" spans="1:9" x14ac:dyDescent="0.25">
      <c r="A18" s="19" t="s">
        <v>73</v>
      </c>
      <c r="B18" s="45">
        <v>32</v>
      </c>
      <c r="C18" s="45">
        <v>4</v>
      </c>
      <c r="D18" s="45">
        <v>6</v>
      </c>
      <c r="E18" s="45">
        <v>2</v>
      </c>
      <c r="F18" s="45">
        <v>44</v>
      </c>
      <c r="H18">
        <f>VLOOKUP(A18,Table5[#All],2,FALSE)</f>
        <v>44</v>
      </c>
      <c r="I18">
        <f t="shared" si="0"/>
        <v>0</v>
      </c>
    </row>
    <row r="19" spans="1:9" x14ac:dyDescent="0.25">
      <c r="A19" s="19" t="s">
        <v>50</v>
      </c>
      <c r="B19" s="45">
        <v>29</v>
      </c>
      <c r="C19" s="45">
        <v>8</v>
      </c>
      <c r="D19" s="45">
        <v>12</v>
      </c>
      <c r="E19" s="45">
        <v>1</v>
      </c>
      <c r="F19" s="45">
        <v>50</v>
      </c>
      <c r="H19">
        <f>VLOOKUP(A19,Table5[#All],2,FALSE)</f>
        <v>50</v>
      </c>
      <c r="I19">
        <f t="shared" si="0"/>
        <v>0</v>
      </c>
    </row>
    <row r="20" spans="1:9" x14ac:dyDescent="0.25">
      <c r="A20" s="19" t="s">
        <v>53</v>
      </c>
      <c r="B20" s="45">
        <v>31</v>
      </c>
      <c r="C20" s="45">
        <v>6</v>
      </c>
      <c r="D20" s="45">
        <v>4</v>
      </c>
      <c r="E20" s="45">
        <v>1</v>
      </c>
      <c r="F20" s="45">
        <v>42</v>
      </c>
      <c r="H20">
        <f>VLOOKUP(A20,Table5[#All],2,FALSE)</f>
        <v>42</v>
      </c>
      <c r="I20">
        <f t="shared" si="0"/>
        <v>0</v>
      </c>
    </row>
    <row r="21" spans="1:9" x14ac:dyDescent="0.25">
      <c r="A21" s="19" t="s">
        <v>109</v>
      </c>
      <c r="B21" s="45">
        <v>14</v>
      </c>
      <c r="C21" s="45"/>
      <c r="D21" s="45">
        <v>1</v>
      </c>
      <c r="E21" s="45">
        <v>1</v>
      </c>
      <c r="F21" s="45">
        <v>16</v>
      </c>
      <c r="H21">
        <f>VLOOKUP(A21,Table5[#All],2,FALSE)</f>
        <v>16</v>
      </c>
      <c r="I21">
        <f t="shared" si="0"/>
        <v>0</v>
      </c>
    </row>
    <row r="22" spans="1:9" x14ac:dyDescent="0.25">
      <c r="A22" s="19" t="s">
        <v>76</v>
      </c>
      <c r="B22" s="45">
        <v>35</v>
      </c>
      <c r="C22" s="45">
        <v>10</v>
      </c>
      <c r="D22" s="45">
        <v>8</v>
      </c>
      <c r="E22" s="45"/>
      <c r="F22" s="45">
        <v>53</v>
      </c>
      <c r="H22">
        <f>VLOOKUP(A22,Table5[#All],2,FALSE)</f>
        <v>53</v>
      </c>
      <c r="I22">
        <f t="shared" si="0"/>
        <v>0</v>
      </c>
    </row>
    <row r="23" spans="1:9" x14ac:dyDescent="0.25">
      <c r="A23" s="19" t="s">
        <v>79</v>
      </c>
      <c r="B23" s="45">
        <v>14</v>
      </c>
      <c r="C23" s="45">
        <v>3</v>
      </c>
      <c r="D23" s="45">
        <v>7</v>
      </c>
      <c r="E23" s="45">
        <v>2</v>
      </c>
      <c r="F23" s="45">
        <v>26</v>
      </c>
      <c r="H23">
        <f>VLOOKUP(A23,Table5[#All],2,FALSE)</f>
        <v>26</v>
      </c>
      <c r="I23">
        <f t="shared" si="0"/>
        <v>0</v>
      </c>
    </row>
    <row r="24" spans="1:9" x14ac:dyDescent="0.25">
      <c r="A24" s="19" t="s">
        <v>83</v>
      </c>
      <c r="B24" s="45">
        <v>27</v>
      </c>
      <c r="C24" s="45">
        <v>5</v>
      </c>
      <c r="D24" s="45">
        <v>5</v>
      </c>
      <c r="E24" s="45">
        <v>3</v>
      </c>
      <c r="F24" s="45">
        <v>40</v>
      </c>
      <c r="H24">
        <f>VLOOKUP(A24,Table5[#All],2,FALSE)</f>
        <v>40</v>
      </c>
      <c r="I24">
        <f t="shared" si="0"/>
        <v>0</v>
      </c>
    </row>
    <row r="25" spans="1:9" x14ac:dyDescent="0.25">
      <c r="A25" s="19" t="s">
        <v>56</v>
      </c>
      <c r="B25" s="45">
        <v>35</v>
      </c>
      <c r="C25" s="45">
        <v>9</v>
      </c>
      <c r="D25" s="45">
        <v>12</v>
      </c>
      <c r="E25" s="45">
        <v>2</v>
      </c>
      <c r="F25" s="45">
        <v>58</v>
      </c>
      <c r="H25">
        <f>VLOOKUP(A25,Table5[#All],2,FALSE)</f>
        <v>58</v>
      </c>
      <c r="I25">
        <f t="shared" si="0"/>
        <v>0</v>
      </c>
    </row>
    <row r="26" spans="1:9" x14ac:dyDescent="0.25">
      <c r="A26" s="19" t="s">
        <v>138</v>
      </c>
      <c r="B26" s="45">
        <v>21</v>
      </c>
      <c r="C26" s="45">
        <v>3</v>
      </c>
      <c r="D26" s="45">
        <v>4</v>
      </c>
      <c r="E26" s="45">
        <v>26</v>
      </c>
      <c r="F26" s="45">
        <v>54</v>
      </c>
      <c r="H26">
        <f>VLOOKUP(A26,Table5[#All],2,FALSE)</f>
        <v>54</v>
      </c>
      <c r="I26">
        <f t="shared" si="0"/>
        <v>0</v>
      </c>
    </row>
    <row r="27" spans="1:9" x14ac:dyDescent="0.25">
      <c r="A27" s="19" t="s">
        <v>59</v>
      </c>
      <c r="B27" s="45">
        <v>35</v>
      </c>
      <c r="C27" s="45">
        <v>5</v>
      </c>
      <c r="D27" s="45">
        <v>11</v>
      </c>
      <c r="E27" s="45"/>
      <c r="F27" s="45">
        <v>51</v>
      </c>
      <c r="H27">
        <f>VLOOKUP(A27,Table5[#All],2,FALSE)</f>
        <v>51</v>
      </c>
      <c r="I27">
        <f t="shared" si="0"/>
        <v>0</v>
      </c>
    </row>
    <row r="28" spans="1:9" x14ac:dyDescent="0.25">
      <c r="A28" s="19" t="s">
        <v>3072</v>
      </c>
      <c r="B28" s="45">
        <v>572</v>
      </c>
      <c r="C28" s="45">
        <v>127</v>
      </c>
      <c r="D28" s="45">
        <v>150</v>
      </c>
      <c r="E28" s="45">
        <v>59</v>
      </c>
      <c r="F28" s="45">
        <v>908</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Q76"/>
  <sheetViews>
    <sheetView zoomScale="115" zoomScaleNormal="115" workbookViewId="0">
      <selection activeCell="I5" sqref="I5"/>
    </sheetView>
  </sheetViews>
  <sheetFormatPr defaultRowHeight="15" x14ac:dyDescent="0.25"/>
  <cols>
    <col min="1" max="1" width="24.5703125" bestFit="1" customWidth="1"/>
    <col min="2" max="2" width="17.85546875" customWidth="1"/>
    <col min="3" max="3" width="17.42578125" bestFit="1" customWidth="1"/>
    <col min="4" max="4" width="8.28515625" customWidth="1"/>
    <col min="5" max="5" width="4" customWidth="1"/>
    <col min="6" max="7" width="16.42578125" customWidth="1"/>
    <col min="8" max="8" width="9.140625" customWidth="1"/>
    <col min="9" max="9" width="19.7109375" customWidth="1"/>
    <col min="10" max="10" width="16.42578125" customWidth="1"/>
    <col min="11" max="11" width="19.42578125" customWidth="1"/>
    <col min="12" max="13" width="16.42578125" customWidth="1"/>
    <col min="14" max="14" width="15.7109375" customWidth="1"/>
    <col min="15" max="15" width="14" customWidth="1"/>
    <col min="16" max="16" width="15.7109375" customWidth="1"/>
    <col min="17" max="17" width="12.85546875" bestFit="1" customWidth="1"/>
    <col min="18" max="18" width="11.28515625" bestFit="1" customWidth="1"/>
  </cols>
  <sheetData>
    <row r="1" spans="1:17" s="168" customFormat="1" ht="21" x14ac:dyDescent="0.35">
      <c r="A1" s="167" t="s">
        <v>3261</v>
      </c>
    </row>
    <row r="2" spans="1:17" x14ac:dyDescent="0.25">
      <c r="A2" s="20"/>
    </row>
    <row r="3" spans="1:17" x14ac:dyDescent="0.25">
      <c r="A3" s="54" t="s">
        <v>21</v>
      </c>
      <c r="B3" s="30" t="s">
        <v>3079</v>
      </c>
    </row>
    <row r="4" spans="1:17" ht="9" customHeight="1" x14ac:dyDescent="0.25"/>
    <row r="5" spans="1:17" x14ac:dyDescent="0.25">
      <c r="A5" s="54" t="s">
        <v>3078</v>
      </c>
      <c r="B5" s="54" t="s">
        <v>3043</v>
      </c>
      <c r="C5" s="30"/>
      <c r="D5" s="30"/>
      <c r="E5" s="30"/>
      <c r="F5" s="57"/>
      <c r="G5" s="57"/>
      <c r="H5" s="96"/>
      <c r="I5" s="95"/>
      <c r="J5" s="96"/>
      <c r="K5" s="96"/>
      <c r="L5" s="96"/>
      <c r="M5" s="96"/>
      <c r="N5" s="97"/>
      <c r="O5" s="97"/>
    </row>
    <row r="6" spans="1:17" ht="30" x14ac:dyDescent="0.25">
      <c r="A6" s="54" t="s">
        <v>3042</v>
      </c>
      <c r="B6" s="30" t="s">
        <v>541</v>
      </c>
      <c r="C6" s="30" t="s">
        <v>142</v>
      </c>
      <c r="D6" s="30" t="s">
        <v>40</v>
      </c>
      <c r="E6" s="30" t="s">
        <v>110</v>
      </c>
      <c r="F6" s="57"/>
      <c r="G6" s="57"/>
      <c r="H6" s="96"/>
      <c r="I6" s="100" t="s">
        <v>3083</v>
      </c>
      <c r="J6" s="100" t="s">
        <v>2932</v>
      </c>
      <c r="K6" s="100" t="s">
        <v>3084</v>
      </c>
      <c r="L6" s="100" t="s">
        <v>3085</v>
      </c>
      <c r="M6" s="100" t="s">
        <v>3086</v>
      </c>
      <c r="N6" s="100" t="s">
        <v>3081</v>
      </c>
      <c r="O6" s="101" t="s">
        <v>3088</v>
      </c>
      <c r="P6" s="98"/>
      <c r="Q6" t="s">
        <v>3082</v>
      </c>
    </row>
    <row r="7" spans="1:17" x14ac:dyDescent="0.25">
      <c r="A7" s="55" t="s">
        <v>2747</v>
      </c>
      <c r="B7" s="56">
        <v>20</v>
      </c>
      <c r="C7" s="56"/>
      <c r="D7" s="56"/>
      <c r="E7" s="56">
        <v>1</v>
      </c>
      <c r="F7" s="30"/>
      <c r="G7" s="30"/>
      <c r="H7" s="30"/>
      <c r="I7" s="25" t="s">
        <v>1605</v>
      </c>
      <c r="J7" s="58">
        <f>VLOOKUP(Table9[[#This Row],[Donor Name]],$A$6:$E$72,2,FALSE)</f>
        <v>22</v>
      </c>
      <c r="K7" s="58">
        <f>VLOOKUP(Table9[[#This Row],[Donor Name]],$A$6:$E$72,3,FALSE)</f>
        <v>0</v>
      </c>
      <c r="L7" s="58">
        <f>VLOOKUP(Table9[[#This Row],[Donor Name]],$A$6:$E$72,4,FALSE)</f>
        <v>0</v>
      </c>
      <c r="M7" s="58">
        <f>VLOOKUP(Table9[[#This Row],[Donor Name]],$A$6:$E$72,5,FALSE)</f>
        <v>0</v>
      </c>
      <c r="N7" s="24">
        <f t="shared" ref="N7:N38" si="0">22-SUM(J7:M7)</f>
        <v>0</v>
      </c>
      <c r="O7" s="60">
        <f>VLOOKUP(Table9[[#This Row],[Donor Name]],'Overall scores and ranking'!$A$3:$C$71, 2,FALSE)</f>
        <v>90.637111812083049</v>
      </c>
      <c r="P7" s="30"/>
      <c r="Q7">
        <f>22-SUM(J7:N7)</f>
        <v>0</v>
      </c>
    </row>
    <row r="8" spans="1:17" x14ac:dyDescent="0.25">
      <c r="A8" s="55" t="s">
        <v>2381</v>
      </c>
      <c r="B8" s="56">
        <v>20</v>
      </c>
      <c r="C8" s="56"/>
      <c r="D8" s="56"/>
      <c r="E8" s="56"/>
      <c r="F8" s="30"/>
      <c r="G8" s="30"/>
      <c r="H8" s="30"/>
      <c r="I8" s="25" t="s">
        <v>2543</v>
      </c>
      <c r="J8" s="58">
        <f>VLOOKUP(Table9[[#This Row],[Donor Name]],$A$6:$E$72,2,FALSE)</f>
        <v>22</v>
      </c>
      <c r="K8" s="58">
        <f>VLOOKUP(Table9[[#This Row],[Donor Name]],$A$6:$E$72,3,FALSE)</f>
        <v>0</v>
      </c>
      <c r="L8" s="58">
        <f>VLOOKUP(Table9[[#This Row],[Donor Name]],$A$6:$E$72,4,FALSE)</f>
        <v>0</v>
      </c>
      <c r="M8" s="58">
        <f>VLOOKUP(Table9[[#This Row],[Donor Name]],$A$6:$E$72,5,FALSE)</f>
        <v>0</v>
      </c>
      <c r="N8" s="24">
        <f t="shared" si="0"/>
        <v>0</v>
      </c>
      <c r="O8" s="61">
        <f>VLOOKUP(Table9[[#This Row],[Donor Name]],'Overall scores and ranking'!$A$3:$C$71, 2,FALSE)</f>
        <v>88.336740299014735</v>
      </c>
      <c r="P8" s="30"/>
      <c r="Q8">
        <f t="shared" ref="Q8:Q72" si="1">22-SUM(J8:N8)</f>
        <v>0</v>
      </c>
    </row>
    <row r="9" spans="1:17" x14ac:dyDescent="0.25">
      <c r="A9" s="55" t="s">
        <v>2299</v>
      </c>
      <c r="B9" s="56">
        <v>13</v>
      </c>
      <c r="C9" s="56"/>
      <c r="D9" s="56">
        <v>2</v>
      </c>
      <c r="E9" s="56"/>
      <c r="F9" s="30"/>
      <c r="G9" s="30"/>
      <c r="H9" s="30"/>
      <c r="I9" s="25" t="s">
        <v>1319</v>
      </c>
      <c r="J9" s="58">
        <f>VLOOKUP(Table9[[#This Row],[Donor Name]],$A$6:$E$72,2,FALSE)</f>
        <v>22</v>
      </c>
      <c r="K9" s="58">
        <f>VLOOKUP(Table9[[#This Row],[Donor Name]],$A$6:$E$72,3,FALSE)</f>
        <v>0</v>
      </c>
      <c r="L9" s="58">
        <f>VLOOKUP(Table9[[#This Row],[Donor Name]],$A$6:$E$72,4,FALSE)</f>
        <v>0</v>
      </c>
      <c r="M9" s="58">
        <f>VLOOKUP(Table9[[#This Row],[Donor Name]],$A$6:$E$72,5,FALSE)</f>
        <v>0</v>
      </c>
      <c r="N9" s="24">
        <f t="shared" si="0"/>
        <v>0</v>
      </c>
      <c r="O9" s="61">
        <f>VLOOKUP(Table9[[#This Row],[Donor Name]],'Overall scores and ranking'!$A$3:$C$71, 2,FALSE)</f>
        <v>86.745722206106777</v>
      </c>
      <c r="P9" s="30"/>
      <c r="Q9">
        <f t="shared" si="1"/>
        <v>0</v>
      </c>
    </row>
    <row r="10" spans="1:17" x14ac:dyDescent="0.25">
      <c r="A10" s="55" t="s">
        <v>28</v>
      </c>
      <c r="B10" s="56"/>
      <c r="C10" s="56">
        <v>1</v>
      </c>
      <c r="D10" s="56">
        <v>6</v>
      </c>
      <c r="E10" s="56">
        <v>1</v>
      </c>
      <c r="F10" s="30"/>
      <c r="G10" s="30"/>
      <c r="H10" s="30"/>
      <c r="I10" s="25" t="s">
        <v>2381</v>
      </c>
      <c r="J10" s="58">
        <f>VLOOKUP(Table9[[#This Row],[Donor Name]],$A$6:$E$72,2,FALSE)</f>
        <v>20</v>
      </c>
      <c r="K10" s="58">
        <f>VLOOKUP(Table9[[#This Row],[Donor Name]],$A$6:$E$72,3,FALSE)</f>
        <v>0</v>
      </c>
      <c r="L10" s="58">
        <f>VLOOKUP(Table9[[#This Row],[Donor Name]],$A$6:$E$72,4,FALSE)</f>
        <v>0</v>
      </c>
      <c r="M10" s="58">
        <f>VLOOKUP(Table9[[#This Row],[Donor Name]],$A$6:$E$72,5,FALSE)</f>
        <v>0</v>
      </c>
      <c r="N10" s="24">
        <f t="shared" si="0"/>
        <v>2</v>
      </c>
      <c r="O10" s="61">
        <f>VLOOKUP(Table9[[#This Row],[Donor Name]],'Overall scores and ranking'!$A$3:$C$71, 2,FALSE)</f>
        <v>83.842838162282519</v>
      </c>
      <c r="P10" s="30"/>
      <c r="Q10">
        <f t="shared" si="1"/>
        <v>0</v>
      </c>
    </row>
    <row r="11" spans="1:17" x14ac:dyDescent="0.25">
      <c r="A11" s="55" t="s">
        <v>1931</v>
      </c>
      <c r="B11" s="56"/>
      <c r="C11" s="56">
        <v>1</v>
      </c>
      <c r="D11" s="56">
        <v>5</v>
      </c>
      <c r="E11" s="56"/>
      <c r="F11" s="30"/>
      <c r="G11" s="30"/>
      <c r="H11" s="30"/>
      <c r="I11" s="25" t="s">
        <v>1115</v>
      </c>
      <c r="J11" s="58">
        <f>VLOOKUP(Table9[[#This Row],[Donor Name]],$A$6:$E$72,2,FALSE)</f>
        <v>22</v>
      </c>
      <c r="K11" s="58">
        <f>VLOOKUP(Table9[[#This Row],[Donor Name]],$A$6:$E$72,3,FALSE)</f>
        <v>0</v>
      </c>
      <c r="L11" s="58">
        <f>VLOOKUP(Table9[[#This Row],[Donor Name]],$A$6:$E$72,4,FALSE)</f>
        <v>0</v>
      </c>
      <c r="M11" s="58">
        <f>VLOOKUP(Table9[[#This Row],[Donor Name]],$A$6:$E$72,5,FALSE)</f>
        <v>0</v>
      </c>
      <c r="N11" s="24">
        <f t="shared" si="0"/>
        <v>0</v>
      </c>
      <c r="O11" s="61">
        <f>VLOOKUP(Table9[[#This Row],[Donor Name]],'Overall scores and ranking'!$A$3:$C$71, 2,FALSE)</f>
        <v>83.274009759093047</v>
      </c>
      <c r="P11" s="30"/>
      <c r="Q11">
        <f t="shared" si="1"/>
        <v>0</v>
      </c>
    </row>
    <row r="12" spans="1:17" x14ac:dyDescent="0.25">
      <c r="A12" s="55" t="s">
        <v>1156</v>
      </c>
      <c r="B12" s="56"/>
      <c r="C12" s="56"/>
      <c r="D12" s="56">
        <v>7</v>
      </c>
      <c r="E12" s="56"/>
      <c r="F12" s="30"/>
      <c r="G12" s="30"/>
      <c r="H12" s="30"/>
      <c r="I12" s="25" t="s">
        <v>2625</v>
      </c>
      <c r="J12" s="58">
        <f>VLOOKUP(Table9[[#This Row],[Donor Name]],$A$6:$E$72,2,FALSE)</f>
        <v>18</v>
      </c>
      <c r="K12" s="58">
        <f>VLOOKUP(Table9[[#This Row],[Donor Name]],$A$6:$E$72,3,FALSE)</f>
        <v>4</v>
      </c>
      <c r="L12" s="58">
        <f>VLOOKUP(Table9[[#This Row],[Donor Name]],$A$6:$E$72,4,FALSE)</f>
        <v>0</v>
      </c>
      <c r="M12" s="58">
        <f>VLOOKUP(Table9[[#This Row],[Donor Name]],$A$6:$E$72,5,FALSE)</f>
        <v>0</v>
      </c>
      <c r="N12" s="24">
        <f t="shared" si="0"/>
        <v>0</v>
      </c>
      <c r="O12" s="61">
        <f>VLOOKUP(Table9[[#This Row],[Donor Name]],'Overall scores and ranking'!$A$3:$C$71, 2,FALSE)</f>
        <v>86.894622379238967</v>
      </c>
      <c r="P12" s="30"/>
      <c r="Q12">
        <f t="shared" si="1"/>
        <v>0</v>
      </c>
    </row>
    <row r="13" spans="1:17" x14ac:dyDescent="0.25">
      <c r="A13" s="55" t="s">
        <v>910</v>
      </c>
      <c r="B13" s="56">
        <v>18</v>
      </c>
      <c r="C13" s="56"/>
      <c r="D13" s="56">
        <v>2</v>
      </c>
      <c r="E13" s="56"/>
      <c r="F13" s="30"/>
      <c r="G13" s="30"/>
      <c r="H13" s="30"/>
      <c r="I13" s="25" t="s">
        <v>2707</v>
      </c>
      <c r="J13" s="58">
        <f>VLOOKUP(Table9[[#This Row],[Donor Name]],$A$6:$E$72,2,FALSE)</f>
        <v>20</v>
      </c>
      <c r="K13" s="58">
        <f>VLOOKUP(Table9[[#This Row],[Donor Name]],$A$6:$E$72,3,FALSE)</f>
        <v>0</v>
      </c>
      <c r="L13" s="58">
        <f>VLOOKUP(Table9[[#This Row],[Donor Name]],$A$6:$E$72,4,FALSE)</f>
        <v>0</v>
      </c>
      <c r="M13" s="58">
        <f>VLOOKUP(Table9[[#This Row],[Donor Name]],$A$6:$E$72,5,FALSE)</f>
        <v>1</v>
      </c>
      <c r="N13" s="24">
        <f t="shared" si="0"/>
        <v>1</v>
      </c>
      <c r="O13" s="61">
        <f>VLOOKUP(Table9[[#This Row],[Donor Name]],'Overall scores and ranking'!$A$3:$C$71, 2,FALSE)</f>
        <v>82.268961451623738</v>
      </c>
      <c r="P13" s="30"/>
      <c r="Q13">
        <f t="shared" si="1"/>
        <v>0</v>
      </c>
    </row>
    <row r="14" spans="1:17" x14ac:dyDescent="0.25">
      <c r="A14" s="55" t="s">
        <v>173</v>
      </c>
      <c r="B14" s="56"/>
      <c r="C14" s="56"/>
      <c r="D14" s="56">
        <v>1</v>
      </c>
      <c r="E14" s="56">
        <v>1</v>
      </c>
      <c r="F14" s="30"/>
      <c r="G14" s="30"/>
      <c r="H14" s="30"/>
      <c r="I14" s="25" t="s">
        <v>2747</v>
      </c>
      <c r="J14" s="58">
        <f>VLOOKUP(Table9[[#This Row],[Donor Name]],$A$6:$E$72,2,FALSE)</f>
        <v>20</v>
      </c>
      <c r="K14" s="58">
        <f>VLOOKUP(Table9[[#This Row],[Donor Name]],$A$6:$E$72,3,FALSE)</f>
        <v>0</v>
      </c>
      <c r="L14" s="58">
        <f>VLOOKUP(Table9[[#This Row],[Donor Name]],$A$6:$E$72,4,FALSE)</f>
        <v>0</v>
      </c>
      <c r="M14" s="58">
        <f>VLOOKUP(Table9[[#This Row],[Donor Name]],$A$6:$E$72,5,FALSE)</f>
        <v>1</v>
      </c>
      <c r="N14" s="24">
        <f t="shared" si="0"/>
        <v>1</v>
      </c>
      <c r="O14" s="61">
        <f>VLOOKUP(Table9[[#This Row],[Donor Name]],'Overall scores and ranking'!$A$3:$C$71, 2,FALSE)</f>
        <v>74.51602883307369</v>
      </c>
      <c r="P14" s="30"/>
      <c r="Q14">
        <f t="shared" si="1"/>
        <v>0</v>
      </c>
    </row>
    <row r="15" spans="1:17" x14ac:dyDescent="0.25">
      <c r="A15" s="55" t="s">
        <v>1972</v>
      </c>
      <c r="B15" s="56"/>
      <c r="C15" s="56"/>
      <c r="D15" s="56">
        <v>5</v>
      </c>
      <c r="E15" s="56"/>
      <c r="F15" s="30"/>
      <c r="G15" s="30"/>
      <c r="H15" s="30"/>
      <c r="I15" s="25" t="s">
        <v>951</v>
      </c>
      <c r="J15" s="58">
        <f>VLOOKUP(Table9[[#This Row],[Donor Name]],$A$6:$E$72,2,FALSE)</f>
        <v>17</v>
      </c>
      <c r="K15" s="58">
        <f>VLOOKUP(Table9[[#This Row],[Donor Name]],$A$6:$E$72,3,FALSE)</f>
        <v>1</v>
      </c>
      <c r="L15" s="58">
        <f>VLOOKUP(Table9[[#This Row],[Donor Name]],$A$6:$E$72,4,FALSE)</f>
        <v>0</v>
      </c>
      <c r="M15" s="58">
        <f>VLOOKUP(Table9[[#This Row],[Donor Name]],$A$6:$E$72,5,FALSE)</f>
        <v>1</v>
      </c>
      <c r="N15" s="24">
        <f t="shared" si="0"/>
        <v>3</v>
      </c>
      <c r="O15" s="61">
        <f>VLOOKUP(Table9[[#This Row],[Donor Name]],'Overall scores and ranking'!$A$3:$C$71, 2,FALSE)</f>
        <v>73.917398103455028</v>
      </c>
      <c r="P15" s="30"/>
      <c r="Q15">
        <f t="shared" si="1"/>
        <v>0</v>
      </c>
    </row>
    <row r="16" spans="1:17" x14ac:dyDescent="0.25">
      <c r="A16" s="55" t="s">
        <v>214</v>
      </c>
      <c r="B16" s="56"/>
      <c r="C16" s="56">
        <v>8</v>
      </c>
      <c r="D16" s="56">
        <v>5</v>
      </c>
      <c r="E16" s="56">
        <v>1</v>
      </c>
      <c r="F16" s="30"/>
      <c r="G16" s="30"/>
      <c r="H16" s="30"/>
      <c r="I16" s="25" t="s">
        <v>1238</v>
      </c>
      <c r="J16" s="58">
        <f>VLOOKUP(Table9[[#This Row],[Donor Name]],$A$6:$E$72,2,FALSE)</f>
        <v>17</v>
      </c>
      <c r="K16" s="58">
        <f>VLOOKUP(Table9[[#This Row],[Donor Name]],$A$6:$E$72,3,FALSE)</f>
        <v>2</v>
      </c>
      <c r="L16" s="58">
        <f>VLOOKUP(Table9[[#This Row],[Donor Name]],$A$6:$E$72,4,FALSE)</f>
        <v>0</v>
      </c>
      <c r="M16" s="58">
        <f>VLOOKUP(Table9[[#This Row],[Donor Name]],$A$6:$E$72,5,FALSE)</f>
        <v>1</v>
      </c>
      <c r="N16" s="24">
        <f t="shared" si="0"/>
        <v>2</v>
      </c>
      <c r="O16" s="61">
        <f>VLOOKUP(Table9[[#This Row],[Donor Name]],'Overall scores and ranking'!$A$3:$C$71, 2,FALSE)</f>
        <v>73.298105355600043</v>
      </c>
      <c r="P16" s="30"/>
      <c r="Q16">
        <f t="shared" si="1"/>
        <v>0</v>
      </c>
    </row>
    <row r="17" spans="1:17" x14ac:dyDescent="0.25">
      <c r="A17" s="55" t="s">
        <v>2787</v>
      </c>
      <c r="B17" s="56">
        <v>17</v>
      </c>
      <c r="C17" s="56">
        <v>1</v>
      </c>
      <c r="D17" s="56"/>
      <c r="E17" s="56">
        <v>1</v>
      </c>
      <c r="F17" s="30"/>
      <c r="G17" s="30"/>
      <c r="H17" s="30"/>
      <c r="I17" s="25" t="s">
        <v>910</v>
      </c>
      <c r="J17" s="58">
        <f>VLOOKUP(Table9[[#This Row],[Donor Name]],$A$6:$E$72,2,FALSE)</f>
        <v>18</v>
      </c>
      <c r="K17" s="58">
        <f>VLOOKUP(Table9[[#This Row],[Donor Name]],$A$6:$E$72,3,FALSE)</f>
        <v>0</v>
      </c>
      <c r="L17" s="58">
        <f>VLOOKUP(Table9[[#This Row],[Donor Name]],$A$6:$E$72,4,FALSE)</f>
        <v>2</v>
      </c>
      <c r="M17" s="58">
        <f>VLOOKUP(Table9[[#This Row],[Donor Name]],$A$6:$E$72,5,FALSE)</f>
        <v>0</v>
      </c>
      <c r="N17" s="24">
        <f t="shared" si="0"/>
        <v>2</v>
      </c>
      <c r="O17" s="61">
        <f>VLOOKUP(Table9[[#This Row],[Donor Name]],'Overall scores and ranking'!$A$3:$C$71, 2,FALSE)</f>
        <v>71.671348938086496</v>
      </c>
      <c r="P17" s="30"/>
      <c r="Q17">
        <f t="shared" si="1"/>
        <v>0</v>
      </c>
    </row>
    <row r="18" spans="1:17" x14ac:dyDescent="0.25">
      <c r="A18" s="55" t="s">
        <v>255</v>
      </c>
      <c r="B18" s="56"/>
      <c r="C18" s="56">
        <v>5</v>
      </c>
      <c r="D18" s="56">
        <v>8</v>
      </c>
      <c r="E18" s="56">
        <v>1</v>
      </c>
      <c r="F18" s="30"/>
      <c r="G18" s="30"/>
      <c r="H18" s="30"/>
      <c r="I18" s="25" t="s">
        <v>2217</v>
      </c>
      <c r="J18" s="58">
        <f>VLOOKUP(Table9[[#This Row],[Donor Name]],$A$6:$E$72,2,FALSE)</f>
        <v>20</v>
      </c>
      <c r="K18" s="58">
        <f>VLOOKUP(Table9[[#This Row],[Donor Name]],$A$6:$E$72,3,FALSE)</f>
        <v>0</v>
      </c>
      <c r="L18" s="58">
        <f>VLOOKUP(Table9[[#This Row],[Donor Name]],$A$6:$E$72,4,FALSE)</f>
        <v>0</v>
      </c>
      <c r="M18" s="58">
        <f>VLOOKUP(Table9[[#This Row],[Donor Name]],$A$6:$E$72,5,FALSE)</f>
        <v>0</v>
      </c>
      <c r="N18" s="24">
        <f t="shared" si="0"/>
        <v>2</v>
      </c>
      <c r="O18" s="61">
        <f>VLOOKUP(Table9[[#This Row],[Donor Name]],'Overall scores and ranking'!$A$3:$C$71, 2,FALSE)</f>
        <v>69.076054883904291</v>
      </c>
      <c r="P18" s="30"/>
      <c r="Q18">
        <f t="shared" si="1"/>
        <v>0</v>
      </c>
    </row>
    <row r="19" spans="1:17" x14ac:dyDescent="0.25">
      <c r="A19" s="55" t="s">
        <v>868</v>
      </c>
      <c r="B19" s="56">
        <v>20</v>
      </c>
      <c r="C19" s="56"/>
      <c r="D19" s="56"/>
      <c r="E19" s="56"/>
      <c r="F19" s="30"/>
      <c r="G19" s="30"/>
      <c r="H19" s="30"/>
      <c r="I19" s="25" t="s">
        <v>868</v>
      </c>
      <c r="J19" s="58">
        <f>VLOOKUP(Table9[[#This Row],[Donor Name]],$A$6:$E$72,2,FALSE)</f>
        <v>20</v>
      </c>
      <c r="K19" s="58">
        <f>VLOOKUP(Table9[[#This Row],[Donor Name]],$A$6:$E$72,3,FALSE)</f>
        <v>0</v>
      </c>
      <c r="L19" s="58">
        <f>VLOOKUP(Table9[[#This Row],[Donor Name]],$A$6:$E$72,4,FALSE)</f>
        <v>0</v>
      </c>
      <c r="M19" s="58">
        <f>VLOOKUP(Table9[[#This Row],[Donor Name]],$A$6:$E$72,5,FALSE)</f>
        <v>0</v>
      </c>
      <c r="N19" s="24">
        <f t="shared" si="0"/>
        <v>2</v>
      </c>
      <c r="O19" s="61">
        <f>VLOOKUP(Table9[[#This Row],[Donor Name]],'Overall scores and ranking'!$A$3:$C$71, 2,FALSE)</f>
        <v>68.230851769636672</v>
      </c>
      <c r="P19" s="30"/>
      <c r="Q19">
        <f t="shared" si="1"/>
        <v>0</v>
      </c>
    </row>
    <row r="20" spans="1:17" x14ac:dyDescent="0.25">
      <c r="A20" s="55" t="s">
        <v>1685</v>
      </c>
      <c r="B20" s="56">
        <v>16</v>
      </c>
      <c r="C20" s="56"/>
      <c r="D20" s="56">
        <v>1</v>
      </c>
      <c r="E20" s="56"/>
      <c r="F20" s="30"/>
      <c r="G20" s="30"/>
      <c r="H20" s="30"/>
      <c r="I20" s="25" t="s">
        <v>2095</v>
      </c>
      <c r="J20" s="58">
        <f>VLOOKUP(Table9[[#This Row],[Donor Name]],$A$6:$E$72,2,FALSE)</f>
        <v>19</v>
      </c>
      <c r="K20" s="58">
        <f>VLOOKUP(Table9[[#This Row],[Donor Name]],$A$6:$E$72,3,FALSE)</f>
        <v>1</v>
      </c>
      <c r="L20" s="58">
        <f>VLOOKUP(Table9[[#This Row],[Donor Name]],$A$6:$E$72,4,FALSE)</f>
        <v>0</v>
      </c>
      <c r="M20" s="58">
        <f>VLOOKUP(Table9[[#This Row],[Donor Name]],$A$6:$E$72,5,FALSE)</f>
        <v>0</v>
      </c>
      <c r="N20" s="24">
        <f t="shared" si="0"/>
        <v>2</v>
      </c>
      <c r="O20" s="61">
        <f>VLOOKUP(Table9[[#This Row],[Donor Name]],'Overall scores and ranking'!$A$3:$C$71, 2,FALSE)</f>
        <v>64.648942945170745</v>
      </c>
      <c r="P20" s="30"/>
      <c r="Q20">
        <f t="shared" si="1"/>
        <v>0</v>
      </c>
    </row>
    <row r="21" spans="1:17" x14ac:dyDescent="0.25">
      <c r="A21" s="55" t="s">
        <v>1482</v>
      </c>
      <c r="B21" s="56">
        <v>17</v>
      </c>
      <c r="C21" s="56"/>
      <c r="D21" s="56"/>
      <c r="E21" s="56"/>
      <c r="F21" s="30"/>
      <c r="G21" s="30"/>
      <c r="H21" s="30"/>
      <c r="I21" s="25" t="s">
        <v>1482</v>
      </c>
      <c r="J21" s="58">
        <f>VLOOKUP(Table9[[#This Row],[Donor Name]],$A$6:$E$72,2,FALSE)</f>
        <v>17</v>
      </c>
      <c r="K21" s="58">
        <f>VLOOKUP(Table9[[#This Row],[Donor Name]],$A$6:$E$72,3,FALSE)</f>
        <v>0</v>
      </c>
      <c r="L21" s="58">
        <f>VLOOKUP(Table9[[#This Row],[Donor Name]],$A$6:$E$72,4,FALSE)</f>
        <v>0</v>
      </c>
      <c r="M21" s="58">
        <f>VLOOKUP(Table9[[#This Row],[Donor Name]],$A$6:$E$72,5,FALSE)</f>
        <v>0</v>
      </c>
      <c r="N21" s="24">
        <f t="shared" si="0"/>
        <v>5</v>
      </c>
      <c r="O21" s="61">
        <f>VLOOKUP(Table9[[#This Row],[Donor Name]],'Overall scores and ranking'!$A$3:$C$71, 2,FALSE)</f>
        <v>61.767921206882917</v>
      </c>
      <c r="P21" s="30"/>
      <c r="Q21">
        <f t="shared" si="1"/>
        <v>0</v>
      </c>
    </row>
    <row r="22" spans="1:17" x14ac:dyDescent="0.25">
      <c r="A22" s="55" t="s">
        <v>2217</v>
      </c>
      <c r="B22" s="56">
        <v>20</v>
      </c>
      <c r="C22" s="56"/>
      <c r="D22" s="56"/>
      <c r="E22" s="56"/>
      <c r="F22" s="30"/>
      <c r="G22" s="30"/>
      <c r="H22" s="30"/>
      <c r="I22" s="25" t="s">
        <v>1685</v>
      </c>
      <c r="J22" s="58">
        <f>VLOOKUP(Table9[[#This Row],[Donor Name]],$A$6:$E$72,2,FALSE)</f>
        <v>16</v>
      </c>
      <c r="K22" s="58">
        <f>VLOOKUP(Table9[[#This Row],[Donor Name]],$A$6:$E$72,3,FALSE)</f>
        <v>0</v>
      </c>
      <c r="L22" s="58">
        <f>VLOOKUP(Table9[[#This Row],[Donor Name]],$A$6:$E$72,4,FALSE)</f>
        <v>1</v>
      </c>
      <c r="M22" s="58">
        <f>VLOOKUP(Table9[[#This Row],[Donor Name]],$A$6:$E$72,5,FALSE)</f>
        <v>0</v>
      </c>
      <c r="N22" s="24">
        <f t="shared" si="0"/>
        <v>5</v>
      </c>
      <c r="O22" s="61">
        <f>VLOOKUP(Table9[[#This Row],[Donor Name]],'Overall scores and ranking'!$A$3:$C$71, 2,FALSE)</f>
        <v>59.913796849686776</v>
      </c>
      <c r="P22" s="30"/>
      <c r="Q22">
        <f t="shared" si="1"/>
        <v>0</v>
      </c>
    </row>
    <row r="23" spans="1:17" x14ac:dyDescent="0.25">
      <c r="A23" s="55" t="s">
        <v>295</v>
      </c>
      <c r="B23" s="56"/>
      <c r="C23" s="56">
        <v>4</v>
      </c>
      <c r="D23" s="56">
        <v>6</v>
      </c>
      <c r="E23" s="56">
        <v>2</v>
      </c>
      <c r="F23" s="30"/>
      <c r="G23" s="30"/>
      <c r="H23" s="30"/>
      <c r="I23" s="25" t="s">
        <v>2421</v>
      </c>
      <c r="J23" s="58">
        <f>VLOOKUP(Table9[[#This Row],[Donor Name]],$A$6:$E$72,2,FALSE)</f>
        <v>14</v>
      </c>
      <c r="K23" s="58">
        <f>VLOOKUP(Table9[[#This Row],[Donor Name]],$A$6:$E$72,3,FALSE)</f>
        <v>3</v>
      </c>
      <c r="L23" s="58">
        <f>VLOOKUP(Table9[[#This Row],[Donor Name]],$A$6:$E$72,4,FALSE)</f>
        <v>0</v>
      </c>
      <c r="M23" s="58">
        <f>VLOOKUP(Table9[[#This Row],[Donor Name]],$A$6:$E$72,5,FALSE)</f>
        <v>1</v>
      </c>
      <c r="N23" s="24">
        <f t="shared" si="0"/>
        <v>4</v>
      </c>
      <c r="O23" s="61">
        <f>VLOOKUP(Table9[[#This Row],[Donor Name]],'Overall scores and ranking'!$A$3:$C$71, 2,FALSE)</f>
        <v>53.922389450033187</v>
      </c>
      <c r="P23" s="30"/>
      <c r="Q23">
        <f t="shared" si="1"/>
        <v>0</v>
      </c>
    </row>
    <row r="24" spans="1:17" x14ac:dyDescent="0.25">
      <c r="A24" s="55" t="s">
        <v>335</v>
      </c>
      <c r="B24" s="56"/>
      <c r="C24" s="56">
        <v>11</v>
      </c>
      <c r="D24" s="56">
        <v>3</v>
      </c>
      <c r="E24" s="56">
        <v>1</v>
      </c>
      <c r="F24" s="30"/>
      <c r="G24" s="30"/>
      <c r="H24" s="30"/>
      <c r="I24" s="25" t="s">
        <v>1767</v>
      </c>
      <c r="J24" s="58">
        <f>VLOOKUP(Table9[[#This Row],[Donor Name]],$A$6:$E$72,2,FALSE)</f>
        <v>19</v>
      </c>
      <c r="K24" s="58">
        <f>VLOOKUP(Table9[[#This Row],[Donor Name]],$A$6:$E$72,3,FALSE)</f>
        <v>0</v>
      </c>
      <c r="L24" s="58">
        <f>VLOOKUP(Table9[[#This Row],[Donor Name]],$A$6:$E$72,4,FALSE)</f>
        <v>1</v>
      </c>
      <c r="M24" s="58">
        <f>VLOOKUP(Table9[[#This Row],[Donor Name]],$A$6:$E$72,5,FALSE)</f>
        <v>0</v>
      </c>
      <c r="N24" s="24">
        <f t="shared" si="0"/>
        <v>2</v>
      </c>
      <c r="O24" s="61">
        <f>VLOOKUP(Table9[[#This Row],[Donor Name]],'Overall scores and ranking'!$A$3:$C$71, 2,FALSE)</f>
        <v>53.764271701626981</v>
      </c>
      <c r="P24" s="30"/>
      <c r="Q24">
        <f t="shared" si="1"/>
        <v>0</v>
      </c>
    </row>
    <row r="25" spans="1:17" x14ac:dyDescent="0.25">
      <c r="A25" s="55" t="s">
        <v>991</v>
      </c>
      <c r="B25" s="56">
        <v>14</v>
      </c>
      <c r="C25" s="56">
        <v>1</v>
      </c>
      <c r="D25" s="56">
        <v>2</v>
      </c>
      <c r="E25" s="56"/>
      <c r="F25" s="30"/>
      <c r="G25" s="30"/>
      <c r="H25" s="30"/>
      <c r="I25" s="25" t="s">
        <v>1197</v>
      </c>
      <c r="J25" s="58">
        <f>VLOOKUP(Table9[[#This Row],[Donor Name]],$A$6:$E$72,2,FALSE)</f>
        <v>17</v>
      </c>
      <c r="K25" s="58">
        <f>VLOOKUP(Table9[[#This Row],[Donor Name]],$A$6:$E$72,3,FALSE)</f>
        <v>0</v>
      </c>
      <c r="L25" s="58">
        <f>VLOOKUP(Table9[[#This Row],[Donor Name]],$A$6:$E$72,4,FALSE)</f>
        <v>1</v>
      </c>
      <c r="M25" s="58">
        <f>VLOOKUP(Table9[[#This Row],[Donor Name]],$A$6:$E$72,5,FALSE)</f>
        <v>0</v>
      </c>
      <c r="N25" s="24">
        <f t="shared" si="0"/>
        <v>4</v>
      </c>
      <c r="O25" s="61">
        <f>VLOOKUP(Table9[[#This Row],[Donor Name]],'Overall scores and ranking'!$A$3:$C$71, 2,FALSE)</f>
        <v>53.780289086474419</v>
      </c>
      <c r="P25" s="30"/>
      <c r="Q25">
        <f t="shared" si="1"/>
        <v>0</v>
      </c>
    </row>
    <row r="26" spans="1:17" x14ac:dyDescent="0.25">
      <c r="A26" s="55" t="s">
        <v>2135</v>
      </c>
      <c r="B26" s="56"/>
      <c r="C26" s="56"/>
      <c r="D26" s="56">
        <v>9</v>
      </c>
      <c r="E26" s="56">
        <v>3</v>
      </c>
      <c r="F26" s="30"/>
      <c r="G26" s="30"/>
      <c r="H26" s="30"/>
      <c r="I26" s="25" t="s">
        <v>1890</v>
      </c>
      <c r="J26" s="58">
        <f>VLOOKUP(Table9[[#This Row],[Donor Name]],$A$6:$E$72,2,FALSE)</f>
        <v>17</v>
      </c>
      <c r="K26" s="58">
        <f>VLOOKUP(Table9[[#This Row],[Donor Name]],$A$6:$E$72,3,FALSE)</f>
        <v>0</v>
      </c>
      <c r="L26" s="58">
        <f>VLOOKUP(Table9[[#This Row],[Donor Name]],$A$6:$E$72,4,FALSE)</f>
        <v>0</v>
      </c>
      <c r="M26" s="58">
        <f>VLOOKUP(Table9[[#This Row],[Donor Name]],$A$6:$E$72,5,FALSE)</f>
        <v>0</v>
      </c>
      <c r="N26" s="24">
        <f t="shared" si="0"/>
        <v>5</v>
      </c>
      <c r="O26" s="61">
        <f>VLOOKUP(Table9[[#This Row],[Donor Name]],'Overall scores and ranking'!$A$3:$C$71, 2,FALSE)</f>
        <v>50.598212522694539</v>
      </c>
      <c r="P26" s="30"/>
      <c r="Q26">
        <f t="shared" si="1"/>
        <v>0</v>
      </c>
    </row>
    <row r="27" spans="1:17" x14ac:dyDescent="0.25">
      <c r="A27" s="55" t="s">
        <v>3188</v>
      </c>
      <c r="B27" s="56">
        <v>16</v>
      </c>
      <c r="C27" s="56"/>
      <c r="D27" s="56"/>
      <c r="E27" s="56">
        <v>1</v>
      </c>
      <c r="F27" s="30"/>
      <c r="G27" s="30"/>
      <c r="H27" s="30"/>
      <c r="I27" s="25" t="s">
        <v>2462</v>
      </c>
      <c r="J27" s="58">
        <f>VLOOKUP(Table9[[#This Row],[Donor Name]],$A$6:$E$72,2,FALSE)</f>
        <v>14</v>
      </c>
      <c r="K27" s="58">
        <f>VLOOKUP(Table9[[#This Row],[Donor Name]],$A$6:$E$72,3,FALSE)</f>
        <v>2</v>
      </c>
      <c r="L27" s="58">
        <f>VLOOKUP(Table9[[#This Row],[Donor Name]],$A$6:$E$72,4,FALSE)</f>
        <v>0</v>
      </c>
      <c r="M27" s="58">
        <f>VLOOKUP(Table9[[#This Row],[Donor Name]],$A$6:$E$72,5,FALSE)</f>
        <v>2</v>
      </c>
      <c r="N27" s="24">
        <f t="shared" si="0"/>
        <v>4</v>
      </c>
      <c r="O27" s="61">
        <f>VLOOKUP(Table9[[#This Row],[Donor Name]],'Overall scores and ranking'!$A$3:$C$71, 2,FALSE)</f>
        <v>50.824189529418135</v>
      </c>
      <c r="P27" s="30"/>
      <c r="Q27">
        <f t="shared" si="1"/>
        <v>0</v>
      </c>
    </row>
    <row r="28" spans="1:17" x14ac:dyDescent="0.25">
      <c r="A28" s="55" t="s">
        <v>376</v>
      </c>
      <c r="B28" s="56"/>
      <c r="C28" s="56"/>
      <c r="D28" s="56"/>
      <c r="E28" s="56">
        <v>1</v>
      </c>
      <c r="F28" s="30"/>
      <c r="G28" s="30"/>
      <c r="H28" s="30"/>
      <c r="I28" s="25" t="s">
        <v>2787</v>
      </c>
      <c r="J28" s="58">
        <f>VLOOKUP(Table9[[#This Row],[Donor Name]],$A$6:$E$72,2,FALSE)</f>
        <v>17</v>
      </c>
      <c r="K28" s="58">
        <f>VLOOKUP(Table9[[#This Row],[Donor Name]],$A$6:$E$72,3,FALSE)</f>
        <v>1</v>
      </c>
      <c r="L28" s="58">
        <f>VLOOKUP(Table9[[#This Row],[Donor Name]],$A$6:$E$72,4,FALSE)</f>
        <v>0</v>
      </c>
      <c r="M28" s="58">
        <f>VLOOKUP(Table9[[#This Row],[Donor Name]],$A$6:$E$72,5,FALSE)</f>
        <v>1</v>
      </c>
      <c r="N28" s="24">
        <f t="shared" si="0"/>
        <v>3</v>
      </c>
      <c r="O28" s="61">
        <f>VLOOKUP(Table9[[#This Row],[Donor Name]],'Overall scores and ranking'!$A$3:$C$71, 2,FALSE)</f>
        <v>49.639004137678008</v>
      </c>
      <c r="P28" s="30"/>
      <c r="Q28">
        <f t="shared" si="1"/>
        <v>0</v>
      </c>
    </row>
    <row r="29" spans="1:17" x14ac:dyDescent="0.25">
      <c r="A29" s="55" t="s">
        <v>1073</v>
      </c>
      <c r="B29" s="56">
        <v>17</v>
      </c>
      <c r="C29" s="56">
        <v>1</v>
      </c>
      <c r="D29" s="56"/>
      <c r="E29" s="56"/>
      <c r="F29" s="30"/>
      <c r="G29" s="30"/>
      <c r="H29" s="30"/>
      <c r="I29" s="25" t="s">
        <v>539</v>
      </c>
      <c r="J29" s="58">
        <f>VLOOKUP(Table9[[#This Row],[Donor Name]],$A$6:$E$72,2,FALSE)</f>
        <v>7</v>
      </c>
      <c r="K29" s="58">
        <f>VLOOKUP(Table9[[#This Row],[Donor Name]],$A$6:$E$72,3,FALSE)</f>
        <v>0</v>
      </c>
      <c r="L29" s="58">
        <f>VLOOKUP(Table9[[#This Row],[Donor Name]],$A$6:$E$72,4,FALSE)</f>
        <v>7</v>
      </c>
      <c r="M29" s="58">
        <f>VLOOKUP(Table9[[#This Row],[Donor Name]],$A$6:$E$72,5,FALSE)</f>
        <v>0</v>
      </c>
      <c r="N29" s="24">
        <f t="shared" si="0"/>
        <v>8</v>
      </c>
      <c r="O29" s="61">
        <f>VLOOKUP(Table9[[#This Row],[Donor Name]],'Overall scores and ranking'!$A$3:$C$71, 2,FALSE)</f>
        <v>37.214129285714243</v>
      </c>
      <c r="P29" s="30"/>
      <c r="Q29">
        <f t="shared" si="1"/>
        <v>0</v>
      </c>
    </row>
    <row r="30" spans="1:17" x14ac:dyDescent="0.25">
      <c r="A30" s="55" t="s">
        <v>1319</v>
      </c>
      <c r="B30" s="56">
        <v>22</v>
      </c>
      <c r="C30" s="56"/>
      <c r="D30" s="56"/>
      <c r="E30" s="56"/>
      <c r="F30" s="30"/>
      <c r="G30" s="30"/>
      <c r="H30" s="30"/>
      <c r="I30" s="25" t="s">
        <v>1073</v>
      </c>
      <c r="J30" s="58">
        <f>VLOOKUP(Table9[[#This Row],[Donor Name]],$A$6:$E$72,2,FALSE)</f>
        <v>17</v>
      </c>
      <c r="K30" s="58">
        <f>VLOOKUP(Table9[[#This Row],[Donor Name]],$A$6:$E$72,3,FALSE)</f>
        <v>1</v>
      </c>
      <c r="L30" s="58">
        <f>VLOOKUP(Table9[[#This Row],[Donor Name]],$A$6:$E$72,4,FALSE)</f>
        <v>0</v>
      </c>
      <c r="M30" s="58">
        <f>VLOOKUP(Table9[[#This Row],[Donor Name]],$A$6:$E$72,5,FALSE)</f>
        <v>0</v>
      </c>
      <c r="N30" s="24">
        <f t="shared" si="0"/>
        <v>4</v>
      </c>
      <c r="O30" s="61">
        <f>VLOOKUP(Table9[[#This Row],[Donor Name]],'Overall scores and ranking'!$A$3:$C$71, 2,FALSE)</f>
        <v>46.551687042519696</v>
      </c>
      <c r="P30" s="30"/>
      <c r="Q30">
        <f t="shared" si="1"/>
        <v>0</v>
      </c>
    </row>
    <row r="31" spans="1:17" x14ac:dyDescent="0.25">
      <c r="A31" s="55" t="s">
        <v>2989</v>
      </c>
      <c r="B31" s="56"/>
      <c r="C31" s="56"/>
      <c r="D31" s="56">
        <v>1</v>
      </c>
      <c r="E31" s="56">
        <v>1</v>
      </c>
      <c r="F31" s="30"/>
      <c r="G31" s="30"/>
      <c r="H31" s="30"/>
      <c r="I31" s="25" t="s">
        <v>991</v>
      </c>
      <c r="J31" s="58">
        <f>VLOOKUP(Table9[[#This Row],[Donor Name]],$A$6:$E$72,2,FALSE)</f>
        <v>14</v>
      </c>
      <c r="K31" s="58">
        <f>VLOOKUP(Table9[[#This Row],[Donor Name]],$A$6:$E$72,3,FALSE)</f>
        <v>1</v>
      </c>
      <c r="L31" s="58">
        <f>VLOOKUP(Table9[[#This Row],[Donor Name]],$A$6:$E$72,4,FALSE)</f>
        <v>2</v>
      </c>
      <c r="M31" s="58">
        <f>VLOOKUP(Table9[[#This Row],[Donor Name]],$A$6:$E$72,5,FALSE)</f>
        <v>0</v>
      </c>
      <c r="N31" s="24">
        <f t="shared" si="0"/>
        <v>5</v>
      </c>
      <c r="O31" s="61">
        <f>VLOOKUP(Table9[[#This Row],[Donor Name]],'Overall scores and ranking'!$A$3:$C$71, 2,FALSE)</f>
        <v>46.272840186650129</v>
      </c>
      <c r="P31" s="30"/>
      <c r="Q31">
        <f t="shared" si="1"/>
        <v>0</v>
      </c>
    </row>
    <row r="32" spans="1:17" x14ac:dyDescent="0.25">
      <c r="A32" s="55" t="s">
        <v>2421</v>
      </c>
      <c r="B32" s="56">
        <v>14</v>
      </c>
      <c r="C32" s="56">
        <v>3</v>
      </c>
      <c r="D32" s="56"/>
      <c r="E32" s="56">
        <v>1</v>
      </c>
      <c r="F32" s="30"/>
      <c r="G32" s="30"/>
      <c r="H32" s="30"/>
      <c r="I32" s="25" t="s">
        <v>2299</v>
      </c>
      <c r="J32" s="58">
        <f>VLOOKUP(Table9[[#This Row],[Donor Name]],$A$6:$E$72,2,FALSE)</f>
        <v>13</v>
      </c>
      <c r="K32" s="58">
        <f>VLOOKUP(Table9[[#This Row],[Donor Name]],$A$6:$E$72,3,FALSE)</f>
        <v>0</v>
      </c>
      <c r="L32" s="58">
        <f>VLOOKUP(Table9[[#This Row],[Donor Name]],$A$6:$E$72,4,FALSE)</f>
        <v>2</v>
      </c>
      <c r="M32" s="58">
        <f>VLOOKUP(Table9[[#This Row],[Donor Name]],$A$6:$E$72,5,FALSE)</f>
        <v>0</v>
      </c>
      <c r="N32" s="24">
        <f t="shared" si="0"/>
        <v>7</v>
      </c>
      <c r="O32" s="61">
        <f>VLOOKUP(Table9[[#This Row],[Donor Name]],'Overall scores and ranking'!$A$3:$C$71, 2,FALSE)</f>
        <v>45.912189861504473</v>
      </c>
      <c r="P32" s="30"/>
      <c r="Q32">
        <f t="shared" si="1"/>
        <v>0</v>
      </c>
    </row>
    <row r="33" spans="1:17" x14ac:dyDescent="0.25">
      <c r="A33" s="55" t="s">
        <v>2462</v>
      </c>
      <c r="B33" s="56">
        <v>14</v>
      </c>
      <c r="C33" s="56">
        <v>2</v>
      </c>
      <c r="D33" s="56"/>
      <c r="E33" s="56">
        <v>2</v>
      </c>
      <c r="F33" s="30"/>
      <c r="G33" s="30"/>
      <c r="H33" s="30"/>
      <c r="I33" s="25" t="s">
        <v>1523</v>
      </c>
      <c r="J33" s="58">
        <f>VLOOKUP(Table9[[#This Row],[Donor Name]],$A$6:$E$72,2,FALSE)</f>
        <v>13</v>
      </c>
      <c r="K33" s="58">
        <f>VLOOKUP(Table9[[#This Row],[Donor Name]],$A$6:$E$72,3,FALSE)</f>
        <v>1</v>
      </c>
      <c r="L33" s="58">
        <f>VLOOKUP(Table9[[#This Row],[Donor Name]],$A$6:$E$72,4,FALSE)</f>
        <v>3</v>
      </c>
      <c r="M33" s="58">
        <f>VLOOKUP(Table9[[#This Row],[Donor Name]],$A$6:$E$72,5,FALSE)</f>
        <v>1</v>
      </c>
      <c r="N33" s="24">
        <f t="shared" si="0"/>
        <v>4</v>
      </c>
      <c r="O33" s="61">
        <f>VLOOKUP(Table9[[#This Row],[Donor Name]],'Overall scores and ranking'!$A$3:$C$71, 2,FALSE)</f>
        <v>45.12154717964065</v>
      </c>
      <c r="P33" s="30"/>
      <c r="Q33">
        <f t="shared" si="1"/>
        <v>0</v>
      </c>
    </row>
    <row r="34" spans="1:17" x14ac:dyDescent="0.25">
      <c r="A34" s="55" t="s">
        <v>1238</v>
      </c>
      <c r="B34" s="56">
        <v>17</v>
      </c>
      <c r="C34" s="56">
        <v>2</v>
      </c>
      <c r="D34" s="56"/>
      <c r="E34" s="56">
        <v>1</v>
      </c>
      <c r="F34" s="30"/>
      <c r="G34" s="30"/>
      <c r="H34" s="30"/>
      <c r="I34" s="25" t="s">
        <v>3188</v>
      </c>
      <c r="J34" s="58">
        <f>VLOOKUP(Table9[[#This Row],[Donor Name]],$A$6:$E$72,2,FALSE)</f>
        <v>16</v>
      </c>
      <c r="K34" s="58">
        <f>VLOOKUP(Table9[[#This Row],[Donor Name]],$A$6:$E$72,3,FALSE)</f>
        <v>0</v>
      </c>
      <c r="L34" s="58">
        <f>VLOOKUP(Table9[[#This Row],[Donor Name]],$A$6:$E$72,4,FALSE)</f>
        <v>0</v>
      </c>
      <c r="M34" s="58">
        <f>VLOOKUP(Table9[[#This Row],[Donor Name]],$A$6:$E$72,5,FALSE)</f>
        <v>1</v>
      </c>
      <c r="N34" s="24">
        <f t="shared" si="0"/>
        <v>5</v>
      </c>
      <c r="O34" s="61">
        <f>VLOOKUP(Table9[[#This Row],[Donor Name]],'Overall scores and ranking'!$A$3:$C$71, 2,FALSE)</f>
        <v>42.402737318470088</v>
      </c>
      <c r="P34" s="30"/>
      <c r="Q34">
        <f t="shared" si="1"/>
        <v>0</v>
      </c>
    </row>
    <row r="35" spans="1:17" x14ac:dyDescent="0.25">
      <c r="A35" s="55" t="s">
        <v>951</v>
      </c>
      <c r="B35" s="56">
        <v>17</v>
      </c>
      <c r="C35" s="56">
        <v>1</v>
      </c>
      <c r="D35" s="56"/>
      <c r="E35" s="56">
        <v>1</v>
      </c>
      <c r="F35" s="30"/>
      <c r="G35" s="30"/>
      <c r="H35" s="30"/>
      <c r="I35" s="25" t="s">
        <v>1441</v>
      </c>
      <c r="J35" s="58">
        <f>VLOOKUP(Table9[[#This Row],[Donor Name]],$A$6:$E$72,2,FALSE)</f>
        <v>16</v>
      </c>
      <c r="K35" s="58">
        <f>VLOOKUP(Table9[[#This Row],[Donor Name]],$A$6:$E$72,3,FALSE)</f>
        <v>0</v>
      </c>
      <c r="L35" s="58">
        <f>VLOOKUP(Table9[[#This Row],[Donor Name]],$A$6:$E$72,4,FALSE)</f>
        <v>1</v>
      </c>
      <c r="M35" s="58">
        <f>VLOOKUP(Table9[[#This Row],[Donor Name]],$A$6:$E$72,5,FALSE)</f>
        <v>0</v>
      </c>
      <c r="N35" s="24">
        <f t="shared" si="0"/>
        <v>5</v>
      </c>
      <c r="O35" s="61">
        <f>VLOOKUP(Table9[[#This Row],[Donor Name]],'Overall scores and ranking'!$A$3:$C$71, 2,FALSE)</f>
        <v>42.468069724950233</v>
      </c>
      <c r="P35" s="30"/>
      <c r="Q35">
        <f t="shared" si="1"/>
        <v>0</v>
      </c>
    </row>
    <row r="36" spans="1:17" x14ac:dyDescent="0.25">
      <c r="A36" s="55" t="s">
        <v>499</v>
      </c>
      <c r="B36" s="56"/>
      <c r="C36" s="56">
        <v>7</v>
      </c>
      <c r="D36" s="56">
        <v>2</v>
      </c>
      <c r="E36" s="56">
        <v>7</v>
      </c>
      <c r="F36" s="30"/>
      <c r="G36" s="30"/>
      <c r="H36" s="30"/>
      <c r="I36" s="25" t="s">
        <v>1032</v>
      </c>
      <c r="J36" s="58">
        <f>VLOOKUP(Table9[[#This Row],[Donor Name]],$A$6:$E$72,2,FALSE)</f>
        <v>10</v>
      </c>
      <c r="K36" s="58">
        <f>VLOOKUP(Table9[[#This Row],[Donor Name]],$A$6:$E$72,3,FALSE)</f>
        <v>1</v>
      </c>
      <c r="L36" s="58">
        <f>VLOOKUP(Table9[[#This Row],[Donor Name]],$A$6:$E$72,4,FALSE)</f>
        <v>3</v>
      </c>
      <c r="M36" s="58">
        <f>VLOOKUP(Table9[[#This Row],[Donor Name]],$A$6:$E$72,5,FALSE)</f>
        <v>1</v>
      </c>
      <c r="N36" s="24">
        <f t="shared" si="0"/>
        <v>7</v>
      </c>
      <c r="O36" s="61">
        <f>VLOOKUP(Table9[[#This Row],[Donor Name]],'Overall scores and ranking'!$A$3:$C$71, 2,FALSE)</f>
        <v>41.297011839690136</v>
      </c>
      <c r="P36" s="30"/>
      <c r="Q36">
        <f t="shared" si="1"/>
        <v>0</v>
      </c>
    </row>
    <row r="37" spans="1:17" x14ac:dyDescent="0.25">
      <c r="A37" s="55" t="s">
        <v>1441</v>
      </c>
      <c r="B37" s="56">
        <v>16</v>
      </c>
      <c r="C37" s="56"/>
      <c r="D37" s="56">
        <v>1</v>
      </c>
      <c r="E37" s="56"/>
      <c r="F37" s="30"/>
      <c r="G37" s="30"/>
      <c r="H37" s="30"/>
      <c r="I37" s="25" t="s">
        <v>2054</v>
      </c>
      <c r="J37" s="58">
        <f>VLOOKUP(Table9[[#This Row],[Donor Name]],$A$6:$E$72,2,FALSE)</f>
        <v>15</v>
      </c>
      <c r="K37" s="58">
        <f>VLOOKUP(Table9[[#This Row],[Donor Name]],$A$6:$E$72,3,FALSE)</f>
        <v>0</v>
      </c>
      <c r="L37" s="58">
        <f>VLOOKUP(Table9[[#This Row],[Donor Name]],$A$6:$E$72,4,FALSE)</f>
        <v>0</v>
      </c>
      <c r="M37" s="58">
        <f>VLOOKUP(Table9[[#This Row],[Donor Name]],$A$6:$E$72,5,FALSE)</f>
        <v>2</v>
      </c>
      <c r="N37" s="24">
        <f t="shared" si="0"/>
        <v>5</v>
      </c>
      <c r="O37" s="61">
        <f>VLOOKUP(Table9[[#This Row],[Donor Name]],'Overall scores and ranking'!$A$3:$C$71, 2,FALSE)</f>
        <v>40.666519451891098</v>
      </c>
      <c r="P37" s="30"/>
      <c r="Q37">
        <f t="shared" si="1"/>
        <v>0</v>
      </c>
    </row>
    <row r="38" spans="1:17" x14ac:dyDescent="0.25">
      <c r="A38" s="55" t="s">
        <v>2340</v>
      </c>
      <c r="B38" s="56"/>
      <c r="C38" s="56"/>
      <c r="D38" s="56">
        <v>8</v>
      </c>
      <c r="E38" s="56"/>
      <c r="F38" s="30"/>
      <c r="G38" s="30"/>
      <c r="H38" s="30"/>
      <c r="I38" s="25" t="s">
        <v>1278</v>
      </c>
      <c r="J38" s="58">
        <f>VLOOKUP(Table9[[#This Row],[Donor Name]],$A$6:$E$72,2,FALSE)</f>
        <v>11</v>
      </c>
      <c r="K38" s="58">
        <f>VLOOKUP(Table9[[#This Row],[Donor Name]],$A$6:$E$72,3,FALSE)</f>
        <v>3</v>
      </c>
      <c r="L38" s="58">
        <f>VLOOKUP(Table9[[#This Row],[Donor Name]],$A$6:$E$72,4,FALSE)</f>
        <v>1</v>
      </c>
      <c r="M38" s="58">
        <f>VLOOKUP(Table9[[#This Row],[Donor Name]],$A$6:$E$72,5,FALSE)</f>
        <v>1</v>
      </c>
      <c r="N38" s="24">
        <f t="shared" si="0"/>
        <v>6</v>
      </c>
      <c r="O38" s="61">
        <f>VLOOKUP(Table9[[#This Row],[Donor Name]],'Overall scores and ranking'!$A$3:$C$71, 2,FALSE)</f>
        <v>40.312333617246189</v>
      </c>
      <c r="P38" s="30"/>
      <c r="Q38">
        <f t="shared" si="1"/>
        <v>0</v>
      </c>
    </row>
    <row r="39" spans="1:17" x14ac:dyDescent="0.25">
      <c r="A39" s="55" t="s">
        <v>539</v>
      </c>
      <c r="B39" s="56">
        <v>7</v>
      </c>
      <c r="C39" s="56"/>
      <c r="D39" s="56">
        <v>7</v>
      </c>
      <c r="E39" s="56"/>
      <c r="F39" s="30"/>
      <c r="G39" s="30"/>
      <c r="H39" s="30"/>
      <c r="I39" s="25" t="s">
        <v>1400</v>
      </c>
      <c r="J39" s="58">
        <f>VLOOKUP(Table9[[#This Row],[Donor Name]],$A$6:$E$72,2,FALSE)</f>
        <v>11</v>
      </c>
      <c r="K39" s="58">
        <f>VLOOKUP(Table9[[#This Row],[Donor Name]],$A$6:$E$72,3,FALSE)</f>
        <v>2</v>
      </c>
      <c r="L39" s="58">
        <f>VLOOKUP(Table9[[#This Row],[Donor Name]],$A$6:$E$72,4,FALSE)</f>
        <v>0</v>
      </c>
      <c r="M39" s="58">
        <f>VLOOKUP(Table9[[#This Row],[Donor Name]],$A$6:$E$72,5,FALSE)</f>
        <v>1</v>
      </c>
      <c r="N39" s="24">
        <f t="shared" ref="N39:N67" si="2">22-SUM(J39:M39)</f>
        <v>8</v>
      </c>
      <c r="O39" s="61">
        <f>VLOOKUP(Table9[[#This Row],[Donor Name]],'Overall scores and ranking'!$A$3:$C$71, 2,FALSE)</f>
        <v>38.802452131578917</v>
      </c>
      <c r="P39" s="30"/>
      <c r="Q39">
        <f t="shared" si="1"/>
        <v>0</v>
      </c>
    </row>
    <row r="40" spans="1:17" x14ac:dyDescent="0.25">
      <c r="A40" s="55" t="s">
        <v>581</v>
      </c>
      <c r="B40" s="56"/>
      <c r="C40" s="56"/>
      <c r="D40" s="56">
        <v>6</v>
      </c>
      <c r="E40" s="56">
        <v>1</v>
      </c>
      <c r="F40" s="30"/>
      <c r="G40" s="30"/>
      <c r="H40" s="30"/>
      <c r="I40" s="25" t="s">
        <v>622</v>
      </c>
      <c r="J40" s="58">
        <f>VLOOKUP(Table9[[#This Row],[Donor Name]],$A$6:$E$72,2,FALSE)</f>
        <v>0</v>
      </c>
      <c r="K40" s="58">
        <f>VLOOKUP(Table9[[#This Row],[Donor Name]],$A$6:$E$72,3,FALSE)</f>
        <v>11</v>
      </c>
      <c r="L40" s="58">
        <f>VLOOKUP(Table9[[#This Row],[Donor Name]],$A$6:$E$72,4,FALSE)</f>
        <v>5</v>
      </c>
      <c r="M40" s="58">
        <f>VLOOKUP(Table9[[#This Row],[Donor Name]],$A$6:$E$72,5,FALSE)</f>
        <v>0</v>
      </c>
      <c r="N40" s="24">
        <f t="shared" si="2"/>
        <v>6</v>
      </c>
      <c r="O40" s="61">
        <f>VLOOKUP(Table9[[#This Row],[Donor Name]],'Overall scores and ranking'!$A$3:$C$71, 2,FALSE)</f>
        <v>36.894750999999985</v>
      </c>
      <c r="P40" s="30"/>
      <c r="Q40">
        <f t="shared" si="1"/>
        <v>0</v>
      </c>
    </row>
    <row r="41" spans="1:17" x14ac:dyDescent="0.25">
      <c r="A41" s="55" t="s">
        <v>622</v>
      </c>
      <c r="B41" s="56"/>
      <c r="C41" s="56">
        <v>11</v>
      </c>
      <c r="D41" s="56">
        <v>5</v>
      </c>
      <c r="E41" s="56"/>
      <c r="F41" s="30"/>
      <c r="G41" s="30"/>
      <c r="H41" s="30"/>
      <c r="I41" s="25" t="s">
        <v>1359</v>
      </c>
      <c r="J41" s="58">
        <f>VLOOKUP(Table9[[#This Row],[Donor Name]],$A$6:$E$72,2,FALSE)</f>
        <v>11</v>
      </c>
      <c r="K41" s="58">
        <f>VLOOKUP(Table9[[#This Row],[Donor Name]],$A$6:$E$72,3,FALSE)</f>
        <v>3</v>
      </c>
      <c r="L41" s="58">
        <f>VLOOKUP(Table9[[#This Row],[Donor Name]],$A$6:$E$72,4,FALSE)</f>
        <v>0</v>
      </c>
      <c r="M41" s="58">
        <f>VLOOKUP(Table9[[#This Row],[Donor Name]],$A$6:$E$72,5,FALSE)</f>
        <v>1</v>
      </c>
      <c r="N41" s="24">
        <f t="shared" si="2"/>
        <v>7</v>
      </c>
      <c r="O41" s="61">
        <f>VLOOKUP(Table9[[#This Row],[Donor Name]],'Overall scores and ranking'!$A$3:$C$71, 2,FALSE)</f>
        <v>35.797104351262803</v>
      </c>
      <c r="P41" s="30"/>
      <c r="Q41">
        <f t="shared" si="1"/>
        <v>0</v>
      </c>
    </row>
    <row r="42" spans="1:17" x14ac:dyDescent="0.25">
      <c r="A42" s="55" t="s">
        <v>663</v>
      </c>
      <c r="B42" s="56"/>
      <c r="C42" s="56">
        <v>8</v>
      </c>
      <c r="D42" s="56">
        <v>2</v>
      </c>
      <c r="E42" s="56">
        <v>3</v>
      </c>
      <c r="F42" s="30"/>
      <c r="G42" s="30"/>
      <c r="H42" s="30"/>
      <c r="I42" s="25" t="s">
        <v>2584</v>
      </c>
      <c r="J42" s="58">
        <f>VLOOKUP(Table9[[#This Row],[Donor Name]],$A$6:$E$72,2,FALSE)</f>
        <v>1</v>
      </c>
      <c r="K42" s="58">
        <f>VLOOKUP(Table9[[#This Row],[Donor Name]],$A$6:$E$72,3,FALSE)</f>
        <v>15</v>
      </c>
      <c r="L42" s="58">
        <f>VLOOKUP(Table9[[#This Row],[Donor Name]],$A$6:$E$72,4,FALSE)</f>
        <v>0</v>
      </c>
      <c r="M42" s="58">
        <f>VLOOKUP(Table9[[#This Row],[Donor Name]],$A$6:$E$72,5,FALSE)</f>
        <v>1</v>
      </c>
      <c r="N42" s="24">
        <f t="shared" si="2"/>
        <v>5</v>
      </c>
      <c r="O42" s="61">
        <f>VLOOKUP(Table9[[#This Row],[Donor Name]],'Overall scores and ranking'!$A$3:$C$71, 2,FALSE)</f>
        <v>34.8284995</v>
      </c>
      <c r="P42" s="30"/>
      <c r="Q42">
        <f t="shared" si="1"/>
        <v>0</v>
      </c>
    </row>
    <row r="43" spans="1:17" x14ac:dyDescent="0.25">
      <c r="A43" s="55" t="s">
        <v>2013</v>
      </c>
      <c r="B43" s="56"/>
      <c r="C43" s="56"/>
      <c r="D43" s="56">
        <v>1</v>
      </c>
      <c r="E43" s="56"/>
      <c r="F43" s="30"/>
      <c r="G43" s="30"/>
      <c r="H43" s="30"/>
      <c r="I43" s="25" t="s">
        <v>499</v>
      </c>
      <c r="J43" s="58">
        <f>VLOOKUP(Table9[[#This Row],[Donor Name]],$A$6:$E$72,2,FALSE)</f>
        <v>0</v>
      </c>
      <c r="K43" s="58">
        <f>VLOOKUP(Table9[[#This Row],[Donor Name]],$A$6:$E$72,3,FALSE)</f>
        <v>7</v>
      </c>
      <c r="L43" s="58">
        <f>VLOOKUP(Table9[[#This Row],[Donor Name]],$A$6:$E$72,4,FALSE)</f>
        <v>2</v>
      </c>
      <c r="M43" s="58">
        <f>VLOOKUP(Table9[[#This Row],[Donor Name]],$A$6:$E$72,5,FALSE)</f>
        <v>7</v>
      </c>
      <c r="N43" s="24">
        <f t="shared" si="2"/>
        <v>6</v>
      </c>
      <c r="O43" s="61">
        <f>VLOOKUP(Table9[[#This Row],[Donor Name]],'Overall scores and ranking'!$A$3:$C$71, 2,FALSE)</f>
        <v>31.595881999999996</v>
      </c>
      <c r="P43" s="30"/>
      <c r="Q43">
        <f t="shared" si="1"/>
        <v>0</v>
      </c>
    </row>
    <row r="44" spans="1:17" x14ac:dyDescent="0.25">
      <c r="A44" s="55" t="s">
        <v>1808</v>
      </c>
      <c r="B44" s="56"/>
      <c r="C44" s="56">
        <v>1</v>
      </c>
      <c r="D44" s="56">
        <v>9</v>
      </c>
      <c r="E44" s="56"/>
      <c r="F44" s="30"/>
      <c r="G44" s="30"/>
      <c r="H44" s="30"/>
      <c r="I44" s="25" t="s">
        <v>2666</v>
      </c>
      <c r="J44" s="58">
        <f>VLOOKUP(Table9[[#This Row],[Donor Name]],$A$6:$E$72,2,FALSE)</f>
        <v>9</v>
      </c>
      <c r="K44" s="58">
        <f>VLOOKUP(Table9[[#This Row],[Donor Name]],$A$6:$E$72,3,FALSE)</f>
        <v>0</v>
      </c>
      <c r="L44" s="58">
        <f>VLOOKUP(Table9[[#This Row],[Donor Name]],$A$6:$E$72,4,FALSE)</f>
        <v>0</v>
      </c>
      <c r="M44" s="58">
        <f>VLOOKUP(Table9[[#This Row],[Donor Name]],$A$6:$E$72,5,FALSE)</f>
        <v>1</v>
      </c>
      <c r="N44" s="24">
        <f t="shared" si="2"/>
        <v>12</v>
      </c>
      <c r="O44" s="61">
        <f>VLOOKUP(Table9[[#This Row],[Donor Name]],'Overall scores and ranking'!$A$3:$C$71, 2,FALSE)</f>
        <v>30.756310119433174</v>
      </c>
      <c r="P44" s="30"/>
      <c r="Q44">
        <f t="shared" si="1"/>
        <v>0</v>
      </c>
    </row>
    <row r="45" spans="1:17" x14ac:dyDescent="0.25">
      <c r="A45" s="55" t="s">
        <v>2258</v>
      </c>
      <c r="B45" s="56"/>
      <c r="C45" s="56"/>
      <c r="D45" s="56"/>
      <c r="E45" s="56">
        <v>2</v>
      </c>
      <c r="F45" s="30"/>
      <c r="G45" s="30"/>
      <c r="H45" s="30"/>
      <c r="I45" s="25" t="s">
        <v>2503</v>
      </c>
      <c r="J45" s="58">
        <f>VLOOKUP(Table9[[#This Row],[Donor Name]],$A$6:$E$72,2,FALSE)</f>
        <v>0</v>
      </c>
      <c r="K45" s="58">
        <f>VLOOKUP(Table9[[#This Row],[Donor Name]],$A$6:$E$72,3,FALSE)</f>
        <v>9</v>
      </c>
      <c r="L45" s="58">
        <f>VLOOKUP(Table9[[#This Row],[Donor Name]],$A$6:$E$72,4,FALSE)</f>
        <v>2</v>
      </c>
      <c r="M45" s="58">
        <f>VLOOKUP(Table9[[#This Row],[Donor Name]],$A$6:$E$72,5,FALSE)</f>
        <v>2</v>
      </c>
      <c r="N45" s="24">
        <f t="shared" si="2"/>
        <v>9</v>
      </c>
      <c r="O45" s="61">
        <f>VLOOKUP(Table9[[#This Row],[Donor Name]],'Overall scores and ranking'!$A$3:$C$71, 2,FALSE)</f>
        <v>30.617910000000002</v>
      </c>
      <c r="P45" s="30"/>
      <c r="Q45">
        <f t="shared" si="1"/>
        <v>0</v>
      </c>
    </row>
    <row r="46" spans="1:17" x14ac:dyDescent="0.25">
      <c r="A46" s="55" t="s">
        <v>1767</v>
      </c>
      <c r="B46" s="56">
        <v>19</v>
      </c>
      <c r="C46" s="56"/>
      <c r="D46" s="56">
        <v>1</v>
      </c>
      <c r="E46" s="56"/>
      <c r="F46" s="30"/>
      <c r="G46" s="30"/>
      <c r="H46" s="30"/>
      <c r="I46" s="25" t="s">
        <v>214</v>
      </c>
      <c r="J46" s="58">
        <f>VLOOKUP(Table9[[#This Row],[Donor Name]],$A$6:$E$72,2,FALSE)</f>
        <v>0</v>
      </c>
      <c r="K46" s="58">
        <f>VLOOKUP(Table9[[#This Row],[Donor Name]],$A$6:$E$72,3,FALSE)</f>
        <v>8</v>
      </c>
      <c r="L46" s="58">
        <f>VLOOKUP(Table9[[#This Row],[Donor Name]],$A$6:$E$72,4,FALSE)</f>
        <v>5</v>
      </c>
      <c r="M46" s="58">
        <f>VLOOKUP(Table9[[#This Row],[Donor Name]],$A$6:$E$72,5,FALSE)</f>
        <v>1</v>
      </c>
      <c r="N46" s="24">
        <f t="shared" si="2"/>
        <v>8</v>
      </c>
      <c r="O46" s="61">
        <f>VLOOKUP(Table9[[#This Row],[Donor Name]],'Overall scores and ranking'!$A$3:$C$71, 2,FALSE)</f>
        <v>29.489809999999995</v>
      </c>
      <c r="P46" s="30"/>
      <c r="Q46">
        <f t="shared" si="1"/>
        <v>0</v>
      </c>
    </row>
    <row r="47" spans="1:17" x14ac:dyDescent="0.25">
      <c r="A47" s="55" t="s">
        <v>1523</v>
      </c>
      <c r="B47" s="56">
        <v>13</v>
      </c>
      <c r="C47" s="56">
        <v>1</v>
      </c>
      <c r="D47" s="56">
        <v>3</v>
      </c>
      <c r="E47" s="56">
        <v>1</v>
      </c>
      <c r="F47" s="30"/>
      <c r="G47" s="30"/>
      <c r="H47" s="30"/>
      <c r="I47" s="25" t="s">
        <v>335</v>
      </c>
      <c r="J47" s="58">
        <f>VLOOKUP(Table9[[#This Row],[Donor Name]],$A$6:$E$72,2,FALSE)</f>
        <v>0</v>
      </c>
      <c r="K47" s="58">
        <f>VLOOKUP(Table9[[#This Row],[Donor Name]],$A$6:$E$72,3,FALSE)</f>
        <v>11</v>
      </c>
      <c r="L47" s="58">
        <f>VLOOKUP(Table9[[#This Row],[Donor Name]],$A$6:$E$72,4,FALSE)</f>
        <v>3</v>
      </c>
      <c r="M47" s="58">
        <f>VLOOKUP(Table9[[#This Row],[Donor Name]],$A$6:$E$72,5,FALSE)</f>
        <v>1</v>
      </c>
      <c r="N47" s="24">
        <f t="shared" si="2"/>
        <v>7</v>
      </c>
      <c r="O47" s="61">
        <f>VLOOKUP(Table9[[#This Row],[Donor Name]],'Overall scores and ranking'!$A$3:$C$71, 2,FALSE)</f>
        <v>28.231219999999993</v>
      </c>
      <c r="P47" s="30"/>
      <c r="Q47">
        <f t="shared" si="1"/>
        <v>0</v>
      </c>
    </row>
    <row r="48" spans="1:17" x14ac:dyDescent="0.25">
      <c r="A48" s="55" t="s">
        <v>1726</v>
      </c>
      <c r="B48" s="56"/>
      <c r="C48" s="56">
        <v>8</v>
      </c>
      <c r="D48" s="56">
        <v>2</v>
      </c>
      <c r="E48" s="56"/>
      <c r="F48" s="30"/>
      <c r="G48" s="30"/>
      <c r="H48" s="30"/>
      <c r="I48" s="25" t="s">
        <v>1726</v>
      </c>
      <c r="J48" s="58">
        <f>VLOOKUP(Table9[[#This Row],[Donor Name]],$A$6:$E$72,2,FALSE)</f>
        <v>0</v>
      </c>
      <c r="K48" s="58">
        <f>VLOOKUP(Table9[[#This Row],[Donor Name]],$A$6:$E$72,3,FALSE)</f>
        <v>8</v>
      </c>
      <c r="L48" s="58">
        <f>VLOOKUP(Table9[[#This Row],[Donor Name]],$A$6:$E$72,4,FALSE)</f>
        <v>2</v>
      </c>
      <c r="M48" s="58">
        <f>VLOOKUP(Table9[[#This Row],[Donor Name]],$A$6:$E$72,5,FALSE)</f>
        <v>0</v>
      </c>
      <c r="N48" s="24">
        <f t="shared" si="2"/>
        <v>12</v>
      </c>
      <c r="O48" s="61">
        <f>VLOOKUP(Table9[[#This Row],[Donor Name]],'Overall scores and ranking'!$A$3:$C$71, 2,FALSE)</f>
        <v>27.648543999999998</v>
      </c>
      <c r="P48" s="30"/>
      <c r="Q48">
        <f t="shared" si="1"/>
        <v>0</v>
      </c>
    </row>
    <row r="49" spans="1:17" x14ac:dyDescent="0.25">
      <c r="A49" s="55" t="s">
        <v>1564</v>
      </c>
      <c r="B49" s="56"/>
      <c r="C49" s="56"/>
      <c r="D49" s="56">
        <v>5</v>
      </c>
      <c r="E49" s="56">
        <v>2</v>
      </c>
      <c r="F49" s="30"/>
      <c r="G49" s="30"/>
      <c r="H49" s="30"/>
      <c r="I49" s="25" t="s">
        <v>704</v>
      </c>
      <c r="J49" s="58">
        <f>VLOOKUP(Table9[[#This Row],[Donor Name]],$A$6:$E$72,2,FALSE)</f>
        <v>0</v>
      </c>
      <c r="K49" s="58">
        <f>VLOOKUP(Table9[[#This Row],[Donor Name]],$A$6:$E$72,3,FALSE)</f>
        <v>12</v>
      </c>
      <c r="L49" s="58">
        <f>VLOOKUP(Table9[[#This Row],[Donor Name]],$A$6:$E$72,4,FALSE)</f>
        <v>4</v>
      </c>
      <c r="M49" s="58">
        <f>VLOOKUP(Table9[[#This Row],[Donor Name]],$A$6:$E$72,5,FALSE)</f>
        <v>1</v>
      </c>
      <c r="N49" s="24">
        <f t="shared" si="2"/>
        <v>5</v>
      </c>
      <c r="O49" s="61">
        <f>VLOOKUP(Table9[[#This Row],[Donor Name]],'Overall scores and ranking'!$A$3:$C$71, 2,FALSE)</f>
        <v>26.544537499999997</v>
      </c>
      <c r="P49" s="30"/>
      <c r="Q49">
        <f t="shared" si="1"/>
        <v>0</v>
      </c>
    </row>
    <row r="50" spans="1:17" x14ac:dyDescent="0.25">
      <c r="A50" s="55" t="s">
        <v>704</v>
      </c>
      <c r="B50" s="56"/>
      <c r="C50" s="56">
        <v>12</v>
      </c>
      <c r="D50" s="56">
        <v>4</v>
      </c>
      <c r="E50" s="56">
        <v>1</v>
      </c>
      <c r="F50" s="30"/>
      <c r="G50" s="30"/>
      <c r="H50" s="30"/>
      <c r="I50" s="25" t="s">
        <v>2135</v>
      </c>
      <c r="J50" s="58">
        <f>VLOOKUP(Table9[[#This Row],[Donor Name]],$A$6:$E$72,2,FALSE)</f>
        <v>0</v>
      </c>
      <c r="K50" s="58">
        <f>VLOOKUP(Table9[[#This Row],[Donor Name]],$A$6:$E$72,3,FALSE)</f>
        <v>0</v>
      </c>
      <c r="L50" s="58">
        <f>VLOOKUP(Table9[[#This Row],[Donor Name]],$A$6:$E$72,4,FALSE)</f>
        <v>9</v>
      </c>
      <c r="M50" s="58">
        <f>VLOOKUP(Table9[[#This Row],[Donor Name]],$A$6:$E$72,5,FALSE)</f>
        <v>3</v>
      </c>
      <c r="N50" s="24">
        <f t="shared" si="2"/>
        <v>10</v>
      </c>
      <c r="O50" s="61">
        <f>VLOOKUP(Table9[[#This Row],[Donor Name]],'Overall scores and ranking'!$A$3:$C$71, 2,FALSE)</f>
        <v>24.667978499999986</v>
      </c>
      <c r="P50" s="30"/>
      <c r="Q50">
        <f t="shared" si="1"/>
        <v>0</v>
      </c>
    </row>
    <row r="51" spans="1:17" x14ac:dyDescent="0.25">
      <c r="A51" s="55" t="s">
        <v>745</v>
      </c>
      <c r="B51" s="56"/>
      <c r="C51" s="56"/>
      <c r="D51" s="56">
        <v>2</v>
      </c>
      <c r="E51" s="56">
        <v>7</v>
      </c>
      <c r="F51" s="30"/>
      <c r="G51" s="30"/>
      <c r="H51" s="30"/>
      <c r="I51" s="25" t="s">
        <v>295</v>
      </c>
      <c r="J51" s="58">
        <f>VLOOKUP(Table9[[#This Row],[Donor Name]],$A$6:$E$72,2,FALSE)</f>
        <v>0</v>
      </c>
      <c r="K51" s="58">
        <f>VLOOKUP(Table9[[#This Row],[Donor Name]],$A$6:$E$72,3,FALSE)</f>
        <v>4</v>
      </c>
      <c r="L51" s="58">
        <f>VLOOKUP(Table9[[#This Row],[Donor Name]],$A$6:$E$72,4,FALSE)</f>
        <v>6</v>
      </c>
      <c r="M51" s="58">
        <f>VLOOKUP(Table9[[#This Row],[Donor Name]],$A$6:$E$72,5,FALSE)</f>
        <v>2</v>
      </c>
      <c r="N51" s="24">
        <f t="shared" si="2"/>
        <v>10</v>
      </c>
      <c r="O51" s="61">
        <f>VLOOKUP(Table9[[#This Row],[Donor Name]],'Overall scores and ranking'!$A$3:$C$71, 2,FALSE)</f>
        <v>24.577408999999996</v>
      </c>
      <c r="P51" s="30"/>
      <c r="Q51">
        <f t="shared" si="1"/>
        <v>0</v>
      </c>
    </row>
    <row r="52" spans="1:17" x14ac:dyDescent="0.25">
      <c r="A52" s="55" t="s">
        <v>786</v>
      </c>
      <c r="B52" s="56"/>
      <c r="C52" s="56"/>
      <c r="D52" s="56">
        <v>10</v>
      </c>
      <c r="E52" s="56">
        <v>1</v>
      </c>
      <c r="F52" s="30"/>
      <c r="G52" s="30"/>
      <c r="H52" s="30"/>
      <c r="I52" s="25" t="s">
        <v>255</v>
      </c>
      <c r="J52" s="58">
        <f>VLOOKUP(Table9[[#This Row],[Donor Name]],$A$6:$E$72,2,FALSE)</f>
        <v>0</v>
      </c>
      <c r="K52" s="58">
        <f>VLOOKUP(Table9[[#This Row],[Donor Name]],$A$6:$E$72,3,FALSE)</f>
        <v>5</v>
      </c>
      <c r="L52" s="58">
        <f>VLOOKUP(Table9[[#This Row],[Donor Name]],$A$6:$E$72,4,FALSE)</f>
        <v>8</v>
      </c>
      <c r="M52" s="58">
        <f>VLOOKUP(Table9[[#This Row],[Donor Name]],$A$6:$E$72,5,FALSE)</f>
        <v>1</v>
      </c>
      <c r="N52" s="24">
        <f t="shared" si="2"/>
        <v>8</v>
      </c>
      <c r="O52" s="61">
        <f>VLOOKUP(Table9[[#This Row],[Donor Name]],'Overall scores and ranking'!$A$3:$C$71, 2,FALSE)</f>
        <v>24.502645999999995</v>
      </c>
      <c r="P52" s="30"/>
      <c r="Q52">
        <f t="shared" si="1"/>
        <v>0</v>
      </c>
    </row>
    <row r="53" spans="1:17" x14ac:dyDescent="0.25">
      <c r="A53" s="55" t="s">
        <v>827</v>
      </c>
      <c r="B53" s="56"/>
      <c r="C53" s="56"/>
      <c r="D53" s="56">
        <v>12</v>
      </c>
      <c r="E53" s="56">
        <v>2</v>
      </c>
      <c r="F53" s="30"/>
      <c r="G53" s="30"/>
      <c r="H53" s="30"/>
      <c r="I53" s="25" t="s">
        <v>28</v>
      </c>
      <c r="J53" s="58">
        <f>VLOOKUP(Table9[[#This Row],[Donor Name]],$A$6:$E$72,2,FALSE)</f>
        <v>0</v>
      </c>
      <c r="K53" s="58">
        <f>VLOOKUP(Table9[[#This Row],[Donor Name]],$A$6:$E$72,3,FALSE)</f>
        <v>1</v>
      </c>
      <c r="L53" s="58">
        <f>VLOOKUP(Table9[[#This Row],[Donor Name]],$A$6:$E$72,4,FALSE)</f>
        <v>6</v>
      </c>
      <c r="M53" s="58">
        <f>VLOOKUP(Table9[[#This Row],[Donor Name]],$A$6:$E$72,5,FALSE)</f>
        <v>1</v>
      </c>
      <c r="N53" s="24">
        <f t="shared" si="2"/>
        <v>14</v>
      </c>
      <c r="O53" s="61">
        <f>VLOOKUP(Table9[[#This Row],[Donor Name]],'Overall scores and ranking'!$A$3:$C$71, 2,FALSE)</f>
        <v>19.072684999999986</v>
      </c>
      <c r="P53" s="30"/>
      <c r="Q53">
        <f t="shared" si="1"/>
        <v>0</v>
      </c>
    </row>
    <row r="54" spans="1:17" x14ac:dyDescent="0.25">
      <c r="A54" s="55" t="s">
        <v>1890</v>
      </c>
      <c r="B54" s="56">
        <v>17</v>
      </c>
      <c r="C54" s="56"/>
      <c r="D54" s="56"/>
      <c r="E54" s="56"/>
      <c r="F54" s="30"/>
      <c r="G54" s="30"/>
      <c r="H54" s="30"/>
      <c r="I54" s="25" t="s">
        <v>663</v>
      </c>
      <c r="J54" s="58">
        <f>VLOOKUP(Table9[[#This Row],[Donor Name]],$A$6:$E$72,2,FALSE)</f>
        <v>0</v>
      </c>
      <c r="K54" s="58">
        <f>VLOOKUP(Table9[[#This Row],[Donor Name]],$A$6:$E$72,3,FALSE)</f>
        <v>8</v>
      </c>
      <c r="L54" s="58">
        <f>VLOOKUP(Table9[[#This Row],[Donor Name]],$A$6:$E$72,4,FALSE)</f>
        <v>2</v>
      </c>
      <c r="M54" s="58">
        <f>VLOOKUP(Table9[[#This Row],[Donor Name]],$A$6:$E$72,5,FALSE)</f>
        <v>3</v>
      </c>
      <c r="N54" s="24">
        <f t="shared" si="2"/>
        <v>9</v>
      </c>
      <c r="O54" s="61">
        <f>VLOOKUP(Table9[[#This Row],[Donor Name]],'Overall scores and ranking'!$A$3:$C$71, 2,FALSE)</f>
        <v>19.032905999999997</v>
      </c>
      <c r="P54" s="30"/>
      <c r="Q54">
        <f t="shared" si="1"/>
        <v>0</v>
      </c>
    </row>
    <row r="55" spans="1:17" x14ac:dyDescent="0.25">
      <c r="A55" s="55" t="s">
        <v>1115</v>
      </c>
      <c r="B55" s="56">
        <v>22</v>
      </c>
      <c r="C55" s="56"/>
      <c r="D55" s="56"/>
      <c r="E55" s="56"/>
      <c r="F55" s="30"/>
      <c r="G55" s="30"/>
      <c r="H55" s="30"/>
      <c r="I55" s="25" t="s">
        <v>1931</v>
      </c>
      <c r="J55" s="58">
        <f>VLOOKUP(Table9[[#This Row],[Donor Name]],$A$6:$E$72,2,FALSE)</f>
        <v>0</v>
      </c>
      <c r="K55" s="58">
        <f>VLOOKUP(Table9[[#This Row],[Donor Name]],$A$6:$E$72,3,FALSE)</f>
        <v>1</v>
      </c>
      <c r="L55" s="58">
        <f>VLOOKUP(Table9[[#This Row],[Donor Name]],$A$6:$E$72,4,FALSE)</f>
        <v>5</v>
      </c>
      <c r="M55" s="58">
        <f>VLOOKUP(Table9[[#This Row],[Donor Name]],$A$6:$E$72,5,FALSE)</f>
        <v>0</v>
      </c>
      <c r="N55" s="24">
        <f t="shared" si="2"/>
        <v>16</v>
      </c>
      <c r="O55" s="61">
        <f>VLOOKUP(Table9[[#This Row],[Donor Name]],'Overall scores and ranking'!$A$3:$C$71, 2,FALSE)</f>
        <v>18.846488999999988</v>
      </c>
      <c r="P55" s="30"/>
      <c r="Q55">
        <f t="shared" si="1"/>
        <v>0</v>
      </c>
    </row>
    <row r="56" spans="1:17" x14ac:dyDescent="0.25">
      <c r="A56" s="55" t="s">
        <v>1197</v>
      </c>
      <c r="B56" s="56">
        <v>17</v>
      </c>
      <c r="C56" s="56"/>
      <c r="D56" s="56">
        <v>1</v>
      </c>
      <c r="E56" s="56"/>
      <c r="F56" s="30"/>
      <c r="G56" s="30"/>
      <c r="H56" s="30"/>
      <c r="I56" s="25" t="s">
        <v>1808</v>
      </c>
      <c r="J56" s="58">
        <f>VLOOKUP(Table9[[#This Row],[Donor Name]],$A$6:$E$72,2,FALSE)</f>
        <v>0</v>
      </c>
      <c r="K56" s="58">
        <f>VLOOKUP(Table9[[#This Row],[Donor Name]],$A$6:$E$72,3,FALSE)</f>
        <v>1</v>
      </c>
      <c r="L56" s="58">
        <f>VLOOKUP(Table9[[#This Row],[Donor Name]],$A$6:$E$72,4,FALSE)</f>
        <v>9</v>
      </c>
      <c r="M56" s="58">
        <f>VLOOKUP(Table9[[#This Row],[Donor Name]],$A$6:$E$72,5,FALSE)</f>
        <v>0</v>
      </c>
      <c r="N56" s="24">
        <f t="shared" si="2"/>
        <v>12</v>
      </c>
      <c r="O56" s="61">
        <f>VLOOKUP(Table9[[#This Row],[Donor Name]],'Overall scores and ranking'!$A$3:$C$71, 2,FALSE)</f>
        <v>18.812663999999987</v>
      </c>
      <c r="P56" s="30"/>
      <c r="Q56">
        <f t="shared" si="1"/>
        <v>0</v>
      </c>
    </row>
    <row r="57" spans="1:17" x14ac:dyDescent="0.25">
      <c r="A57" s="55" t="s">
        <v>2666</v>
      </c>
      <c r="B57" s="56">
        <v>9</v>
      </c>
      <c r="C57" s="56"/>
      <c r="D57" s="56"/>
      <c r="E57" s="56">
        <v>1</v>
      </c>
      <c r="F57" s="30"/>
      <c r="G57" s="30"/>
      <c r="H57" s="30"/>
      <c r="I57" s="25" t="s">
        <v>786</v>
      </c>
      <c r="J57" s="58">
        <f>VLOOKUP(Table9[[#This Row],[Donor Name]],$A$6:$E$72,2,FALSE)</f>
        <v>0</v>
      </c>
      <c r="K57" s="58">
        <f>VLOOKUP(Table9[[#This Row],[Donor Name]],$A$6:$E$72,3,FALSE)</f>
        <v>0</v>
      </c>
      <c r="L57" s="58">
        <f>VLOOKUP(Table9[[#This Row],[Donor Name]],$A$6:$E$72,4,FALSE)</f>
        <v>10</v>
      </c>
      <c r="M57" s="58">
        <f>VLOOKUP(Table9[[#This Row],[Donor Name]],$A$6:$E$72,5,FALSE)</f>
        <v>1</v>
      </c>
      <c r="N57" s="24">
        <f t="shared" si="2"/>
        <v>11</v>
      </c>
      <c r="O57" s="61">
        <f>VLOOKUP(Table9[[#This Row],[Donor Name]],'Overall scores and ranking'!$A$3:$C$71, 2,FALSE)</f>
        <v>18.250666999999986</v>
      </c>
      <c r="P57" s="30"/>
      <c r="Q57">
        <f t="shared" si="1"/>
        <v>0</v>
      </c>
    </row>
    <row r="58" spans="1:17" x14ac:dyDescent="0.25">
      <c r="A58" s="55" t="s">
        <v>2625</v>
      </c>
      <c r="B58" s="56">
        <v>18</v>
      </c>
      <c r="C58" s="56">
        <v>4</v>
      </c>
      <c r="D58" s="56"/>
      <c r="E58" s="56"/>
      <c r="F58" s="30"/>
      <c r="G58" s="30"/>
      <c r="H58" s="30"/>
      <c r="I58" s="25" t="s">
        <v>827</v>
      </c>
      <c r="J58" s="58">
        <f>VLOOKUP(Table9[[#This Row],[Donor Name]],$A$6:$E$72,2,FALSE)</f>
        <v>0</v>
      </c>
      <c r="K58" s="58">
        <f>VLOOKUP(Table9[[#This Row],[Donor Name]],$A$6:$E$72,3,FALSE)</f>
        <v>0</v>
      </c>
      <c r="L58" s="58">
        <f>VLOOKUP(Table9[[#This Row],[Donor Name]],$A$6:$E$72,4,FALSE)</f>
        <v>12</v>
      </c>
      <c r="M58" s="58">
        <f>VLOOKUP(Table9[[#This Row],[Donor Name]],$A$6:$E$72,5,FALSE)</f>
        <v>2</v>
      </c>
      <c r="N58" s="24">
        <f t="shared" si="2"/>
        <v>8</v>
      </c>
      <c r="O58" s="61">
        <f>VLOOKUP(Table9[[#This Row],[Donor Name]],'Overall scores and ranking'!$A$3:$C$71, 2,FALSE)</f>
        <v>17.784162999999985</v>
      </c>
      <c r="P58" s="30"/>
      <c r="Q58">
        <f t="shared" si="1"/>
        <v>0</v>
      </c>
    </row>
    <row r="59" spans="1:17" x14ac:dyDescent="0.25">
      <c r="A59" s="55" t="s">
        <v>2054</v>
      </c>
      <c r="B59" s="56">
        <v>15</v>
      </c>
      <c r="C59" s="56"/>
      <c r="D59" s="56"/>
      <c r="E59" s="56">
        <v>2</v>
      </c>
      <c r="F59" s="30"/>
      <c r="G59" s="30"/>
      <c r="H59" s="30"/>
      <c r="I59" s="25" t="s">
        <v>581</v>
      </c>
      <c r="J59" s="58">
        <f>VLOOKUP(Table9[[#This Row],[Donor Name]],$A$6:$E$72,2,FALSE)</f>
        <v>0</v>
      </c>
      <c r="K59" s="58">
        <f>VLOOKUP(Table9[[#This Row],[Donor Name]],$A$6:$E$72,3,FALSE)</f>
        <v>0</v>
      </c>
      <c r="L59" s="58">
        <f>VLOOKUP(Table9[[#This Row],[Donor Name]],$A$6:$E$72,4,FALSE)</f>
        <v>6</v>
      </c>
      <c r="M59" s="58">
        <f>VLOOKUP(Table9[[#This Row],[Donor Name]],$A$6:$E$72,5,FALSE)</f>
        <v>1</v>
      </c>
      <c r="N59" s="24">
        <f t="shared" si="2"/>
        <v>15</v>
      </c>
      <c r="O59" s="61">
        <f>VLOOKUP(Table9[[#This Row],[Donor Name]],'Overall scores and ranking'!$A$3:$C$71, 2,FALSE)</f>
        <v>17.012573999999987</v>
      </c>
      <c r="P59" s="30"/>
      <c r="Q59">
        <f t="shared" si="1"/>
        <v>0</v>
      </c>
    </row>
    <row r="60" spans="1:17" x14ac:dyDescent="0.25">
      <c r="A60" s="55" t="s">
        <v>1400</v>
      </c>
      <c r="B60" s="56">
        <v>11</v>
      </c>
      <c r="C60" s="56">
        <v>2</v>
      </c>
      <c r="D60" s="56"/>
      <c r="E60" s="56">
        <v>1</v>
      </c>
      <c r="F60" s="30"/>
      <c r="G60" s="30"/>
      <c r="H60" s="30"/>
      <c r="I60" s="25" t="s">
        <v>2340</v>
      </c>
      <c r="J60" s="58">
        <f>VLOOKUP(Table9[[#This Row],[Donor Name]],$A$6:$E$72,2,FALSE)</f>
        <v>0</v>
      </c>
      <c r="K60" s="58">
        <f>VLOOKUP(Table9[[#This Row],[Donor Name]],$A$6:$E$72,3,FALSE)</f>
        <v>0</v>
      </c>
      <c r="L60" s="58">
        <f>VLOOKUP(Table9[[#This Row],[Donor Name]],$A$6:$E$72,4,FALSE)</f>
        <v>8</v>
      </c>
      <c r="M60" s="58">
        <f>VLOOKUP(Table9[[#This Row],[Donor Name]],$A$6:$E$72,5,FALSE)</f>
        <v>0</v>
      </c>
      <c r="N60" s="24">
        <f t="shared" si="2"/>
        <v>14</v>
      </c>
      <c r="O60" s="61">
        <f>VLOOKUP(Table9[[#This Row],[Donor Name]],'Overall scores and ranking'!$A$3:$C$71, 2,FALSE)</f>
        <v>15.646043999999986</v>
      </c>
      <c r="P60" s="30"/>
      <c r="Q60">
        <f t="shared" si="1"/>
        <v>0</v>
      </c>
    </row>
    <row r="61" spans="1:17" x14ac:dyDescent="0.25">
      <c r="A61" s="55" t="s">
        <v>2584</v>
      </c>
      <c r="B61" s="56">
        <v>1</v>
      </c>
      <c r="C61" s="56">
        <v>15</v>
      </c>
      <c r="D61" s="56"/>
      <c r="E61" s="56">
        <v>1</v>
      </c>
      <c r="F61" s="30"/>
      <c r="G61" s="30"/>
      <c r="H61" s="30"/>
      <c r="I61" s="25" t="s">
        <v>1564</v>
      </c>
      <c r="J61" s="58">
        <f>VLOOKUP(Table9[[#This Row],[Donor Name]],$A$6:$E$72,2,FALSE)</f>
        <v>0</v>
      </c>
      <c r="K61" s="58">
        <f>VLOOKUP(Table9[[#This Row],[Donor Name]],$A$6:$E$72,3,FALSE)</f>
        <v>0</v>
      </c>
      <c r="L61" s="58">
        <f>VLOOKUP(Table9[[#This Row],[Donor Name]],$A$6:$E$72,4,FALSE)</f>
        <v>5</v>
      </c>
      <c r="M61" s="58">
        <f>VLOOKUP(Table9[[#This Row],[Donor Name]],$A$6:$E$72,5,FALSE)</f>
        <v>2</v>
      </c>
      <c r="N61" s="24">
        <f t="shared" si="2"/>
        <v>15</v>
      </c>
      <c r="O61" s="61">
        <f>VLOOKUP(Table9[[#This Row],[Donor Name]],'Overall scores and ranking'!$A$3:$C$71, 2,FALSE)</f>
        <v>14.359405999999987</v>
      </c>
      <c r="P61" s="30"/>
      <c r="Q61">
        <f t="shared" si="1"/>
        <v>0</v>
      </c>
    </row>
    <row r="62" spans="1:17" x14ac:dyDescent="0.25">
      <c r="A62" s="55" t="s">
        <v>1278</v>
      </c>
      <c r="B62" s="56">
        <v>11</v>
      </c>
      <c r="C62" s="56">
        <v>3</v>
      </c>
      <c r="D62" s="56">
        <v>1</v>
      </c>
      <c r="E62" s="56">
        <v>1</v>
      </c>
      <c r="F62" s="30"/>
      <c r="G62" s="30"/>
      <c r="H62" s="30"/>
      <c r="I62" s="25" t="s">
        <v>173</v>
      </c>
      <c r="J62" s="58">
        <f>VLOOKUP(Table9[[#This Row],[Donor Name]],$A$6:$E$72,2,FALSE)</f>
        <v>0</v>
      </c>
      <c r="K62" s="58">
        <f>VLOOKUP(Table9[[#This Row],[Donor Name]],$A$6:$E$72,3,FALSE)</f>
        <v>0</v>
      </c>
      <c r="L62" s="58">
        <f>VLOOKUP(Table9[[#This Row],[Donor Name]],$A$6:$E$72,4,FALSE)</f>
        <v>1</v>
      </c>
      <c r="M62" s="58">
        <f>VLOOKUP(Table9[[#This Row],[Donor Name]],$A$6:$E$72,5,FALSE)</f>
        <v>1</v>
      </c>
      <c r="N62" s="24">
        <f t="shared" si="2"/>
        <v>20</v>
      </c>
      <c r="O62" s="61">
        <f>VLOOKUP(Table9[[#This Row],[Donor Name]],'Overall scores and ranking'!$A$3:$C$71, 2,FALSE)</f>
        <v>11.814868499999999</v>
      </c>
      <c r="P62" s="30"/>
      <c r="Q62">
        <f t="shared" si="1"/>
        <v>0</v>
      </c>
    </row>
    <row r="63" spans="1:17" x14ac:dyDescent="0.25">
      <c r="A63" s="55" t="s">
        <v>2543</v>
      </c>
      <c r="B63" s="56">
        <v>22</v>
      </c>
      <c r="C63" s="56"/>
      <c r="D63" s="56"/>
      <c r="E63" s="56"/>
      <c r="F63" s="30"/>
      <c r="G63" s="30"/>
      <c r="H63" s="30"/>
      <c r="I63" s="25" t="s">
        <v>745</v>
      </c>
      <c r="J63" s="58">
        <f>VLOOKUP(Table9[[#This Row],[Donor Name]],$A$6:$E$72,2,FALSE)</f>
        <v>0</v>
      </c>
      <c r="K63" s="58">
        <f>VLOOKUP(Table9[[#This Row],[Donor Name]],$A$6:$E$72,3,FALSE)</f>
        <v>0</v>
      </c>
      <c r="L63" s="58">
        <f>VLOOKUP(Table9[[#This Row],[Donor Name]],$A$6:$E$72,4,FALSE)</f>
        <v>2</v>
      </c>
      <c r="M63" s="58">
        <f>VLOOKUP(Table9[[#This Row],[Donor Name]],$A$6:$E$72,5,FALSE)</f>
        <v>7</v>
      </c>
      <c r="N63" s="24">
        <f t="shared" si="2"/>
        <v>13</v>
      </c>
      <c r="O63" s="61">
        <f>VLOOKUP(Table9[[#This Row],[Donor Name]],'Overall scores and ranking'!$A$3:$C$71, 2,FALSE)</f>
        <v>10.551111499999996</v>
      </c>
      <c r="P63" s="30"/>
      <c r="Q63">
        <f t="shared" si="1"/>
        <v>0</v>
      </c>
    </row>
    <row r="64" spans="1:17" x14ac:dyDescent="0.25">
      <c r="A64" s="55" t="s">
        <v>1359</v>
      </c>
      <c r="B64" s="56">
        <v>11</v>
      </c>
      <c r="C64" s="56">
        <v>3</v>
      </c>
      <c r="D64" s="56"/>
      <c r="E64" s="56">
        <v>1</v>
      </c>
      <c r="F64" s="30"/>
      <c r="G64" s="30"/>
      <c r="H64" s="30"/>
      <c r="I64" s="25" t="s">
        <v>1156</v>
      </c>
      <c r="J64" s="58">
        <f>VLOOKUP(Table9[[#This Row],[Donor Name]],$A$6:$E$72,2,FALSE)</f>
        <v>0</v>
      </c>
      <c r="K64" s="58">
        <f>VLOOKUP(Table9[[#This Row],[Donor Name]],$A$6:$E$72,3,FALSE)</f>
        <v>0</v>
      </c>
      <c r="L64" s="58">
        <f>VLOOKUP(Table9[[#This Row],[Donor Name]],$A$6:$E$72,4,FALSE)</f>
        <v>7</v>
      </c>
      <c r="M64" s="58">
        <f>VLOOKUP(Table9[[#This Row],[Donor Name]],$A$6:$E$72,5,FALSE)</f>
        <v>0</v>
      </c>
      <c r="N64" s="24">
        <f t="shared" si="2"/>
        <v>15</v>
      </c>
      <c r="O64" s="61">
        <f>VLOOKUP(Table9[[#This Row],[Donor Name]],'Overall scores and ranking'!$A$3:$C$71, 2,FALSE)</f>
        <v>9.6461599999999983</v>
      </c>
      <c r="P64" s="30"/>
      <c r="Q64">
        <f t="shared" si="1"/>
        <v>0</v>
      </c>
    </row>
    <row r="65" spans="1:17" x14ac:dyDescent="0.25">
      <c r="A65" s="55" t="s">
        <v>2176</v>
      </c>
      <c r="B65" s="56"/>
      <c r="C65" s="56"/>
      <c r="D65" s="56"/>
      <c r="E65" s="56">
        <v>1</v>
      </c>
      <c r="F65" s="30"/>
      <c r="G65" s="30"/>
      <c r="H65" s="30"/>
      <c r="I65" s="25" t="s">
        <v>376</v>
      </c>
      <c r="J65" s="58">
        <f>VLOOKUP(Table9[[#This Row],[Donor Name]],$A$6:$E$72,2,FALSE)</f>
        <v>0</v>
      </c>
      <c r="K65" s="58">
        <f>VLOOKUP(Table9[[#This Row],[Donor Name]],$A$6:$E$72,3,FALSE)</f>
        <v>0</v>
      </c>
      <c r="L65" s="58">
        <f>VLOOKUP(Table9[[#This Row],[Donor Name]],$A$6:$E$72,4,FALSE)</f>
        <v>0</v>
      </c>
      <c r="M65" s="58">
        <f>VLOOKUP(Table9[[#This Row],[Donor Name]],$A$6:$E$72,5,FALSE)</f>
        <v>1</v>
      </c>
      <c r="N65" s="24">
        <f t="shared" si="2"/>
        <v>21</v>
      </c>
      <c r="O65" s="61">
        <f>VLOOKUP(Table9[[#This Row],[Donor Name]],'Overall scores and ranking'!$A$3:$C$71, 2,FALSE)</f>
        <v>10.3011585</v>
      </c>
      <c r="P65" s="30"/>
      <c r="Q65">
        <f t="shared" si="1"/>
        <v>0</v>
      </c>
    </row>
    <row r="66" spans="1:17" x14ac:dyDescent="0.25">
      <c r="A66" s="55" t="s">
        <v>1032</v>
      </c>
      <c r="B66" s="56">
        <v>10</v>
      </c>
      <c r="C66" s="56">
        <v>1</v>
      </c>
      <c r="D66" s="56">
        <v>3</v>
      </c>
      <c r="E66" s="56">
        <v>1</v>
      </c>
      <c r="F66" s="30"/>
      <c r="G66" s="30"/>
      <c r="H66" s="30"/>
      <c r="I66" s="25" t="s">
        <v>2176</v>
      </c>
      <c r="J66" s="58">
        <f>VLOOKUP(Table9[[#This Row],[Donor Name]],$A$6:$E$72,2,FALSE)</f>
        <v>0</v>
      </c>
      <c r="K66" s="58">
        <f>VLOOKUP(Table9[[#This Row],[Donor Name]],$A$6:$E$72,3,FALSE)</f>
        <v>0</v>
      </c>
      <c r="L66" s="58">
        <f>VLOOKUP(Table9[[#This Row],[Donor Name]],$A$6:$E$72,4,FALSE)</f>
        <v>0</v>
      </c>
      <c r="M66" s="58">
        <f>VLOOKUP(Table9[[#This Row],[Donor Name]],$A$6:$E$72,5,FALSE)</f>
        <v>1</v>
      </c>
      <c r="N66" s="24">
        <f t="shared" si="2"/>
        <v>21</v>
      </c>
      <c r="O66" s="61">
        <f>VLOOKUP(Table9[[#This Row],[Donor Name]],'Overall scores and ranking'!$A$3:$C$71, 2,FALSE)</f>
        <v>9.6282870000000003</v>
      </c>
      <c r="P66" s="30"/>
      <c r="Q66">
        <f t="shared" si="1"/>
        <v>0</v>
      </c>
    </row>
    <row r="67" spans="1:17" x14ac:dyDescent="0.25">
      <c r="A67" s="55" t="s">
        <v>1605</v>
      </c>
      <c r="B67" s="56">
        <v>22</v>
      </c>
      <c r="C67" s="56"/>
      <c r="D67" s="56"/>
      <c r="E67" s="56"/>
      <c r="F67" s="30"/>
      <c r="G67" s="30"/>
      <c r="H67" s="30"/>
      <c r="I67" s="25" t="s">
        <v>2989</v>
      </c>
      <c r="J67" s="58">
        <f>VLOOKUP(Table9[[#This Row],[Donor Name]],$A$6:$E$72,2,FALSE)</f>
        <v>0</v>
      </c>
      <c r="K67" s="58">
        <f>VLOOKUP(Table9[[#This Row],[Donor Name]],$A$6:$E$72,3,FALSE)</f>
        <v>0</v>
      </c>
      <c r="L67" s="58">
        <f>VLOOKUP(Table9[[#This Row],[Donor Name]],$A$6:$E$72,4,FALSE)</f>
        <v>1</v>
      </c>
      <c r="M67" s="58">
        <f>VLOOKUP(Table9[[#This Row],[Donor Name]],$A$6:$E$72,5,FALSE)</f>
        <v>1</v>
      </c>
      <c r="N67" s="24">
        <f t="shared" si="2"/>
        <v>20</v>
      </c>
      <c r="O67" s="61">
        <f>VLOOKUP(Table9[[#This Row],[Donor Name]],'Overall scores and ranking'!$A$3:$C$71, 2,FALSE)</f>
        <v>9.1154984999999993</v>
      </c>
      <c r="P67" s="30"/>
      <c r="Q67">
        <f t="shared" si="1"/>
        <v>0</v>
      </c>
    </row>
    <row r="68" spans="1:17" x14ac:dyDescent="0.25">
      <c r="A68" s="55" t="s">
        <v>2095</v>
      </c>
      <c r="B68" s="56">
        <v>19</v>
      </c>
      <c r="C68" s="56">
        <v>1</v>
      </c>
      <c r="D68" s="56"/>
      <c r="E68" s="56"/>
      <c r="F68" s="30"/>
      <c r="G68" s="30"/>
      <c r="H68" s="30"/>
      <c r="I68" s="25" t="s">
        <v>458</v>
      </c>
      <c r="J68" s="58">
        <v>0</v>
      </c>
      <c r="K68" s="58">
        <v>0</v>
      </c>
      <c r="L68" s="58">
        <v>0</v>
      </c>
      <c r="M68" s="58">
        <v>0</v>
      </c>
      <c r="N68" s="24">
        <v>22</v>
      </c>
      <c r="O68" s="61">
        <f>VLOOKUP(Table9[[#This Row],[Donor Name]],'Overall scores and ranking'!$A$3:$C$71, 2,FALSE)</f>
        <v>8.3047779999999989</v>
      </c>
      <c r="P68" s="30"/>
      <c r="Q68">
        <f t="shared" si="1"/>
        <v>0</v>
      </c>
    </row>
    <row r="69" spans="1:17" x14ac:dyDescent="0.25">
      <c r="A69" s="55" t="s">
        <v>2707</v>
      </c>
      <c r="B69" s="56">
        <v>20</v>
      </c>
      <c r="C69" s="56"/>
      <c r="D69" s="56"/>
      <c r="E69" s="56">
        <v>1</v>
      </c>
      <c r="F69" s="30"/>
      <c r="G69" s="30"/>
      <c r="H69" s="30"/>
      <c r="I69" s="25" t="s">
        <v>1849</v>
      </c>
      <c r="J69" s="58">
        <v>0</v>
      </c>
      <c r="K69" s="58">
        <v>0</v>
      </c>
      <c r="L69" s="58">
        <v>0</v>
      </c>
      <c r="M69" s="58">
        <v>0</v>
      </c>
      <c r="N69" s="24">
        <f t="shared" ref="N69:N74" si="3">22-SUM(J69:M69)</f>
        <v>22</v>
      </c>
      <c r="O69" s="61">
        <f>VLOOKUP(Table9[[#This Row],[Donor Name]],'Overall scores and ranking'!$A$3:$C$71, 2,FALSE)</f>
        <v>8.1649999999999991</v>
      </c>
      <c r="P69" s="30"/>
      <c r="Q69">
        <f t="shared" si="1"/>
        <v>0</v>
      </c>
    </row>
    <row r="70" spans="1:17" x14ac:dyDescent="0.25">
      <c r="A70" s="55" t="s">
        <v>2503</v>
      </c>
      <c r="B70" s="56"/>
      <c r="C70" s="56">
        <v>9</v>
      </c>
      <c r="D70" s="56">
        <v>2</v>
      </c>
      <c r="E70" s="56">
        <v>2</v>
      </c>
      <c r="F70" s="30"/>
      <c r="G70" s="30"/>
      <c r="H70" s="30"/>
      <c r="I70" s="25" t="s">
        <v>2258</v>
      </c>
      <c r="J70" s="58">
        <f>VLOOKUP(Table9[[#This Row],[Donor Name]],$A$6:$E$72,2,FALSE)</f>
        <v>0</v>
      </c>
      <c r="K70" s="58">
        <f>VLOOKUP(Table9[[#This Row],[Donor Name]],$A$6:$E$72,3,FALSE)</f>
        <v>0</v>
      </c>
      <c r="L70" s="58">
        <f>VLOOKUP(Table9[[#This Row],[Donor Name]],$A$6:$E$72,4,FALSE)</f>
        <v>0</v>
      </c>
      <c r="M70" s="58">
        <f>VLOOKUP(Table9[[#This Row],[Donor Name]],$A$6:$E$72,5,FALSE)</f>
        <v>2</v>
      </c>
      <c r="N70" s="24">
        <f t="shared" si="3"/>
        <v>20</v>
      </c>
      <c r="O70" s="154">
        <f>VLOOKUP(Table9[[#This Row],[Donor Name]],'Overall scores and ranking'!$A$3:$C$71, 2,FALSE)</f>
        <v>6.5897159999999975</v>
      </c>
      <c r="P70" s="30"/>
      <c r="Q70">
        <f t="shared" si="1"/>
        <v>0</v>
      </c>
    </row>
    <row r="71" spans="1:17" x14ac:dyDescent="0.25">
      <c r="A71" s="55" t="s">
        <v>3072</v>
      </c>
      <c r="B71" s="56">
        <v>572</v>
      </c>
      <c r="C71" s="56">
        <v>127</v>
      </c>
      <c r="D71" s="56">
        <v>150</v>
      </c>
      <c r="E71" s="56">
        <v>59</v>
      </c>
      <c r="F71" s="30"/>
      <c r="G71" s="30"/>
      <c r="H71" s="30"/>
      <c r="I71" s="25" t="s">
        <v>2013</v>
      </c>
      <c r="J71" s="58">
        <f>VLOOKUP(Table9[[#This Row],[Donor Name]],$A$6:$E$72,2,FALSE)</f>
        <v>0</v>
      </c>
      <c r="K71" s="58">
        <f>VLOOKUP(Table9[[#This Row],[Donor Name]],$A$6:$E$72,3,FALSE)</f>
        <v>0</v>
      </c>
      <c r="L71" s="58">
        <f>VLOOKUP(Table9[[#This Row],[Donor Name]],$A$6:$E$72,4,FALSE)</f>
        <v>1</v>
      </c>
      <c r="M71" s="58">
        <f>VLOOKUP(Table9[[#This Row],[Donor Name]],$A$6:$E$72,5,FALSE)</f>
        <v>0</v>
      </c>
      <c r="N71" s="24">
        <f t="shared" si="3"/>
        <v>21</v>
      </c>
      <c r="O71" s="61">
        <f>VLOOKUP(Table9[[#This Row],[Donor Name]],'Overall scores and ranking'!$A$3:$C$71, 2,FALSE)</f>
        <v>6.5130569999999999</v>
      </c>
      <c r="P71" s="30"/>
      <c r="Q71">
        <f t="shared" si="1"/>
        <v>0</v>
      </c>
    </row>
    <row r="72" spans="1:17" x14ac:dyDescent="0.25">
      <c r="F72" s="59"/>
      <c r="G72" s="59"/>
      <c r="H72" s="59"/>
      <c r="I72" s="25" t="s">
        <v>1972</v>
      </c>
      <c r="J72" s="58">
        <f>VLOOKUP(Table9[[#This Row],[Donor Name]],$A$6:$E$72,2,FALSE)</f>
        <v>0</v>
      </c>
      <c r="K72" s="58">
        <f>VLOOKUP(Table9[[#This Row],[Donor Name]],$A$6:$E$72,3,FALSE)</f>
        <v>0</v>
      </c>
      <c r="L72" s="58">
        <f>VLOOKUP(Table9[[#This Row],[Donor Name]],$A$6:$E$72,4,FALSE)</f>
        <v>5</v>
      </c>
      <c r="M72" s="58">
        <f>VLOOKUP(Table9[[#This Row],[Donor Name]],$A$6:$E$72,5,FALSE)</f>
        <v>0</v>
      </c>
      <c r="N72" s="24">
        <f t="shared" si="3"/>
        <v>17</v>
      </c>
      <c r="O72" s="62">
        <f>VLOOKUP(Table9[[#This Row],[Donor Name]],'Overall scores and ranking'!$A$3:$C$71, 2,FALSE)</f>
        <v>5.909658999999988</v>
      </c>
      <c r="P72" s="59"/>
      <c r="Q72">
        <f t="shared" si="1"/>
        <v>0</v>
      </c>
    </row>
    <row r="73" spans="1:17" x14ac:dyDescent="0.25">
      <c r="I73" s="25" t="s">
        <v>417</v>
      </c>
      <c r="J73" s="58">
        <v>0</v>
      </c>
      <c r="K73" s="58">
        <v>0</v>
      </c>
      <c r="L73" s="58">
        <v>0</v>
      </c>
      <c r="M73" s="58">
        <v>0</v>
      </c>
      <c r="N73" s="24">
        <f t="shared" si="3"/>
        <v>22</v>
      </c>
      <c r="O73" s="61">
        <f>VLOOKUP(Table9[[#This Row],[Donor Name]],'Overall scores and ranking'!$A$3:$C$71, 2,FALSE)</f>
        <v>4.7197779999999998</v>
      </c>
      <c r="Q73">
        <f t="shared" ref="Q73:Q74" si="4">22-SUM(J73:N73)</f>
        <v>0</v>
      </c>
    </row>
    <row r="74" spans="1:17" x14ac:dyDescent="0.25">
      <c r="I74" s="25" t="s">
        <v>2869</v>
      </c>
      <c r="J74" s="58">
        <v>0</v>
      </c>
      <c r="K74" s="58">
        <v>0</v>
      </c>
      <c r="L74" s="58">
        <v>0</v>
      </c>
      <c r="M74" s="58">
        <v>0</v>
      </c>
      <c r="N74" s="24">
        <f t="shared" si="3"/>
        <v>22</v>
      </c>
      <c r="O74" s="61">
        <f>VLOOKUP(Table9[[#This Row],[Donor Name]],'Overall scores and ranking'!$A$3:$C$71, 2,FALSE)</f>
        <v>2.2197779999999998</v>
      </c>
      <c r="Q74">
        <f t="shared" si="4"/>
        <v>0</v>
      </c>
    </row>
    <row r="75" spans="1:17" x14ac:dyDescent="0.25">
      <c r="I75" s="64" t="s">
        <v>3089</v>
      </c>
      <c r="J75" s="65">
        <f>SUM(J7:J74)</f>
        <v>572</v>
      </c>
      <c r="K75" s="65">
        <f>SUM(K7:K74)</f>
        <v>127</v>
      </c>
      <c r="L75" s="65">
        <f>SUM(L7:L74)</f>
        <v>150</v>
      </c>
      <c r="M75" s="65">
        <f>SUM(M7:M74)</f>
        <v>59</v>
      </c>
      <c r="N75" s="65">
        <f>SUM(N7:N74)</f>
        <v>588</v>
      </c>
      <c r="O75" s="62"/>
    </row>
    <row r="76" spans="1:17" x14ac:dyDescent="0.25">
      <c r="I76" s="64"/>
      <c r="J76" s="108">
        <f>J75/SUM($J$75:$N$75)%</f>
        <v>38.235294117647058</v>
      </c>
      <c r="K76" s="108">
        <f>K75/SUM($J$75:$N$75)%</f>
        <v>8.4893048128342237</v>
      </c>
      <c r="L76" s="108">
        <f>L75/SUM($J$75:$N$75)%</f>
        <v>10.026737967914437</v>
      </c>
      <c r="M76" s="108">
        <f>M75/SUM($J$75:$N$75)%</f>
        <v>3.9438502673796787</v>
      </c>
      <c r="N76" s="108">
        <f>N75/SUM($J$75:$N$75)%</f>
        <v>39.304812834224599</v>
      </c>
      <c r="O76" s="62"/>
    </row>
  </sheetData>
  <pageMargins left="0.7" right="0.7" top="0.75" bottom="0.75" header="0.3" footer="0.3"/>
  <pageSetup paperSize="9" orientation="portrait" verticalDpi="0" r:id="rId2"/>
  <drawing r:id="rId3"/>
  <tableParts count="1">
    <tablePart r:id="rId4"/>
  </tableParts>
  <extLst>
    <ext xmlns:x14="http://schemas.microsoft.com/office/spreadsheetml/2009/9/main" uri="{A8765BA9-456A-4dab-B4F3-ACF838C121DE}">
      <x14:slicerList>
        <x14:slicer r:id="rId5"/>
      </x14:slicerList>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4"/>
  <sheetViews>
    <sheetView zoomScale="118" zoomScaleNormal="118" workbookViewId="0">
      <selection activeCell="J5" sqref="J5"/>
    </sheetView>
  </sheetViews>
  <sheetFormatPr defaultRowHeight="15" x14ac:dyDescent="0.25"/>
  <cols>
    <col min="1" max="1" width="30.7109375" bestFit="1" customWidth="1"/>
    <col min="2" max="2" width="17.85546875" bestFit="1" customWidth="1"/>
    <col min="3" max="3" width="13.140625" customWidth="1"/>
    <col min="4" max="4" width="11.28515625" customWidth="1"/>
    <col min="5" max="5" width="14" bestFit="1" customWidth="1"/>
    <col min="6" max="6" width="4" bestFit="1" customWidth="1"/>
    <col min="7" max="7" width="8.140625" bestFit="1" customWidth="1"/>
    <col min="8" max="8" width="7.28515625" bestFit="1" customWidth="1"/>
    <col min="9" max="9" width="11.28515625" bestFit="1" customWidth="1"/>
    <col min="10" max="10" width="20.140625" bestFit="1" customWidth="1"/>
    <col min="12" max="12" width="12.28515625" customWidth="1"/>
    <col min="13" max="13" width="15.7109375" customWidth="1"/>
    <col min="14" max="14" width="20.7109375" customWidth="1"/>
  </cols>
  <sheetData>
    <row r="1" spans="1:15" s="168" customFormat="1" ht="21" x14ac:dyDescent="0.35">
      <c r="A1" s="167" t="s">
        <v>3262</v>
      </c>
    </row>
    <row r="3" spans="1:15" x14ac:dyDescent="0.25">
      <c r="A3" s="18" t="s">
        <v>3</v>
      </c>
      <c r="B3" t="s">
        <v>3079</v>
      </c>
    </row>
    <row r="5" spans="1:15" x14ac:dyDescent="0.25">
      <c r="A5" s="18" t="s">
        <v>3078</v>
      </c>
      <c r="B5" s="18" t="s">
        <v>3043</v>
      </c>
      <c r="J5" s="20"/>
    </row>
    <row r="6" spans="1:15" ht="45" x14ac:dyDescent="0.25">
      <c r="A6" s="18" t="s">
        <v>3042</v>
      </c>
      <c r="B6" t="s">
        <v>541</v>
      </c>
      <c r="C6" t="s">
        <v>3158</v>
      </c>
      <c r="D6" t="s">
        <v>3072</v>
      </c>
      <c r="J6" t="s">
        <v>3083</v>
      </c>
      <c r="K6" t="s">
        <v>2932</v>
      </c>
      <c r="L6" t="s">
        <v>3159</v>
      </c>
      <c r="M6" t="s">
        <v>3122</v>
      </c>
      <c r="N6" s="17" t="s">
        <v>3161</v>
      </c>
      <c r="O6" s="20" t="s">
        <v>3157</v>
      </c>
    </row>
    <row r="7" spans="1:15" x14ac:dyDescent="0.25">
      <c r="A7" s="19" t="s">
        <v>622</v>
      </c>
      <c r="B7" s="45"/>
      <c r="C7" s="45">
        <v>13</v>
      </c>
      <c r="D7" s="45">
        <v>13</v>
      </c>
      <c r="J7" s="63" t="s">
        <v>1319</v>
      </c>
      <c r="K7">
        <f>VLOOKUP(J7,$A$6:$D$72,2,FALSE)</f>
        <v>9</v>
      </c>
      <c r="L7">
        <f>VLOOKUP(J7,$A$6:$D$72,3,FALSE)</f>
        <v>3</v>
      </c>
      <c r="M7">
        <f>14-SUM(K7:L7)</f>
        <v>2</v>
      </c>
      <c r="N7" t="b">
        <f>IF(Table11[[#This Row],[Other Sources]]&gt;Table11[[#This Row],[IATI]], TRUE)</f>
        <v>0</v>
      </c>
      <c r="O7">
        <f>Table11[[#This Row],[IATI]]+Table11[[#This Row],[Other Sources]]+Table11[[#This Row],[Not Published]]-14</f>
        <v>0</v>
      </c>
    </row>
    <row r="8" spans="1:15" x14ac:dyDescent="0.25">
      <c r="A8" s="19" t="s">
        <v>499</v>
      </c>
      <c r="B8" s="45"/>
      <c r="C8" s="45">
        <v>12</v>
      </c>
      <c r="D8" s="45">
        <v>12</v>
      </c>
      <c r="J8" s="63" t="s">
        <v>1605</v>
      </c>
      <c r="K8">
        <f t="shared" ref="K8:K71" si="0">VLOOKUP(J8,$A$6:$D$72,2,FALSE)</f>
        <v>6</v>
      </c>
      <c r="L8">
        <f t="shared" ref="L8:L71" si="1">VLOOKUP(J8,$A$6:$D$72,3,FALSE)</f>
        <v>0</v>
      </c>
      <c r="M8">
        <f t="shared" ref="M8:M71" si="2">14-SUM(K8:L8)</f>
        <v>8</v>
      </c>
      <c r="N8" t="b">
        <f>IF(Table11[[#This Row],[Other Sources]]&gt;Table11[[#This Row],[IATI]], TRUE)</f>
        <v>0</v>
      </c>
      <c r="O8">
        <f>Table11[[#This Row],[IATI]]+Table11[[#This Row],[Other Sources]]+Table11[[#This Row],[Not Published]]-14</f>
        <v>0</v>
      </c>
    </row>
    <row r="9" spans="1:15" x14ac:dyDescent="0.25">
      <c r="A9" s="19" t="s">
        <v>1319</v>
      </c>
      <c r="B9" s="45">
        <v>9</v>
      </c>
      <c r="C9" s="45">
        <v>3</v>
      </c>
      <c r="D9" s="45">
        <v>12</v>
      </c>
      <c r="J9" s="63" t="s">
        <v>2543</v>
      </c>
      <c r="K9">
        <f t="shared" si="0"/>
        <v>6</v>
      </c>
      <c r="L9">
        <f t="shared" si="1"/>
        <v>0</v>
      </c>
      <c r="M9">
        <f t="shared" si="2"/>
        <v>8</v>
      </c>
      <c r="N9" t="b">
        <f>IF(Table11[[#This Row],[Other Sources]]&gt;Table11[[#This Row],[IATI]], TRUE)</f>
        <v>0</v>
      </c>
      <c r="O9">
        <f>Table11[[#This Row],[IATI]]+Table11[[#This Row],[Other Sources]]+Table11[[#This Row],[Not Published]]-14</f>
        <v>0</v>
      </c>
    </row>
    <row r="10" spans="1:15" x14ac:dyDescent="0.25">
      <c r="A10" s="19" t="s">
        <v>2625</v>
      </c>
      <c r="B10" s="45">
        <v>10</v>
      </c>
      <c r="C10" s="45">
        <v>2</v>
      </c>
      <c r="D10" s="45">
        <v>12</v>
      </c>
      <c r="J10" s="63" t="s">
        <v>2625</v>
      </c>
      <c r="K10">
        <f t="shared" si="0"/>
        <v>10</v>
      </c>
      <c r="L10">
        <f t="shared" si="1"/>
        <v>2</v>
      </c>
      <c r="M10">
        <f t="shared" si="2"/>
        <v>2</v>
      </c>
      <c r="N10" t="b">
        <f>IF(Table11[[#This Row],[Other Sources]]&gt;Table11[[#This Row],[IATI]], TRUE)</f>
        <v>0</v>
      </c>
      <c r="O10">
        <f>Table11[[#This Row],[IATI]]+Table11[[#This Row],[Other Sources]]+Table11[[#This Row],[Not Published]]-14</f>
        <v>0</v>
      </c>
    </row>
    <row r="11" spans="1:15" x14ac:dyDescent="0.25">
      <c r="A11" s="19" t="s">
        <v>1523</v>
      </c>
      <c r="B11" s="45"/>
      <c r="C11" s="45">
        <v>11</v>
      </c>
      <c r="D11" s="45">
        <v>11</v>
      </c>
      <c r="J11" s="63" t="s">
        <v>2381</v>
      </c>
      <c r="K11">
        <f t="shared" si="0"/>
        <v>9</v>
      </c>
      <c r="L11">
        <f t="shared" si="1"/>
        <v>2</v>
      </c>
      <c r="M11">
        <f t="shared" si="2"/>
        <v>3</v>
      </c>
      <c r="N11" t="b">
        <f>IF(Table11[[#This Row],[Other Sources]]&gt;Table11[[#This Row],[IATI]], TRUE)</f>
        <v>0</v>
      </c>
      <c r="O11">
        <f>Table11[[#This Row],[IATI]]+Table11[[#This Row],[Other Sources]]+Table11[[#This Row],[Not Published]]-14</f>
        <v>0</v>
      </c>
    </row>
    <row r="12" spans="1:15" x14ac:dyDescent="0.25">
      <c r="A12" s="19" t="s">
        <v>910</v>
      </c>
      <c r="B12" s="45">
        <v>8</v>
      </c>
      <c r="C12" s="45">
        <v>3</v>
      </c>
      <c r="D12" s="45">
        <v>11</v>
      </c>
      <c r="J12" s="63" t="s">
        <v>1115</v>
      </c>
      <c r="K12">
        <f t="shared" si="0"/>
        <v>6</v>
      </c>
      <c r="L12">
        <f t="shared" si="1"/>
        <v>0</v>
      </c>
      <c r="M12">
        <f t="shared" si="2"/>
        <v>8</v>
      </c>
      <c r="N12" t="b">
        <f>IF(Table11[[#This Row],[Other Sources]]&gt;Table11[[#This Row],[IATI]], TRUE)</f>
        <v>0</v>
      </c>
      <c r="O12">
        <f>Table11[[#This Row],[IATI]]+Table11[[#This Row],[Other Sources]]+Table11[[#This Row],[Not Published]]-14</f>
        <v>0</v>
      </c>
    </row>
    <row r="13" spans="1:15" x14ac:dyDescent="0.25">
      <c r="A13" s="19" t="s">
        <v>2095</v>
      </c>
      <c r="B13" s="45">
        <v>2</v>
      </c>
      <c r="C13" s="45">
        <v>9</v>
      </c>
      <c r="D13" s="45">
        <v>11</v>
      </c>
      <c r="J13" s="63" t="s">
        <v>2707</v>
      </c>
      <c r="K13">
        <f t="shared" si="0"/>
        <v>8</v>
      </c>
      <c r="L13">
        <f t="shared" si="1"/>
        <v>0</v>
      </c>
      <c r="M13">
        <f t="shared" si="2"/>
        <v>6</v>
      </c>
      <c r="N13" t="b">
        <f>IF(Table11[[#This Row],[Other Sources]]&gt;Table11[[#This Row],[IATI]], TRUE)</f>
        <v>0</v>
      </c>
      <c r="O13">
        <f>Table11[[#This Row],[IATI]]+Table11[[#This Row],[Other Sources]]+Table11[[#This Row],[Not Published]]-14</f>
        <v>0</v>
      </c>
    </row>
    <row r="14" spans="1:15" x14ac:dyDescent="0.25">
      <c r="A14" s="19" t="s">
        <v>2381</v>
      </c>
      <c r="B14" s="45">
        <v>9</v>
      </c>
      <c r="C14" s="45">
        <v>2</v>
      </c>
      <c r="D14" s="45">
        <v>11</v>
      </c>
      <c r="J14" s="63" t="s">
        <v>1238</v>
      </c>
      <c r="K14">
        <f t="shared" si="0"/>
        <v>4</v>
      </c>
      <c r="L14">
        <f t="shared" si="1"/>
        <v>3</v>
      </c>
      <c r="M14">
        <f t="shared" si="2"/>
        <v>7</v>
      </c>
      <c r="N14" t="b">
        <f>IF(Table11[[#This Row],[Other Sources]]&gt;Table11[[#This Row],[IATI]], TRUE)</f>
        <v>0</v>
      </c>
      <c r="O14">
        <f>Table11[[#This Row],[IATI]]+Table11[[#This Row],[Other Sources]]+Table11[[#This Row],[Not Published]]-14</f>
        <v>0</v>
      </c>
    </row>
    <row r="15" spans="1:15" x14ac:dyDescent="0.25">
      <c r="A15" s="19" t="s">
        <v>1032</v>
      </c>
      <c r="B15" s="45"/>
      <c r="C15" s="45">
        <v>11</v>
      </c>
      <c r="D15" s="45">
        <v>11</v>
      </c>
      <c r="J15" s="63" t="s">
        <v>2747</v>
      </c>
      <c r="K15">
        <f t="shared" si="0"/>
        <v>6</v>
      </c>
      <c r="L15">
        <f t="shared" si="1"/>
        <v>1</v>
      </c>
      <c r="M15">
        <f t="shared" si="2"/>
        <v>7</v>
      </c>
      <c r="N15" t="b">
        <f>IF(Table11[[#This Row],[Other Sources]]&gt;Table11[[#This Row],[IATI]], TRUE)</f>
        <v>0</v>
      </c>
      <c r="O15">
        <f>Table11[[#This Row],[IATI]]+Table11[[#This Row],[Other Sources]]+Table11[[#This Row],[Not Published]]-14</f>
        <v>0</v>
      </c>
    </row>
    <row r="16" spans="1:15" x14ac:dyDescent="0.25">
      <c r="A16" s="19" t="s">
        <v>2787</v>
      </c>
      <c r="B16" s="45">
        <v>1</v>
      </c>
      <c r="C16" s="45">
        <v>9</v>
      </c>
      <c r="D16" s="45">
        <v>10</v>
      </c>
      <c r="J16" s="63" t="s">
        <v>951</v>
      </c>
      <c r="K16">
        <f t="shared" si="0"/>
        <v>6</v>
      </c>
      <c r="L16">
        <f t="shared" si="1"/>
        <v>0</v>
      </c>
      <c r="M16">
        <f t="shared" si="2"/>
        <v>8</v>
      </c>
      <c r="N16" t="b">
        <f>IF(Table11[[#This Row],[Other Sources]]&gt;Table11[[#This Row],[IATI]], TRUE)</f>
        <v>0</v>
      </c>
      <c r="O16">
        <f>Table11[[#This Row],[IATI]]+Table11[[#This Row],[Other Sources]]+Table11[[#This Row],[Not Published]]-14</f>
        <v>0</v>
      </c>
    </row>
    <row r="17" spans="1:15" x14ac:dyDescent="0.25">
      <c r="A17" s="19" t="s">
        <v>214</v>
      </c>
      <c r="B17" s="45"/>
      <c r="C17" s="45">
        <v>10</v>
      </c>
      <c r="D17" s="45">
        <v>10</v>
      </c>
      <c r="J17" s="63" t="s">
        <v>910</v>
      </c>
      <c r="K17">
        <f t="shared" si="0"/>
        <v>8</v>
      </c>
      <c r="L17">
        <f t="shared" si="1"/>
        <v>3</v>
      </c>
      <c r="M17">
        <f t="shared" si="2"/>
        <v>3</v>
      </c>
      <c r="N17" t="b">
        <f>IF(Table11[[#This Row],[Other Sources]]&gt;Table11[[#This Row],[IATI]], TRUE)</f>
        <v>0</v>
      </c>
      <c r="O17">
        <f>Table11[[#This Row],[IATI]]+Table11[[#This Row],[Other Sources]]+Table11[[#This Row],[Not Published]]-14</f>
        <v>0</v>
      </c>
    </row>
    <row r="18" spans="1:15" x14ac:dyDescent="0.25">
      <c r="A18" s="19" t="s">
        <v>2421</v>
      </c>
      <c r="B18" s="45">
        <v>6</v>
      </c>
      <c r="C18" s="45">
        <v>4</v>
      </c>
      <c r="D18" s="45">
        <v>10</v>
      </c>
      <c r="J18" s="63" t="s">
        <v>2217</v>
      </c>
      <c r="K18">
        <f t="shared" si="0"/>
        <v>6</v>
      </c>
      <c r="L18">
        <f t="shared" si="1"/>
        <v>3</v>
      </c>
      <c r="M18">
        <f t="shared" si="2"/>
        <v>5</v>
      </c>
      <c r="N18" t="b">
        <f>IF(Table11[[#This Row],[Other Sources]]&gt;Table11[[#This Row],[IATI]], TRUE)</f>
        <v>0</v>
      </c>
      <c r="O18">
        <f>Table11[[#This Row],[IATI]]+Table11[[#This Row],[Other Sources]]+Table11[[#This Row],[Not Published]]-14</f>
        <v>0</v>
      </c>
    </row>
    <row r="19" spans="1:15" x14ac:dyDescent="0.25">
      <c r="A19" s="19" t="s">
        <v>2299</v>
      </c>
      <c r="B19" s="45">
        <v>4</v>
      </c>
      <c r="C19" s="45">
        <v>6</v>
      </c>
      <c r="D19" s="45">
        <v>10</v>
      </c>
      <c r="J19" s="63" t="s">
        <v>868</v>
      </c>
      <c r="K19">
        <f t="shared" si="0"/>
        <v>6</v>
      </c>
      <c r="L19">
        <f t="shared" si="1"/>
        <v>3</v>
      </c>
      <c r="M19">
        <f t="shared" si="2"/>
        <v>5</v>
      </c>
      <c r="N19" t="b">
        <f>IF(Table11[[#This Row],[Other Sources]]&gt;Table11[[#This Row],[IATI]], TRUE)</f>
        <v>0</v>
      </c>
      <c r="O19">
        <f>Table11[[#This Row],[IATI]]+Table11[[#This Row],[Other Sources]]+Table11[[#This Row],[Not Published]]-14</f>
        <v>0</v>
      </c>
    </row>
    <row r="20" spans="1:15" x14ac:dyDescent="0.25">
      <c r="A20" s="19" t="s">
        <v>1685</v>
      </c>
      <c r="B20" s="45">
        <v>5</v>
      </c>
      <c r="C20" s="45">
        <v>5</v>
      </c>
      <c r="D20" s="45">
        <v>10</v>
      </c>
      <c r="J20" s="63" t="s">
        <v>2095</v>
      </c>
      <c r="K20">
        <f t="shared" si="0"/>
        <v>2</v>
      </c>
      <c r="L20">
        <f t="shared" si="1"/>
        <v>9</v>
      </c>
      <c r="M20">
        <f t="shared" si="2"/>
        <v>3</v>
      </c>
      <c r="N20" t="b">
        <f>IF(Table11[[#This Row],[Other Sources]]&gt;Table11[[#This Row],[IATI]], TRUE)</f>
        <v>1</v>
      </c>
      <c r="O20">
        <f>Table11[[#This Row],[IATI]]+Table11[[#This Row],[Other Sources]]+Table11[[#This Row],[Not Published]]-14</f>
        <v>0</v>
      </c>
    </row>
    <row r="21" spans="1:15" x14ac:dyDescent="0.25">
      <c r="A21" s="19" t="s">
        <v>2503</v>
      </c>
      <c r="B21" s="45"/>
      <c r="C21" s="45">
        <v>10</v>
      </c>
      <c r="D21" s="45">
        <v>10</v>
      </c>
      <c r="J21" s="63" t="s">
        <v>1685</v>
      </c>
      <c r="K21">
        <f t="shared" si="0"/>
        <v>5</v>
      </c>
      <c r="L21">
        <f t="shared" si="1"/>
        <v>5</v>
      </c>
      <c r="M21">
        <f t="shared" si="2"/>
        <v>4</v>
      </c>
      <c r="N21" t="b">
        <f>IF(Table11[[#This Row],[Other Sources]]&gt;Table11[[#This Row],[IATI]], TRUE)</f>
        <v>0</v>
      </c>
      <c r="O21">
        <f>Table11[[#This Row],[IATI]]+Table11[[#This Row],[Other Sources]]+Table11[[#This Row],[Not Published]]-14</f>
        <v>0</v>
      </c>
    </row>
    <row r="22" spans="1:15" x14ac:dyDescent="0.25">
      <c r="A22" s="19" t="s">
        <v>2135</v>
      </c>
      <c r="B22" s="45"/>
      <c r="C22" s="45">
        <v>10</v>
      </c>
      <c r="D22" s="45">
        <v>10</v>
      </c>
      <c r="J22" s="63" t="s">
        <v>1482</v>
      </c>
      <c r="K22">
        <f t="shared" si="0"/>
        <v>5</v>
      </c>
      <c r="L22">
        <f t="shared" si="1"/>
        <v>4</v>
      </c>
      <c r="M22">
        <f t="shared" si="2"/>
        <v>5</v>
      </c>
      <c r="N22" t="b">
        <f>IF(Table11[[#This Row],[Other Sources]]&gt;Table11[[#This Row],[IATI]], TRUE)</f>
        <v>0</v>
      </c>
      <c r="O22">
        <f>Table11[[#This Row],[IATI]]+Table11[[#This Row],[Other Sources]]+Table11[[#This Row],[Not Published]]-14</f>
        <v>0</v>
      </c>
    </row>
    <row r="23" spans="1:15" x14ac:dyDescent="0.25">
      <c r="A23" s="19" t="s">
        <v>539</v>
      </c>
      <c r="B23" s="45">
        <v>5</v>
      </c>
      <c r="C23" s="45">
        <v>5</v>
      </c>
      <c r="D23" s="45">
        <v>10</v>
      </c>
      <c r="J23" s="63" t="s">
        <v>1767</v>
      </c>
      <c r="K23">
        <f t="shared" si="0"/>
        <v>0</v>
      </c>
      <c r="L23">
        <f t="shared" si="1"/>
        <v>7</v>
      </c>
      <c r="M23">
        <f t="shared" si="2"/>
        <v>7</v>
      </c>
      <c r="N23" t="b">
        <f>IF(Table11[[#This Row],[Other Sources]]&gt;Table11[[#This Row],[IATI]], TRUE)</f>
        <v>1</v>
      </c>
      <c r="O23">
        <f>Table11[[#This Row],[IATI]]+Table11[[#This Row],[Other Sources]]+Table11[[#This Row],[Not Published]]-14</f>
        <v>0</v>
      </c>
    </row>
    <row r="24" spans="1:15" x14ac:dyDescent="0.25">
      <c r="A24" s="19" t="s">
        <v>2584</v>
      </c>
      <c r="B24" s="45"/>
      <c r="C24" s="45">
        <v>9</v>
      </c>
      <c r="D24" s="45">
        <v>9</v>
      </c>
      <c r="J24" s="63" t="s">
        <v>1197</v>
      </c>
      <c r="K24">
        <f t="shared" si="0"/>
        <v>3</v>
      </c>
      <c r="L24">
        <f t="shared" si="1"/>
        <v>6</v>
      </c>
      <c r="M24">
        <f t="shared" si="2"/>
        <v>5</v>
      </c>
      <c r="N24" t="b">
        <f>IF(Table11[[#This Row],[Other Sources]]&gt;Table11[[#This Row],[IATI]], TRUE)</f>
        <v>1</v>
      </c>
      <c r="O24">
        <f>Table11[[#This Row],[IATI]]+Table11[[#This Row],[Other Sources]]+Table11[[#This Row],[Not Published]]-14</f>
        <v>0</v>
      </c>
    </row>
    <row r="25" spans="1:15" x14ac:dyDescent="0.25">
      <c r="A25" s="19" t="s">
        <v>1197</v>
      </c>
      <c r="B25" s="45">
        <v>3</v>
      </c>
      <c r="C25" s="45">
        <v>6</v>
      </c>
      <c r="D25" s="45">
        <v>9</v>
      </c>
      <c r="J25" s="63" t="s">
        <v>2421</v>
      </c>
      <c r="K25">
        <f t="shared" si="0"/>
        <v>6</v>
      </c>
      <c r="L25">
        <f t="shared" si="1"/>
        <v>4</v>
      </c>
      <c r="M25">
        <f t="shared" si="2"/>
        <v>4</v>
      </c>
      <c r="N25" t="b">
        <f>IF(Table11[[#This Row],[Other Sources]]&gt;Table11[[#This Row],[IATI]], TRUE)</f>
        <v>0</v>
      </c>
      <c r="O25">
        <f>Table11[[#This Row],[IATI]]+Table11[[#This Row],[Other Sources]]+Table11[[#This Row],[Not Published]]-14</f>
        <v>0</v>
      </c>
    </row>
    <row r="26" spans="1:15" x14ac:dyDescent="0.25">
      <c r="A26" s="19" t="s">
        <v>2217</v>
      </c>
      <c r="B26" s="45">
        <v>6</v>
      </c>
      <c r="C26" s="45">
        <v>3</v>
      </c>
      <c r="D26" s="45">
        <v>9</v>
      </c>
      <c r="J26" s="63" t="s">
        <v>1890</v>
      </c>
      <c r="K26">
        <f t="shared" si="0"/>
        <v>5</v>
      </c>
      <c r="L26">
        <f t="shared" si="1"/>
        <v>1</v>
      </c>
      <c r="M26">
        <f t="shared" si="2"/>
        <v>8</v>
      </c>
      <c r="N26" t="b">
        <f>IF(Table11[[#This Row],[Other Sources]]&gt;Table11[[#This Row],[IATI]], TRUE)</f>
        <v>0</v>
      </c>
      <c r="O26">
        <f>Table11[[#This Row],[IATI]]+Table11[[#This Row],[Other Sources]]+Table11[[#This Row],[Not Published]]-14</f>
        <v>0</v>
      </c>
    </row>
    <row r="27" spans="1:15" x14ac:dyDescent="0.25">
      <c r="A27" s="19" t="s">
        <v>991</v>
      </c>
      <c r="B27" s="45"/>
      <c r="C27" s="45">
        <v>9</v>
      </c>
      <c r="D27" s="45">
        <v>9</v>
      </c>
      <c r="J27" s="63" t="s">
        <v>2787</v>
      </c>
      <c r="K27">
        <f t="shared" si="0"/>
        <v>1</v>
      </c>
      <c r="L27">
        <f t="shared" si="1"/>
        <v>9</v>
      </c>
      <c r="M27">
        <f t="shared" si="2"/>
        <v>4</v>
      </c>
      <c r="N27" t="b">
        <f>IF(Table11[[#This Row],[Other Sources]]&gt;Table11[[#This Row],[IATI]], TRUE)</f>
        <v>1</v>
      </c>
      <c r="O27">
        <f>Table11[[#This Row],[IATI]]+Table11[[#This Row],[Other Sources]]+Table11[[#This Row],[Not Published]]-14</f>
        <v>0</v>
      </c>
    </row>
    <row r="28" spans="1:15" x14ac:dyDescent="0.25">
      <c r="A28" s="19" t="s">
        <v>868</v>
      </c>
      <c r="B28" s="45">
        <v>6</v>
      </c>
      <c r="C28" s="45">
        <v>3</v>
      </c>
      <c r="D28" s="45">
        <v>9</v>
      </c>
      <c r="J28" s="63" t="s">
        <v>2462</v>
      </c>
      <c r="K28">
        <f t="shared" si="0"/>
        <v>6</v>
      </c>
      <c r="L28">
        <f t="shared" si="1"/>
        <v>3</v>
      </c>
      <c r="M28">
        <f t="shared" si="2"/>
        <v>5</v>
      </c>
      <c r="N28" t="b">
        <f>IF(Table11[[#This Row],[Other Sources]]&gt;Table11[[#This Row],[IATI]], TRUE)</f>
        <v>0</v>
      </c>
      <c r="O28">
        <f>Table11[[#This Row],[IATI]]+Table11[[#This Row],[Other Sources]]+Table11[[#This Row],[Not Published]]-14</f>
        <v>0</v>
      </c>
    </row>
    <row r="29" spans="1:15" x14ac:dyDescent="0.25">
      <c r="A29" s="19" t="s">
        <v>2462</v>
      </c>
      <c r="B29" s="45">
        <v>6</v>
      </c>
      <c r="C29" s="45">
        <v>3</v>
      </c>
      <c r="D29" s="45">
        <v>9</v>
      </c>
      <c r="J29" s="63" t="s">
        <v>1073</v>
      </c>
      <c r="K29">
        <f t="shared" si="0"/>
        <v>5</v>
      </c>
      <c r="L29">
        <f t="shared" si="1"/>
        <v>2</v>
      </c>
      <c r="M29">
        <f t="shared" si="2"/>
        <v>7</v>
      </c>
      <c r="N29" t="b">
        <f>IF(Table11[[#This Row],[Other Sources]]&gt;Table11[[#This Row],[IATI]], TRUE)</f>
        <v>0</v>
      </c>
      <c r="O29">
        <f>Table11[[#This Row],[IATI]]+Table11[[#This Row],[Other Sources]]+Table11[[#This Row],[Not Published]]-14</f>
        <v>0</v>
      </c>
    </row>
    <row r="30" spans="1:15" x14ac:dyDescent="0.25">
      <c r="A30" s="19" t="s">
        <v>1482</v>
      </c>
      <c r="B30" s="45">
        <v>5</v>
      </c>
      <c r="C30" s="45">
        <v>4</v>
      </c>
      <c r="D30" s="45">
        <v>9</v>
      </c>
      <c r="J30" s="63" t="s">
        <v>991</v>
      </c>
      <c r="K30">
        <f t="shared" si="0"/>
        <v>0</v>
      </c>
      <c r="L30">
        <f t="shared" si="1"/>
        <v>9</v>
      </c>
      <c r="M30">
        <f t="shared" si="2"/>
        <v>5</v>
      </c>
      <c r="N30" t="b">
        <f>IF(Table11[[#This Row],[Other Sources]]&gt;Table11[[#This Row],[IATI]], TRUE)</f>
        <v>1</v>
      </c>
      <c r="O30">
        <f>Table11[[#This Row],[IATI]]+Table11[[#This Row],[Other Sources]]+Table11[[#This Row],[Not Published]]-14</f>
        <v>0</v>
      </c>
    </row>
    <row r="31" spans="1:15" x14ac:dyDescent="0.25">
      <c r="A31" s="19" t="s">
        <v>1808</v>
      </c>
      <c r="B31" s="45"/>
      <c r="C31" s="45">
        <v>9</v>
      </c>
      <c r="D31" s="45">
        <v>9</v>
      </c>
      <c r="J31" s="63" t="s">
        <v>2299</v>
      </c>
      <c r="K31">
        <f t="shared" si="0"/>
        <v>4</v>
      </c>
      <c r="L31">
        <f t="shared" si="1"/>
        <v>6</v>
      </c>
      <c r="M31">
        <f t="shared" si="2"/>
        <v>4</v>
      </c>
      <c r="N31" t="b">
        <f>IF(Table11[[#This Row],[Other Sources]]&gt;Table11[[#This Row],[IATI]], TRUE)</f>
        <v>1</v>
      </c>
      <c r="O31">
        <f>Table11[[#This Row],[IATI]]+Table11[[#This Row],[Other Sources]]+Table11[[#This Row],[Not Published]]-14</f>
        <v>0</v>
      </c>
    </row>
    <row r="32" spans="1:15" x14ac:dyDescent="0.25">
      <c r="A32" s="19" t="s">
        <v>1726</v>
      </c>
      <c r="B32" s="45"/>
      <c r="C32" s="45">
        <v>9</v>
      </c>
      <c r="D32" s="45">
        <v>9</v>
      </c>
      <c r="J32" s="63" t="s">
        <v>3188</v>
      </c>
      <c r="K32">
        <f t="shared" si="0"/>
        <v>2</v>
      </c>
      <c r="L32">
        <f t="shared" si="1"/>
        <v>5</v>
      </c>
      <c r="M32">
        <f t="shared" si="2"/>
        <v>7</v>
      </c>
      <c r="N32" t="b">
        <f>IF(Table11[[#This Row],[Other Sources]]&gt;Table11[[#This Row],[IATI]], TRUE)</f>
        <v>1</v>
      </c>
      <c r="O32">
        <f>Table11[[#This Row],[IATI]]+Table11[[#This Row],[Other Sources]]+Table11[[#This Row],[Not Published]]-14</f>
        <v>0</v>
      </c>
    </row>
    <row r="33" spans="1:15" x14ac:dyDescent="0.25">
      <c r="A33" s="19" t="s">
        <v>255</v>
      </c>
      <c r="B33" s="45"/>
      <c r="C33" s="45">
        <v>9</v>
      </c>
      <c r="D33" s="45">
        <v>9</v>
      </c>
      <c r="J33" s="63" t="s">
        <v>1523</v>
      </c>
      <c r="K33">
        <f t="shared" si="0"/>
        <v>0</v>
      </c>
      <c r="L33">
        <f t="shared" si="1"/>
        <v>11</v>
      </c>
      <c r="M33">
        <f t="shared" si="2"/>
        <v>3</v>
      </c>
      <c r="N33" t="b">
        <f>IF(Table11[[#This Row],[Other Sources]]&gt;Table11[[#This Row],[IATI]], TRUE)</f>
        <v>1</v>
      </c>
      <c r="O33">
        <f>Table11[[#This Row],[IATI]]+Table11[[#This Row],[Other Sources]]+Table11[[#This Row],[Not Published]]-14</f>
        <v>0</v>
      </c>
    </row>
    <row r="34" spans="1:15" x14ac:dyDescent="0.25">
      <c r="A34" s="19" t="s">
        <v>1400</v>
      </c>
      <c r="B34" s="45"/>
      <c r="C34" s="45">
        <v>8</v>
      </c>
      <c r="D34" s="45">
        <v>8</v>
      </c>
      <c r="J34" s="63" t="s">
        <v>1441</v>
      </c>
      <c r="K34">
        <f t="shared" si="0"/>
        <v>1</v>
      </c>
      <c r="L34">
        <f t="shared" si="1"/>
        <v>7</v>
      </c>
      <c r="M34">
        <f t="shared" si="2"/>
        <v>6</v>
      </c>
      <c r="N34" t="b">
        <f>IF(Table11[[#This Row],[Other Sources]]&gt;Table11[[#This Row],[IATI]], TRUE)</f>
        <v>1</v>
      </c>
      <c r="O34">
        <f>Table11[[#This Row],[IATI]]+Table11[[#This Row],[Other Sources]]+Table11[[#This Row],[Not Published]]-14</f>
        <v>0</v>
      </c>
    </row>
    <row r="35" spans="1:15" x14ac:dyDescent="0.25">
      <c r="A35" s="19" t="s">
        <v>335</v>
      </c>
      <c r="B35" s="45"/>
      <c r="C35" s="45">
        <v>8</v>
      </c>
      <c r="D35" s="45">
        <v>8</v>
      </c>
      <c r="J35" s="63" t="s">
        <v>2054</v>
      </c>
      <c r="K35">
        <f t="shared" si="0"/>
        <v>0</v>
      </c>
      <c r="L35">
        <f t="shared" si="1"/>
        <v>7</v>
      </c>
      <c r="M35">
        <f t="shared" si="2"/>
        <v>7</v>
      </c>
      <c r="N35" t="b">
        <f>IF(Table11[[#This Row],[Other Sources]]&gt;Table11[[#This Row],[IATI]], TRUE)</f>
        <v>1</v>
      </c>
      <c r="O35">
        <f>Table11[[#This Row],[IATI]]+Table11[[#This Row],[Other Sources]]+Table11[[#This Row],[Not Published]]-14</f>
        <v>0</v>
      </c>
    </row>
    <row r="36" spans="1:15" x14ac:dyDescent="0.25">
      <c r="A36" s="19" t="s">
        <v>1278</v>
      </c>
      <c r="B36" s="45"/>
      <c r="C36" s="45">
        <v>8</v>
      </c>
      <c r="D36" s="45">
        <v>8</v>
      </c>
      <c r="J36" s="63" t="s">
        <v>1278</v>
      </c>
      <c r="K36">
        <f t="shared" si="0"/>
        <v>0</v>
      </c>
      <c r="L36">
        <f t="shared" si="1"/>
        <v>8</v>
      </c>
      <c r="M36">
        <f t="shared" si="2"/>
        <v>6</v>
      </c>
      <c r="N36" t="b">
        <f>IF(Table11[[#This Row],[Other Sources]]&gt;Table11[[#This Row],[IATI]], TRUE)</f>
        <v>1</v>
      </c>
      <c r="O36">
        <f>Table11[[#This Row],[IATI]]+Table11[[#This Row],[Other Sources]]+Table11[[#This Row],[Not Published]]-14</f>
        <v>0</v>
      </c>
    </row>
    <row r="37" spans="1:15" x14ac:dyDescent="0.25">
      <c r="A37" s="19" t="s">
        <v>1441</v>
      </c>
      <c r="B37" s="45">
        <v>1</v>
      </c>
      <c r="C37" s="45">
        <v>7</v>
      </c>
      <c r="D37" s="45">
        <v>8</v>
      </c>
      <c r="J37" s="63" t="s">
        <v>539</v>
      </c>
      <c r="K37">
        <f t="shared" si="0"/>
        <v>5</v>
      </c>
      <c r="L37">
        <f t="shared" si="1"/>
        <v>5</v>
      </c>
      <c r="M37">
        <f t="shared" si="2"/>
        <v>4</v>
      </c>
      <c r="N37" t="b">
        <f>IF(Table11[[#This Row],[Other Sources]]&gt;Table11[[#This Row],[IATI]], TRUE)</f>
        <v>0</v>
      </c>
      <c r="O37">
        <f>Table11[[#This Row],[IATI]]+Table11[[#This Row],[Other Sources]]+Table11[[#This Row],[Not Published]]-14</f>
        <v>0</v>
      </c>
    </row>
    <row r="38" spans="1:15" x14ac:dyDescent="0.25">
      <c r="A38" s="19" t="s">
        <v>2707</v>
      </c>
      <c r="B38" s="45">
        <v>8</v>
      </c>
      <c r="C38" s="45"/>
      <c r="D38" s="45">
        <v>8</v>
      </c>
      <c r="J38" s="63" t="s">
        <v>622</v>
      </c>
      <c r="K38">
        <f t="shared" si="0"/>
        <v>0</v>
      </c>
      <c r="L38">
        <f t="shared" si="1"/>
        <v>13</v>
      </c>
      <c r="M38">
        <f t="shared" si="2"/>
        <v>1</v>
      </c>
      <c r="N38" t="b">
        <f>IF(Table11[[#This Row],[Other Sources]]&gt;Table11[[#This Row],[IATI]], TRUE)</f>
        <v>1</v>
      </c>
      <c r="O38">
        <f>Table11[[#This Row],[IATI]]+Table11[[#This Row],[Other Sources]]+Table11[[#This Row],[Not Published]]-14</f>
        <v>0</v>
      </c>
    </row>
    <row r="39" spans="1:15" x14ac:dyDescent="0.25">
      <c r="A39" s="19" t="s">
        <v>28</v>
      </c>
      <c r="B39" s="45"/>
      <c r="C39" s="45">
        <v>8</v>
      </c>
      <c r="D39" s="45">
        <v>8</v>
      </c>
      <c r="J39" s="63" t="s">
        <v>1359</v>
      </c>
      <c r="K39">
        <f t="shared" si="0"/>
        <v>0</v>
      </c>
      <c r="L39">
        <f t="shared" si="1"/>
        <v>6</v>
      </c>
      <c r="M39">
        <f t="shared" si="2"/>
        <v>8</v>
      </c>
      <c r="N39" t="b">
        <f>IF(Table11[[#This Row],[Other Sources]]&gt;Table11[[#This Row],[IATI]], TRUE)</f>
        <v>1</v>
      </c>
      <c r="O39">
        <f>Table11[[#This Row],[IATI]]+Table11[[#This Row],[Other Sources]]+Table11[[#This Row],[Not Published]]-14</f>
        <v>0</v>
      </c>
    </row>
    <row r="40" spans="1:15" x14ac:dyDescent="0.25">
      <c r="A40" s="19" t="s">
        <v>295</v>
      </c>
      <c r="B40" s="45"/>
      <c r="C40" s="45">
        <v>8</v>
      </c>
      <c r="D40" s="45">
        <v>8</v>
      </c>
      <c r="J40" s="63" t="s">
        <v>2666</v>
      </c>
      <c r="K40">
        <f t="shared" si="0"/>
        <v>0</v>
      </c>
      <c r="L40">
        <f t="shared" si="1"/>
        <v>7</v>
      </c>
      <c r="M40">
        <f t="shared" si="2"/>
        <v>7</v>
      </c>
      <c r="N40" t="b">
        <f>IF(Table11[[#This Row],[Other Sources]]&gt;Table11[[#This Row],[IATI]], TRUE)</f>
        <v>1</v>
      </c>
      <c r="O40">
        <f>Table11[[#This Row],[IATI]]+Table11[[#This Row],[Other Sources]]+Table11[[#This Row],[Not Published]]-14</f>
        <v>0</v>
      </c>
    </row>
    <row r="41" spans="1:15" x14ac:dyDescent="0.25">
      <c r="A41" s="19" t="s">
        <v>2340</v>
      </c>
      <c r="B41" s="45"/>
      <c r="C41" s="45">
        <v>7</v>
      </c>
      <c r="D41" s="45">
        <v>7</v>
      </c>
      <c r="J41" s="63" t="s">
        <v>2584</v>
      </c>
      <c r="K41">
        <f t="shared" si="0"/>
        <v>0</v>
      </c>
      <c r="L41">
        <f t="shared" si="1"/>
        <v>9</v>
      </c>
      <c r="M41">
        <f t="shared" si="2"/>
        <v>5</v>
      </c>
      <c r="N41" t="b">
        <f>IF(Table11[[#This Row],[Other Sources]]&gt;Table11[[#This Row],[IATI]], TRUE)</f>
        <v>1</v>
      </c>
      <c r="O41">
        <f>Table11[[#This Row],[IATI]]+Table11[[#This Row],[Other Sources]]+Table11[[#This Row],[Not Published]]-14</f>
        <v>0</v>
      </c>
    </row>
    <row r="42" spans="1:15" x14ac:dyDescent="0.25">
      <c r="A42" s="19" t="s">
        <v>1767</v>
      </c>
      <c r="B42" s="45"/>
      <c r="C42" s="45">
        <v>7</v>
      </c>
      <c r="D42" s="45">
        <v>7</v>
      </c>
      <c r="J42" s="63" t="s">
        <v>499</v>
      </c>
      <c r="K42">
        <f t="shared" si="0"/>
        <v>0</v>
      </c>
      <c r="L42">
        <f t="shared" si="1"/>
        <v>12</v>
      </c>
      <c r="M42">
        <f t="shared" si="2"/>
        <v>2</v>
      </c>
      <c r="N42" t="b">
        <f>IF(Table11[[#This Row],[Other Sources]]&gt;Table11[[#This Row],[IATI]], TRUE)</f>
        <v>1</v>
      </c>
      <c r="O42">
        <f>Table11[[#This Row],[IATI]]+Table11[[#This Row],[Other Sources]]+Table11[[#This Row],[Not Published]]-14</f>
        <v>0</v>
      </c>
    </row>
    <row r="43" spans="1:15" x14ac:dyDescent="0.25">
      <c r="A43" s="19" t="s">
        <v>581</v>
      </c>
      <c r="B43" s="45"/>
      <c r="C43" s="45">
        <v>7</v>
      </c>
      <c r="D43" s="45">
        <v>7</v>
      </c>
      <c r="J43" s="63" t="s">
        <v>2503</v>
      </c>
      <c r="K43">
        <f t="shared" si="0"/>
        <v>0</v>
      </c>
      <c r="L43">
        <f t="shared" si="1"/>
        <v>10</v>
      </c>
      <c r="M43">
        <f t="shared" si="2"/>
        <v>4</v>
      </c>
      <c r="N43" t="b">
        <f>IF(Table11[[#This Row],[Other Sources]]&gt;Table11[[#This Row],[IATI]], TRUE)</f>
        <v>1</v>
      </c>
      <c r="O43">
        <f>Table11[[#This Row],[IATI]]+Table11[[#This Row],[Other Sources]]+Table11[[#This Row],[Not Published]]-14</f>
        <v>0</v>
      </c>
    </row>
    <row r="44" spans="1:15" x14ac:dyDescent="0.25">
      <c r="A44" s="19" t="s">
        <v>1238</v>
      </c>
      <c r="B44" s="45">
        <v>4</v>
      </c>
      <c r="C44" s="45">
        <v>3</v>
      </c>
      <c r="D44" s="45">
        <v>7</v>
      </c>
      <c r="J44" s="63" t="s">
        <v>1032</v>
      </c>
      <c r="K44">
        <f t="shared" si="0"/>
        <v>0</v>
      </c>
      <c r="L44">
        <f t="shared" si="1"/>
        <v>11</v>
      </c>
      <c r="M44">
        <f t="shared" si="2"/>
        <v>3</v>
      </c>
      <c r="N44" t="b">
        <f>IF(Table11[[#This Row],[Other Sources]]&gt;Table11[[#This Row],[IATI]], TRUE)</f>
        <v>1</v>
      </c>
      <c r="O44">
        <f>Table11[[#This Row],[IATI]]+Table11[[#This Row],[Other Sources]]+Table11[[#This Row],[Not Published]]-14</f>
        <v>0</v>
      </c>
    </row>
    <row r="45" spans="1:15" x14ac:dyDescent="0.25">
      <c r="A45" s="19" t="s">
        <v>2054</v>
      </c>
      <c r="B45" s="45"/>
      <c r="C45" s="45">
        <v>7</v>
      </c>
      <c r="D45" s="45">
        <v>7</v>
      </c>
      <c r="J45" s="63" t="s">
        <v>214</v>
      </c>
      <c r="K45">
        <f t="shared" si="0"/>
        <v>0</v>
      </c>
      <c r="L45">
        <f t="shared" si="1"/>
        <v>10</v>
      </c>
      <c r="M45">
        <f t="shared" si="2"/>
        <v>4</v>
      </c>
      <c r="N45" t="b">
        <f>IF(Table11[[#This Row],[Other Sources]]&gt;Table11[[#This Row],[IATI]], TRUE)</f>
        <v>1</v>
      </c>
      <c r="O45">
        <f>Table11[[#This Row],[IATI]]+Table11[[#This Row],[Other Sources]]+Table11[[#This Row],[Not Published]]-14</f>
        <v>0</v>
      </c>
    </row>
    <row r="46" spans="1:15" x14ac:dyDescent="0.25">
      <c r="A46" s="19" t="s">
        <v>3188</v>
      </c>
      <c r="B46" s="45">
        <v>2</v>
      </c>
      <c r="C46" s="45">
        <v>5</v>
      </c>
      <c r="D46" s="45">
        <v>7</v>
      </c>
      <c r="J46" s="63" t="s">
        <v>1726</v>
      </c>
      <c r="K46">
        <f t="shared" si="0"/>
        <v>0</v>
      </c>
      <c r="L46">
        <f t="shared" si="1"/>
        <v>9</v>
      </c>
      <c r="M46">
        <f t="shared" si="2"/>
        <v>5</v>
      </c>
      <c r="N46" t="b">
        <f>IF(Table11[[#This Row],[Other Sources]]&gt;Table11[[#This Row],[IATI]], TRUE)</f>
        <v>1</v>
      </c>
      <c r="O46">
        <f>Table11[[#This Row],[IATI]]+Table11[[#This Row],[Other Sources]]+Table11[[#This Row],[Not Published]]-14</f>
        <v>0</v>
      </c>
    </row>
    <row r="47" spans="1:15" x14ac:dyDescent="0.25">
      <c r="A47" s="19" t="s">
        <v>2747</v>
      </c>
      <c r="B47" s="45">
        <v>6</v>
      </c>
      <c r="C47" s="45">
        <v>1</v>
      </c>
      <c r="D47" s="45">
        <v>7</v>
      </c>
      <c r="J47" s="63" t="s">
        <v>704</v>
      </c>
      <c r="K47">
        <f t="shared" si="0"/>
        <v>0</v>
      </c>
      <c r="L47">
        <f t="shared" si="1"/>
        <v>7</v>
      </c>
      <c r="M47">
        <f t="shared" si="2"/>
        <v>7</v>
      </c>
      <c r="N47" t="b">
        <f>IF(Table11[[#This Row],[Other Sources]]&gt;Table11[[#This Row],[IATI]], TRUE)</f>
        <v>1</v>
      </c>
      <c r="O47">
        <f>Table11[[#This Row],[IATI]]+Table11[[#This Row],[Other Sources]]+Table11[[#This Row],[Not Published]]-14</f>
        <v>0</v>
      </c>
    </row>
    <row r="48" spans="1:15" x14ac:dyDescent="0.25">
      <c r="A48" s="19" t="s">
        <v>704</v>
      </c>
      <c r="B48" s="45"/>
      <c r="C48" s="45">
        <v>7</v>
      </c>
      <c r="D48" s="45">
        <v>7</v>
      </c>
      <c r="J48" s="63" t="s">
        <v>335</v>
      </c>
      <c r="K48">
        <f t="shared" si="0"/>
        <v>0</v>
      </c>
      <c r="L48">
        <f t="shared" si="1"/>
        <v>8</v>
      </c>
      <c r="M48">
        <f t="shared" si="2"/>
        <v>6</v>
      </c>
      <c r="N48" t="b">
        <f>IF(Table11[[#This Row],[Other Sources]]&gt;Table11[[#This Row],[IATI]], TRUE)</f>
        <v>1</v>
      </c>
      <c r="O48">
        <f>Table11[[#This Row],[IATI]]+Table11[[#This Row],[Other Sources]]+Table11[[#This Row],[Not Published]]-14</f>
        <v>0</v>
      </c>
    </row>
    <row r="49" spans="1:15" x14ac:dyDescent="0.25">
      <c r="A49" s="19" t="s">
        <v>1931</v>
      </c>
      <c r="B49" s="45"/>
      <c r="C49" s="45">
        <v>7</v>
      </c>
      <c r="D49" s="45">
        <v>7</v>
      </c>
      <c r="J49" s="63" t="s">
        <v>2135</v>
      </c>
      <c r="K49">
        <f t="shared" si="0"/>
        <v>0</v>
      </c>
      <c r="L49">
        <f t="shared" si="1"/>
        <v>10</v>
      </c>
      <c r="M49">
        <f t="shared" si="2"/>
        <v>4</v>
      </c>
      <c r="N49" t="b">
        <f>IF(Table11[[#This Row],[Other Sources]]&gt;Table11[[#This Row],[IATI]], TRUE)</f>
        <v>1</v>
      </c>
      <c r="O49">
        <f>Table11[[#This Row],[IATI]]+Table11[[#This Row],[Other Sources]]+Table11[[#This Row],[Not Published]]-14</f>
        <v>0</v>
      </c>
    </row>
    <row r="50" spans="1:15" x14ac:dyDescent="0.25">
      <c r="A50" s="19" t="s">
        <v>1073</v>
      </c>
      <c r="B50" s="45">
        <v>5</v>
      </c>
      <c r="C50" s="45">
        <v>2</v>
      </c>
      <c r="D50" s="45">
        <v>7</v>
      </c>
      <c r="J50" s="63" t="s">
        <v>255</v>
      </c>
      <c r="K50">
        <f t="shared" si="0"/>
        <v>0</v>
      </c>
      <c r="L50">
        <f t="shared" si="1"/>
        <v>9</v>
      </c>
      <c r="M50">
        <f t="shared" si="2"/>
        <v>5</v>
      </c>
      <c r="N50" t="b">
        <f>IF(Table11[[#This Row],[Other Sources]]&gt;Table11[[#This Row],[IATI]], TRUE)</f>
        <v>1</v>
      </c>
      <c r="O50">
        <f>Table11[[#This Row],[IATI]]+Table11[[#This Row],[Other Sources]]+Table11[[#This Row],[Not Published]]-14</f>
        <v>0</v>
      </c>
    </row>
    <row r="51" spans="1:15" x14ac:dyDescent="0.25">
      <c r="A51" s="19" t="s">
        <v>2666</v>
      </c>
      <c r="B51" s="45"/>
      <c r="C51" s="45">
        <v>7</v>
      </c>
      <c r="D51" s="45">
        <v>7</v>
      </c>
      <c r="J51" s="63" t="s">
        <v>295</v>
      </c>
      <c r="K51">
        <f t="shared" si="0"/>
        <v>0</v>
      </c>
      <c r="L51">
        <f t="shared" si="1"/>
        <v>8</v>
      </c>
      <c r="M51">
        <f t="shared" si="2"/>
        <v>6</v>
      </c>
      <c r="N51" t="b">
        <f>IF(Table11[[#This Row],[Other Sources]]&gt;Table11[[#This Row],[IATI]], TRUE)</f>
        <v>1</v>
      </c>
      <c r="O51">
        <f>Table11[[#This Row],[IATI]]+Table11[[#This Row],[Other Sources]]+Table11[[#This Row],[Not Published]]-14</f>
        <v>0</v>
      </c>
    </row>
    <row r="52" spans="1:15" x14ac:dyDescent="0.25">
      <c r="A52" s="19" t="s">
        <v>1564</v>
      </c>
      <c r="B52" s="45"/>
      <c r="C52" s="45">
        <v>7</v>
      </c>
      <c r="D52" s="45">
        <v>7</v>
      </c>
      <c r="J52" s="63" t="s">
        <v>663</v>
      </c>
      <c r="K52">
        <f t="shared" si="0"/>
        <v>0</v>
      </c>
      <c r="L52">
        <f t="shared" si="1"/>
        <v>5</v>
      </c>
      <c r="M52">
        <f t="shared" si="2"/>
        <v>9</v>
      </c>
      <c r="N52" t="b">
        <f>IF(Table11[[#This Row],[Other Sources]]&gt;Table11[[#This Row],[IATI]], TRUE)</f>
        <v>1</v>
      </c>
      <c r="O52">
        <f>Table11[[#This Row],[IATI]]+Table11[[#This Row],[Other Sources]]+Table11[[#This Row],[Not Published]]-14</f>
        <v>0</v>
      </c>
    </row>
    <row r="53" spans="1:15" x14ac:dyDescent="0.25">
      <c r="A53" s="19" t="s">
        <v>786</v>
      </c>
      <c r="B53" s="45"/>
      <c r="C53" s="45">
        <v>7</v>
      </c>
      <c r="D53" s="45">
        <v>7</v>
      </c>
      <c r="J53" s="63" t="s">
        <v>1931</v>
      </c>
      <c r="K53">
        <f t="shared" si="0"/>
        <v>0</v>
      </c>
      <c r="L53">
        <f t="shared" si="1"/>
        <v>7</v>
      </c>
      <c r="M53">
        <f t="shared" si="2"/>
        <v>7</v>
      </c>
      <c r="N53" t="b">
        <f>IF(Table11[[#This Row],[Other Sources]]&gt;Table11[[#This Row],[IATI]], TRUE)</f>
        <v>1</v>
      </c>
      <c r="O53">
        <f>Table11[[#This Row],[IATI]]+Table11[[#This Row],[Other Sources]]+Table11[[#This Row],[Not Published]]-14</f>
        <v>0</v>
      </c>
    </row>
    <row r="54" spans="1:15" x14ac:dyDescent="0.25">
      <c r="A54" s="19" t="s">
        <v>1605</v>
      </c>
      <c r="B54" s="45">
        <v>6</v>
      </c>
      <c r="C54" s="45"/>
      <c r="D54" s="45">
        <v>6</v>
      </c>
      <c r="J54" s="63" t="s">
        <v>1808</v>
      </c>
      <c r="K54">
        <f t="shared" si="0"/>
        <v>0</v>
      </c>
      <c r="L54">
        <f t="shared" si="1"/>
        <v>9</v>
      </c>
      <c r="M54">
        <f t="shared" si="2"/>
        <v>5</v>
      </c>
      <c r="N54" t="b">
        <f>IF(Table11[[#This Row],[Other Sources]]&gt;Table11[[#This Row],[IATI]], TRUE)</f>
        <v>1</v>
      </c>
      <c r="O54">
        <f>Table11[[#This Row],[IATI]]+Table11[[#This Row],[Other Sources]]+Table11[[#This Row],[Not Published]]-14</f>
        <v>0</v>
      </c>
    </row>
    <row r="55" spans="1:15" x14ac:dyDescent="0.25">
      <c r="A55" s="19" t="s">
        <v>2543</v>
      </c>
      <c r="B55" s="45">
        <v>6</v>
      </c>
      <c r="C55" s="45"/>
      <c r="D55" s="45">
        <v>6</v>
      </c>
      <c r="J55" s="63" t="s">
        <v>28</v>
      </c>
      <c r="K55">
        <f t="shared" si="0"/>
        <v>0</v>
      </c>
      <c r="L55">
        <f t="shared" si="1"/>
        <v>8</v>
      </c>
      <c r="M55">
        <f t="shared" si="2"/>
        <v>6</v>
      </c>
      <c r="N55" t="b">
        <f>IF(Table11[[#This Row],[Other Sources]]&gt;Table11[[#This Row],[IATI]], TRUE)</f>
        <v>1</v>
      </c>
      <c r="O55">
        <f>Table11[[#This Row],[IATI]]+Table11[[#This Row],[Other Sources]]+Table11[[#This Row],[Not Published]]-14</f>
        <v>0</v>
      </c>
    </row>
    <row r="56" spans="1:15" x14ac:dyDescent="0.25">
      <c r="A56" s="19" t="s">
        <v>173</v>
      </c>
      <c r="B56" s="45"/>
      <c r="C56" s="45">
        <v>6</v>
      </c>
      <c r="D56" s="45">
        <v>6</v>
      </c>
      <c r="J56" s="63" t="s">
        <v>786</v>
      </c>
      <c r="K56">
        <f t="shared" si="0"/>
        <v>0</v>
      </c>
      <c r="L56">
        <f t="shared" si="1"/>
        <v>7</v>
      </c>
      <c r="M56">
        <f t="shared" si="2"/>
        <v>7</v>
      </c>
      <c r="N56" t="b">
        <f>IF(Table11[[#This Row],[Other Sources]]&gt;Table11[[#This Row],[IATI]], TRUE)</f>
        <v>1</v>
      </c>
      <c r="O56">
        <f>Table11[[#This Row],[IATI]]+Table11[[#This Row],[Other Sources]]+Table11[[#This Row],[Not Published]]-14</f>
        <v>0</v>
      </c>
    </row>
    <row r="57" spans="1:15" x14ac:dyDescent="0.25">
      <c r="A57" s="19" t="s">
        <v>1890</v>
      </c>
      <c r="B57" s="45">
        <v>5</v>
      </c>
      <c r="C57" s="45">
        <v>1</v>
      </c>
      <c r="D57" s="45">
        <v>6</v>
      </c>
      <c r="J57" s="63" t="s">
        <v>827</v>
      </c>
      <c r="K57">
        <f t="shared" si="0"/>
        <v>0</v>
      </c>
      <c r="L57">
        <f t="shared" si="1"/>
        <v>5</v>
      </c>
      <c r="M57">
        <f t="shared" si="2"/>
        <v>9</v>
      </c>
      <c r="N57" t="b">
        <f>IF(Table11[[#This Row],[Other Sources]]&gt;Table11[[#This Row],[IATI]], TRUE)</f>
        <v>1</v>
      </c>
      <c r="O57">
        <f>Table11[[#This Row],[IATI]]+Table11[[#This Row],[Other Sources]]+Table11[[#This Row],[Not Published]]-14</f>
        <v>0</v>
      </c>
    </row>
    <row r="58" spans="1:15" x14ac:dyDescent="0.25">
      <c r="A58" s="19" t="s">
        <v>1359</v>
      </c>
      <c r="B58" s="45"/>
      <c r="C58" s="45">
        <v>6</v>
      </c>
      <c r="D58" s="45">
        <v>6</v>
      </c>
      <c r="J58" s="63" t="s">
        <v>581</v>
      </c>
      <c r="K58">
        <f t="shared" si="0"/>
        <v>0</v>
      </c>
      <c r="L58">
        <f t="shared" si="1"/>
        <v>7</v>
      </c>
      <c r="M58">
        <f t="shared" si="2"/>
        <v>7</v>
      </c>
      <c r="N58" t="b">
        <f>IF(Table11[[#This Row],[Other Sources]]&gt;Table11[[#This Row],[IATI]], TRUE)</f>
        <v>1</v>
      </c>
      <c r="O58">
        <f>Table11[[#This Row],[IATI]]+Table11[[#This Row],[Other Sources]]+Table11[[#This Row],[Not Published]]-14</f>
        <v>0</v>
      </c>
    </row>
    <row r="59" spans="1:15" x14ac:dyDescent="0.25">
      <c r="A59" s="19" t="s">
        <v>1115</v>
      </c>
      <c r="B59" s="45">
        <v>6</v>
      </c>
      <c r="C59" s="45"/>
      <c r="D59" s="45">
        <v>6</v>
      </c>
      <c r="J59" s="63" t="s">
        <v>1400</v>
      </c>
      <c r="K59">
        <f t="shared" si="0"/>
        <v>0</v>
      </c>
      <c r="L59">
        <f t="shared" si="1"/>
        <v>8</v>
      </c>
      <c r="M59">
        <f t="shared" si="2"/>
        <v>6</v>
      </c>
      <c r="N59" t="b">
        <f>IF(Table11[[#This Row],[Other Sources]]&gt;Table11[[#This Row],[IATI]], TRUE)</f>
        <v>1</v>
      </c>
      <c r="O59">
        <f>Table11[[#This Row],[IATI]]+Table11[[#This Row],[Other Sources]]+Table11[[#This Row],[Not Published]]-14</f>
        <v>0</v>
      </c>
    </row>
    <row r="60" spans="1:15" x14ac:dyDescent="0.25">
      <c r="A60" s="19" t="s">
        <v>951</v>
      </c>
      <c r="B60" s="45">
        <v>6</v>
      </c>
      <c r="C60" s="45"/>
      <c r="D60" s="45">
        <v>6</v>
      </c>
      <c r="J60" s="63" t="s">
        <v>2340</v>
      </c>
      <c r="K60">
        <f t="shared" si="0"/>
        <v>0</v>
      </c>
      <c r="L60">
        <f t="shared" si="1"/>
        <v>7</v>
      </c>
      <c r="M60">
        <f t="shared" si="2"/>
        <v>7</v>
      </c>
      <c r="N60" t="b">
        <f>IF(Table11[[#This Row],[Other Sources]]&gt;Table11[[#This Row],[IATI]], TRUE)</f>
        <v>1</v>
      </c>
      <c r="O60">
        <f>Table11[[#This Row],[IATI]]+Table11[[#This Row],[Other Sources]]+Table11[[#This Row],[Not Published]]-14</f>
        <v>0</v>
      </c>
    </row>
    <row r="61" spans="1:15" x14ac:dyDescent="0.25">
      <c r="A61" s="19" t="s">
        <v>376</v>
      </c>
      <c r="B61" s="45"/>
      <c r="C61" s="45">
        <v>6</v>
      </c>
      <c r="D61" s="45">
        <v>6</v>
      </c>
      <c r="J61" s="63" t="s">
        <v>1564</v>
      </c>
      <c r="K61">
        <f t="shared" si="0"/>
        <v>0</v>
      </c>
      <c r="L61">
        <f t="shared" si="1"/>
        <v>7</v>
      </c>
      <c r="M61">
        <f t="shared" si="2"/>
        <v>7</v>
      </c>
      <c r="N61" t="b">
        <f>IF(Table11[[#This Row],[Other Sources]]&gt;Table11[[#This Row],[IATI]], TRUE)</f>
        <v>1</v>
      </c>
      <c r="O61">
        <f>Table11[[#This Row],[IATI]]+Table11[[#This Row],[Other Sources]]+Table11[[#This Row],[Not Published]]-14</f>
        <v>0</v>
      </c>
    </row>
    <row r="62" spans="1:15" x14ac:dyDescent="0.25">
      <c r="A62" s="19" t="s">
        <v>827</v>
      </c>
      <c r="B62" s="45"/>
      <c r="C62" s="45">
        <v>5</v>
      </c>
      <c r="D62" s="45">
        <v>5</v>
      </c>
      <c r="J62" s="63" t="s">
        <v>173</v>
      </c>
      <c r="K62">
        <f t="shared" si="0"/>
        <v>0</v>
      </c>
      <c r="L62">
        <f t="shared" si="1"/>
        <v>6</v>
      </c>
      <c r="M62">
        <f t="shared" si="2"/>
        <v>8</v>
      </c>
      <c r="N62" t="b">
        <f>IF(Table11[[#This Row],[Other Sources]]&gt;Table11[[#This Row],[IATI]], TRUE)</f>
        <v>1</v>
      </c>
      <c r="O62">
        <f>Table11[[#This Row],[IATI]]+Table11[[#This Row],[Other Sources]]+Table11[[#This Row],[Not Published]]-14</f>
        <v>0</v>
      </c>
    </row>
    <row r="63" spans="1:15" x14ac:dyDescent="0.25">
      <c r="A63" s="19" t="s">
        <v>663</v>
      </c>
      <c r="B63" s="45"/>
      <c r="C63" s="45">
        <v>5</v>
      </c>
      <c r="D63" s="45">
        <v>5</v>
      </c>
      <c r="J63" s="63" t="s">
        <v>376</v>
      </c>
      <c r="K63">
        <f t="shared" si="0"/>
        <v>0</v>
      </c>
      <c r="L63">
        <f t="shared" si="1"/>
        <v>6</v>
      </c>
      <c r="M63">
        <f t="shared" si="2"/>
        <v>8</v>
      </c>
      <c r="N63" t="b">
        <f>IF(Table11[[#This Row],[Other Sources]]&gt;Table11[[#This Row],[IATI]], TRUE)</f>
        <v>1</v>
      </c>
      <c r="O63">
        <f>Table11[[#This Row],[IATI]]+Table11[[#This Row],[Other Sources]]+Table11[[#This Row],[Not Published]]-14</f>
        <v>0</v>
      </c>
    </row>
    <row r="64" spans="1:15" x14ac:dyDescent="0.25">
      <c r="A64" s="19" t="s">
        <v>458</v>
      </c>
      <c r="B64" s="45"/>
      <c r="C64" s="45">
        <v>5</v>
      </c>
      <c r="D64" s="45">
        <v>5</v>
      </c>
      <c r="J64" s="63" t="s">
        <v>745</v>
      </c>
      <c r="K64">
        <f t="shared" si="0"/>
        <v>0</v>
      </c>
      <c r="L64">
        <f t="shared" si="1"/>
        <v>4</v>
      </c>
      <c r="M64">
        <f t="shared" si="2"/>
        <v>10</v>
      </c>
      <c r="N64" t="b">
        <f>IF(Table11[[#This Row],[Other Sources]]&gt;Table11[[#This Row],[IATI]], TRUE)</f>
        <v>1</v>
      </c>
      <c r="O64">
        <f>Table11[[#This Row],[IATI]]+Table11[[#This Row],[Other Sources]]+Table11[[#This Row],[Not Published]]-14</f>
        <v>0</v>
      </c>
    </row>
    <row r="65" spans="1:15" x14ac:dyDescent="0.25">
      <c r="A65" s="19" t="s">
        <v>2176</v>
      </c>
      <c r="B65" s="45"/>
      <c r="C65" s="45">
        <v>4</v>
      </c>
      <c r="D65" s="45">
        <v>4</v>
      </c>
      <c r="J65" s="63" t="s">
        <v>2176</v>
      </c>
      <c r="K65">
        <f t="shared" si="0"/>
        <v>0</v>
      </c>
      <c r="L65">
        <f t="shared" si="1"/>
        <v>4</v>
      </c>
      <c r="M65">
        <f t="shared" si="2"/>
        <v>10</v>
      </c>
      <c r="N65" t="b">
        <f>IF(Table11[[#This Row],[Other Sources]]&gt;Table11[[#This Row],[IATI]], TRUE)</f>
        <v>1</v>
      </c>
      <c r="O65">
        <f>Table11[[#This Row],[IATI]]+Table11[[#This Row],[Other Sources]]+Table11[[#This Row],[Not Published]]-14</f>
        <v>0</v>
      </c>
    </row>
    <row r="66" spans="1:15" x14ac:dyDescent="0.25">
      <c r="A66" s="19" t="s">
        <v>745</v>
      </c>
      <c r="B66" s="45"/>
      <c r="C66" s="45">
        <v>4</v>
      </c>
      <c r="D66" s="45">
        <v>4</v>
      </c>
      <c r="J66" s="63" t="s">
        <v>2989</v>
      </c>
      <c r="K66">
        <f t="shared" si="0"/>
        <v>0</v>
      </c>
      <c r="L66">
        <f t="shared" si="1"/>
        <v>4</v>
      </c>
      <c r="M66">
        <f t="shared" si="2"/>
        <v>10</v>
      </c>
      <c r="N66" t="b">
        <f>IF(Table11[[#This Row],[Other Sources]]&gt;Table11[[#This Row],[IATI]], TRUE)</f>
        <v>1</v>
      </c>
      <c r="O66">
        <f>Table11[[#This Row],[IATI]]+Table11[[#This Row],[Other Sources]]+Table11[[#This Row],[Not Published]]-14</f>
        <v>0</v>
      </c>
    </row>
    <row r="67" spans="1:15" x14ac:dyDescent="0.25">
      <c r="A67" s="19" t="s">
        <v>2989</v>
      </c>
      <c r="B67" s="45"/>
      <c r="C67" s="45">
        <v>4</v>
      </c>
      <c r="D67" s="45">
        <v>4</v>
      </c>
      <c r="J67" s="63" t="s">
        <v>458</v>
      </c>
      <c r="K67">
        <f t="shared" si="0"/>
        <v>0</v>
      </c>
      <c r="L67">
        <f t="shared" si="1"/>
        <v>5</v>
      </c>
      <c r="M67">
        <f t="shared" si="2"/>
        <v>9</v>
      </c>
      <c r="N67" t="b">
        <f>IF(Table11[[#This Row],[Other Sources]]&gt;Table11[[#This Row],[IATI]], TRUE)</f>
        <v>1</v>
      </c>
      <c r="O67">
        <f>Table11[[#This Row],[IATI]]+Table11[[#This Row],[Other Sources]]+Table11[[#This Row],[Not Published]]-14</f>
        <v>0</v>
      </c>
    </row>
    <row r="68" spans="1:15" x14ac:dyDescent="0.25">
      <c r="A68" s="19" t="s">
        <v>1849</v>
      </c>
      <c r="B68" s="45"/>
      <c r="C68" s="45">
        <v>4</v>
      </c>
      <c r="D68" s="45">
        <v>4</v>
      </c>
      <c r="J68" s="63" t="s">
        <v>1156</v>
      </c>
      <c r="K68">
        <v>0</v>
      </c>
      <c r="L68">
        <v>0</v>
      </c>
      <c r="M68">
        <f t="shared" si="2"/>
        <v>14</v>
      </c>
      <c r="N68" t="b">
        <f>IF(Table11[[#This Row],[Other Sources]]&gt;Table11[[#This Row],[IATI]], TRUE)</f>
        <v>0</v>
      </c>
      <c r="O68">
        <f>Table11[[#This Row],[IATI]]+Table11[[#This Row],[Other Sources]]+Table11[[#This Row],[Not Published]]-14</f>
        <v>0</v>
      </c>
    </row>
    <row r="69" spans="1:15" x14ac:dyDescent="0.25">
      <c r="A69" s="19" t="s">
        <v>2258</v>
      </c>
      <c r="B69" s="45"/>
      <c r="C69" s="45">
        <v>3</v>
      </c>
      <c r="D69" s="45">
        <v>3</v>
      </c>
      <c r="J69" s="63" t="s">
        <v>1849</v>
      </c>
      <c r="K69">
        <f t="shared" si="0"/>
        <v>0</v>
      </c>
      <c r="L69">
        <f t="shared" si="1"/>
        <v>4</v>
      </c>
      <c r="M69">
        <f t="shared" si="2"/>
        <v>10</v>
      </c>
      <c r="N69" t="b">
        <f>IF(Table11[[#This Row],[Other Sources]]&gt;Table11[[#This Row],[IATI]], TRUE)</f>
        <v>1</v>
      </c>
      <c r="O69">
        <f>Table11[[#This Row],[IATI]]+Table11[[#This Row],[Other Sources]]+Table11[[#This Row],[Not Published]]-14</f>
        <v>0</v>
      </c>
    </row>
    <row r="70" spans="1:15" x14ac:dyDescent="0.25">
      <c r="A70" s="19" t="s">
        <v>2013</v>
      </c>
      <c r="B70" s="45"/>
      <c r="C70" s="45">
        <v>3</v>
      </c>
      <c r="D70" s="45">
        <v>3</v>
      </c>
      <c r="J70" s="63" t="s">
        <v>2013</v>
      </c>
      <c r="K70">
        <f t="shared" si="0"/>
        <v>0</v>
      </c>
      <c r="L70">
        <f t="shared" si="1"/>
        <v>3</v>
      </c>
      <c r="M70">
        <f t="shared" si="2"/>
        <v>11</v>
      </c>
      <c r="N70" t="b">
        <f>IF(Table11[[#This Row],[Other Sources]]&gt;Table11[[#This Row],[IATI]], TRUE)</f>
        <v>1</v>
      </c>
      <c r="O70">
        <f>Table11[[#This Row],[IATI]]+Table11[[#This Row],[Other Sources]]+Table11[[#This Row],[Not Published]]-14</f>
        <v>0</v>
      </c>
    </row>
    <row r="71" spans="1:15" x14ac:dyDescent="0.25">
      <c r="A71" s="19" t="s">
        <v>417</v>
      </c>
      <c r="B71" s="45"/>
      <c r="C71" s="45">
        <v>2</v>
      </c>
      <c r="D71" s="45">
        <v>2</v>
      </c>
      <c r="J71" s="63" t="s">
        <v>1972</v>
      </c>
      <c r="K71">
        <f t="shared" si="0"/>
        <v>0</v>
      </c>
      <c r="L71">
        <f t="shared" si="1"/>
        <v>2</v>
      </c>
      <c r="M71">
        <f t="shared" si="2"/>
        <v>12</v>
      </c>
      <c r="N71" t="b">
        <f>IF(Table11[[#This Row],[Other Sources]]&gt;Table11[[#This Row],[IATI]], TRUE)</f>
        <v>1</v>
      </c>
      <c r="O71">
        <f>Table11[[#This Row],[IATI]]+Table11[[#This Row],[Other Sources]]+Table11[[#This Row],[Not Published]]-14</f>
        <v>0</v>
      </c>
    </row>
    <row r="72" spans="1:15" x14ac:dyDescent="0.25">
      <c r="A72" s="19" t="s">
        <v>1972</v>
      </c>
      <c r="B72" s="45"/>
      <c r="C72" s="45">
        <v>2</v>
      </c>
      <c r="D72" s="45">
        <v>2</v>
      </c>
      <c r="J72" s="63" t="s">
        <v>2258</v>
      </c>
      <c r="K72">
        <f t="shared" ref="K72:K73" si="3">VLOOKUP(J72,$A$6:$D$72,2,FALSE)</f>
        <v>0</v>
      </c>
      <c r="L72">
        <f t="shared" ref="L72:L73" si="4">VLOOKUP(J72,$A$6:$D$72,3,FALSE)</f>
        <v>3</v>
      </c>
      <c r="M72">
        <f t="shared" ref="M72:M74" si="5">14-SUM(K72:L72)</f>
        <v>11</v>
      </c>
      <c r="N72" t="b">
        <f>IF(Table11[[#This Row],[Other Sources]]&gt;Table11[[#This Row],[IATI]], TRUE)</f>
        <v>1</v>
      </c>
      <c r="O72">
        <f>Table11[[#This Row],[IATI]]+Table11[[#This Row],[Other Sources]]+Table11[[#This Row],[Not Published]]-14</f>
        <v>0</v>
      </c>
    </row>
    <row r="73" spans="1:15" x14ac:dyDescent="0.25">
      <c r="A73" s="19" t="s">
        <v>1156</v>
      </c>
      <c r="B73" s="45"/>
      <c r="C73" s="45">
        <v>1</v>
      </c>
      <c r="D73" s="45">
        <v>1</v>
      </c>
      <c r="J73" s="63" t="s">
        <v>417</v>
      </c>
      <c r="K73">
        <f t="shared" si="3"/>
        <v>0</v>
      </c>
      <c r="L73">
        <f t="shared" si="4"/>
        <v>2</v>
      </c>
      <c r="M73">
        <f t="shared" si="5"/>
        <v>12</v>
      </c>
      <c r="N73" t="b">
        <f>IF(Table11[[#This Row],[Other Sources]]&gt;Table11[[#This Row],[IATI]], TRUE)</f>
        <v>1</v>
      </c>
      <c r="O73">
        <f>Table11[[#This Row],[IATI]]+Table11[[#This Row],[Other Sources]]+Table11[[#This Row],[Not Published]]-14</f>
        <v>0</v>
      </c>
    </row>
    <row r="74" spans="1:15" x14ac:dyDescent="0.25">
      <c r="A74" s="19" t="s">
        <v>3072</v>
      </c>
      <c r="B74" s="45">
        <v>140</v>
      </c>
      <c r="C74" s="45">
        <v>371</v>
      </c>
      <c r="D74" s="45">
        <v>511</v>
      </c>
      <c r="J74" s="63" t="s">
        <v>2869</v>
      </c>
      <c r="K74">
        <v>0</v>
      </c>
      <c r="L74">
        <v>0</v>
      </c>
      <c r="M74">
        <f t="shared" si="5"/>
        <v>14</v>
      </c>
      <c r="N74" t="b">
        <f>IF(Table11[[#This Row],[Other Sources]]&gt;Table11[[#This Row],[IATI]], TRUE)</f>
        <v>0</v>
      </c>
      <c r="O74">
        <f>Table11[[#This Row],[IATI]]+Table11[[#This Row],[Other Sources]]+Table11[[#This Row],[Not Published]]-14</f>
        <v>0</v>
      </c>
    </row>
  </sheetData>
  <pageMargins left="0.7" right="0.7" top="0.75" bottom="0.75" header="0.3" footer="0.3"/>
  <pageSetup paperSize="9" orientation="portrait" r:id="rId2"/>
  <drawing r:id="rId3"/>
  <tableParts count="1">
    <tablePart r:id="rId4"/>
  </tableParts>
  <extLst>
    <ext xmlns:x14="http://schemas.microsoft.com/office/spreadsheetml/2009/9/main" uri="{A8765BA9-456A-4dab-B4F3-ACF838C121DE}">
      <x14:slicerList>
        <x14:slicer r:id="rId5"/>
      </x14:slicerList>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M74"/>
  <sheetViews>
    <sheetView workbookViewId="0">
      <selection sqref="A1:XFD1"/>
    </sheetView>
  </sheetViews>
  <sheetFormatPr defaultRowHeight="15" x14ac:dyDescent="0.25"/>
  <cols>
    <col min="1" max="1" width="37.42578125" bestFit="1" customWidth="1"/>
    <col min="2" max="2" width="16.28515625" bestFit="1" customWidth="1"/>
    <col min="3" max="3" width="12" bestFit="1" customWidth="1"/>
    <col min="4" max="4" width="7.42578125" customWidth="1"/>
    <col min="5" max="5" width="11.28515625" customWidth="1"/>
    <col min="8" max="8" width="10.42578125" customWidth="1"/>
    <col min="9" max="9" width="22.140625" customWidth="1"/>
    <col min="10" max="10" width="14.85546875" customWidth="1"/>
    <col min="11" max="11" width="14.42578125" customWidth="1"/>
    <col min="12" max="12" width="13" customWidth="1"/>
  </cols>
  <sheetData>
    <row r="1" spans="1:13" s="168" customFormat="1" ht="21" x14ac:dyDescent="0.35">
      <c r="A1" s="167" t="s">
        <v>3263</v>
      </c>
    </row>
    <row r="3" spans="1:13" x14ac:dyDescent="0.25">
      <c r="A3" s="18" t="s">
        <v>3044</v>
      </c>
      <c r="B3" s="18" t="s">
        <v>3043</v>
      </c>
      <c r="J3" s="20" t="s">
        <v>3091</v>
      </c>
    </row>
    <row r="4" spans="1:13" x14ac:dyDescent="0.25">
      <c r="A4" s="18" t="s">
        <v>3042</v>
      </c>
      <c r="B4" t="s">
        <v>163</v>
      </c>
      <c r="C4" t="s">
        <v>134</v>
      </c>
      <c r="D4" t="s">
        <v>32</v>
      </c>
      <c r="E4" t="s">
        <v>3072</v>
      </c>
      <c r="G4" t="s">
        <v>3082</v>
      </c>
      <c r="J4" s="20" t="s">
        <v>3092</v>
      </c>
      <c r="K4" s="20" t="s">
        <v>3093</v>
      </c>
      <c r="L4" s="20" t="s">
        <v>3094</v>
      </c>
      <c r="M4" s="162" t="s">
        <v>3156</v>
      </c>
    </row>
    <row r="5" spans="1:13" x14ac:dyDescent="0.25">
      <c r="A5" s="19" t="s">
        <v>1605</v>
      </c>
      <c r="B5" s="44">
        <v>8.7798780000000001</v>
      </c>
      <c r="C5" s="44">
        <v>25.001883116883107</v>
      </c>
      <c r="D5" s="44">
        <v>56.855350695199924</v>
      </c>
      <c r="E5" s="44">
        <v>90.63711181208302</v>
      </c>
      <c r="G5" s="44">
        <f>E5-VLOOKUP(A5,'Overall scores and ranking'!$A$3:$C$71,2,FALSE)</f>
        <v>0</v>
      </c>
      <c r="I5" s="19" t="s">
        <v>1605</v>
      </c>
      <c r="J5" s="22">
        <f>B5/10%</f>
        <v>87.798779999999994</v>
      </c>
      <c r="K5" s="22">
        <f>C5/25%</f>
        <v>100.00753246753243</v>
      </c>
      <c r="L5" s="22">
        <f>D5/65%</f>
        <v>87.469770300307573</v>
      </c>
      <c r="M5" s="22" t="str">
        <f>VLOOKUP(I5,'Overall scores and ranking'!$A$3:$D$71,4, FALSE)</f>
        <v>Very good</v>
      </c>
    </row>
    <row r="6" spans="1:13" x14ac:dyDescent="0.25">
      <c r="A6" s="19" t="s">
        <v>2543</v>
      </c>
      <c r="B6" s="44">
        <v>9.5904000000000007</v>
      </c>
      <c r="C6" s="44">
        <v>22.229999999999997</v>
      </c>
      <c r="D6" s="44">
        <v>56.516340299014736</v>
      </c>
      <c r="E6" s="44">
        <v>88.336740299014735</v>
      </c>
      <c r="G6" s="44">
        <f>E6-VLOOKUP(A6,'Overall scores and ranking'!$A$3:$C$71,2,FALSE)</f>
        <v>0</v>
      </c>
      <c r="I6" s="19" t="s">
        <v>2543</v>
      </c>
      <c r="J6" s="22">
        <f t="shared" ref="J6:J69" si="0">B6/10%</f>
        <v>95.903999999999996</v>
      </c>
      <c r="K6" s="22">
        <f t="shared" ref="K6:K69" si="1">C6/25%</f>
        <v>88.919999999999987</v>
      </c>
      <c r="L6" s="22">
        <f t="shared" ref="L6:L69" si="2">D6/65%</f>
        <v>86.948215844638057</v>
      </c>
      <c r="M6" s="22" t="str">
        <f>VLOOKUP(I6,'Overall scores and ranking'!$A$3:$D$71,4, FALSE)</f>
        <v>Very good</v>
      </c>
    </row>
    <row r="7" spans="1:13" x14ac:dyDescent="0.25">
      <c r="A7" s="19" t="s">
        <v>2625</v>
      </c>
      <c r="B7" s="44">
        <v>8.0472780000000004</v>
      </c>
      <c r="C7" s="44">
        <v>23.506363636363627</v>
      </c>
      <c r="D7" s="44">
        <v>55.340980742875381</v>
      </c>
      <c r="E7" s="44">
        <v>86.89462237923901</v>
      </c>
      <c r="G7" s="44">
        <f>E7-VLOOKUP(A7,'Overall scores and ranking'!$A$3:$C$71,2,FALSE)</f>
        <v>0</v>
      </c>
      <c r="I7" s="19" t="s">
        <v>2625</v>
      </c>
      <c r="J7" s="22">
        <f t="shared" si="0"/>
        <v>80.47278</v>
      </c>
      <c r="K7" s="22">
        <f t="shared" si="1"/>
        <v>94.025454545454508</v>
      </c>
      <c r="L7" s="22">
        <f t="shared" si="2"/>
        <v>85.139970373654435</v>
      </c>
      <c r="M7" s="22" t="str">
        <f>VLOOKUP(I7,'Overall scores and ranking'!$A$3:$D$71,4, FALSE)</f>
        <v>Very good</v>
      </c>
    </row>
    <row r="8" spans="1:13" x14ac:dyDescent="0.25">
      <c r="A8" s="19" t="s">
        <v>1319</v>
      </c>
      <c r="B8" s="44">
        <v>4.3732889999999998</v>
      </c>
      <c r="C8" s="44">
        <v>25.009999999999998</v>
      </c>
      <c r="D8" s="44">
        <v>57.362433206106779</v>
      </c>
      <c r="E8" s="44">
        <v>86.745722206106777</v>
      </c>
      <c r="G8" s="44">
        <f>E8-VLOOKUP(A8,'Overall scores and ranking'!$A$3:$C$71,2,FALSE)</f>
        <v>0</v>
      </c>
      <c r="I8" s="19" t="s">
        <v>1319</v>
      </c>
      <c r="J8" s="22">
        <f t="shared" si="0"/>
        <v>43.732889999999998</v>
      </c>
      <c r="K8" s="22">
        <f t="shared" si="1"/>
        <v>100.03999999999999</v>
      </c>
      <c r="L8" s="22">
        <f t="shared" si="2"/>
        <v>88.249897240164273</v>
      </c>
      <c r="M8" s="22" t="str">
        <f>VLOOKUP(I8,'Overall scores and ranking'!$A$3:$D$71,4, FALSE)</f>
        <v>Very good</v>
      </c>
    </row>
    <row r="9" spans="1:13" x14ac:dyDescent="0.25">
      <c r="A9" s="19" t="s">
        <v>2381</v>
      </c>
      <c r="B9" s="44">
        <v>8.5800780000000003</v>
      </c>
      <c r="C9" s="44">
        <v>24.853749999999998</v>
      </c>
      <c r="D9" s="44">
        <v>50.409010162282527</v>
      </c>
      <c r="E9" s="44">
        <v>83.842838162282533</v>
      </c>
      <c r="G9" s="44">
        <f>E9-VLOOKUP(A9,'Overall scores and ranking'!$A$3:$C$71,2,FALSE)</f>
        <v>0</v>
      </c>
      <c r="I9" s="19" t="s">
        <v>2381</v>
      </c>
      <c r="J9" s="22">
        <f t="shared" si="0"/>
        <v>85.800780000000003</v>
      </c>
      <c r="K9" s="22">
        <f t="shared" si="1"/>
        <v>99.414999999999992</v>
      </c>
      <c r="L9" s="22">
        <f t="shared" si="2"/>
        <v>77.552323326588507</v>
      </c>
      <c r="M9" s="22" t="str">
        <f>VLOOKUP(I9,'Overall scores and ranking'!$A$3:$D$71,4, FALSE)</f>
        <v>Very good</v>
      </c>
    </row>
    <row r="10" spans="1:13" x14ac:dyDescent="0.25">
      <c r="A10" s="19" t="s">
        <v>1115</v>
      </c>
      <c r="B10" s="44">
        <v>9.8234999999999992</v>
      </c>
      <c r="C10" s="44">
        <v>24.819892647902069</v>
      </c>
      <c r="D10" s="44">
        <v>48.630617111190993</v>
      </c>
      <c r="E10" s="44">
        <v>83.274009759093062</v>
      </c>
      <c r="G10" s="44">
        <f>E10-VLOOKUP(A10,'Overall scores and ranking'!$A$3:$C$71,2,FALSE)</f>
        <v>0</v>
      </c>
      <c r="I10" s="19" t="s">
        <v>1115</v>
      </c>
      <c r="J10" s="22">
        <f t="shared" si="0"/>
        <v>98.234999999999985</v>
      </c>
      <c r="K10" s="22">
        <f t="shared" si="1"/>
        <v>99.279570591608277</v>
      </c>
      <c r="L10" s="22">
        <f t="shared" si="2"/>
        <v>74.816334017216917</v>
      </c>
      <c r="M10" s="22" t="str">
        <f>VLOOKUP(I10,'Overall scores and ranking'!$A$3:$D$71,4, FALSE)</f>
        <v>Very good</v>
      </c>
    </row>
    <row r="11" spans="1:13" x14ac:dyDescent="0.25">
      <c r="A11" s="19" t="s">
        <v>2707</v>
      </c>
      <c r="B11" s="44">
        <v>7.4035890000000002</v>
      </c>
      <c r="C11" s="44">
        <v>21.801467793872249</v>
      </c>
      <c r="D11" s="44">
        <v>53.063904657751479</v>
      </c>
      <c r="E11" s="44">
        <v>82.268961451623724</v>
      </c>
      <c r="G11" s="44">
        <f>E11-VLOOKUP(A11,'Overall scores and ranking'!$A$3:$C$71,2,FALSE)</f>
        <v>0</v>
      </c>
      <c r="I11" s="19" t="s">
        <v>2707</v>
      </c>
      <c r="J11" s="22">
        <f t="shared" si="0"/>
        <v>74.035889999999995</v>
      </c>
      <c r="K11" s="22">
        <f t="shared" si="1"/>
        <v>87.205871175488994</v>
      </c>
      <c r="L11" s="22">
        <f t="shared" si="2"/>
        <v>81.636776396540739</v>
      </c>
      <c r="M11" s="22" t="str">
        <f>VLOOKUP(I11,'Overall scores and ranking'!$A$3:$D$71,4, FALSE)</f>
        <v>Very good</v>
      </c>
    </row>
    <row r="12" spans="1:13" x14ac:dyDescent="0.25">
      <c r="A12" s="19" t="s">
        <v>2747</v>
      </c>
      <c r="B12" s="44">
        <v>6.4598669999999991</v>
      </c>
      <c r="C12" s="44">
        <v>24.959999999999997</v>
      </c>
      <c r="D12" s="44">
        <v>43.096161833073687</v>
      </c>
      <c r="E12" s="44">
        <v>74.516028833073676</v>
      </c>
      <c r="G12" s="44">
        <f>E12-VLOOKUP(A12,'Overall scores and ranking'!$A$3:$C$71,2,FALSE)</f>
        <v>0</v>
      </c>
      <c r="I12" s="19" t="s">
        <v>2747</v>
      </c>
      <c r="J12" s="22">
        <f t="shared" si="0"/>
        <v>64.598669999999984</v>
      </c>
      <c r="K12" s="22">
        <f t="shared" si="1"/>
        <v>99.839999999999989</v>
      </c>
      <c r="L12" s="22">
        <f t="shared" si="2"/>
        <v>66.301787435497971</v>
      </c>
      <c r="M12" s="22" t="str">
        <f>VLOOKUP(I12,'Overall scores and ranking'!$A$3:$D$71,4, FALSE)</f>
        <v>Good</v>
      </c>
    </row>
    <row r="13" spans="1:13" x14ac:dyDescent="0.25">
      <c r="A13" s="19" t="s">
        <v>951</v>
      </c>
      <c r="B13" s="44">
        <v>5.7938669999999997</v>
      </c>
      <c r="C13" s="44">
        <v>17.596643500000003</v>
      </c>
      <c r="D13" s="44">
        <v>50.526887603455016</v>
      </c>
      <c r="E13" s="44">
        <v>73.917398103455014</v>
      </c>
      <c r="G13" s="44">
        <f>E13-VLOOKUP(A13,'Overall scores and ranking'!$A$3:$C$71,2,FALSE)</f>
        <v>0</v>
      </c>
      <c r="I13" s="19" t="s">
        <v>951</v>
      </c>
      <c r="J13" s="22">
        <f t="shared" si="0"/>
        <v>57.938669999999995</v>
      </c>
      <c r="K13" s="22">
        <f t="shared" si="1"/>
        <v>70.38657400000001</v>
      </c>
      <c r="L13" s="22">
        <f t="shared" si="2"/>
        <v>77.733673236084641</v>
      </c>
      <c r="M13" s="22" t="str">
        <f>VLOOKUP(I13,'Overall scores and ranking'!$A$3:$D$71,4, FALSE)</f>
        <v>Good</v>
      </c>
    </row>
    <row r="14" spans="1:13" x14ac:dyDescent="0.25">
      <c r="A14" s="19" t="s">
        <v>1238</v>
      </c>
      <c r="B14" s="44">
        <v>5.6939669999999998</v>
      </c>
      <c r="C14" s="44">
        <v>14.31</v>
      </c>
      <c r="D14" s="44">
        <v>53.29413835560004</v>
      </c>
      <c r="E14" s="44">
        <v>73.298105355600043</v>
      </c>
      <c r="G14" s="44">
        <f>E14-VLOOKUP(A14,'Overall scores and ranking'!$A$3:$C$71,2,FALSE)</f>
        <v>0</v>
      </c>
      <c r="I14" s="19" t="s">
        <v>1238</v>
      </c>
      <c r="J14" s="22">
        <f t="shared" si="0"/>
        <v>56.939669999999992</v>
      </c>
      <c r="K14" s="22">
        <f t="shared" si="1"/>
        <v>57.24</v>
      </c>
      <c r="L14" s="22">
        <f t="shared" si="2"/>
        <v>81.990982085538519</v>
      </c>
      <c r="M14" s="22" t="str">
        <f>VLOOKUP(I14,'Overall scores and ranking'!$A$3:$D$71,4, FALSE)</f>
        <v>Good</v>
      </c>
    </row>
    <row r="15" spans="1:13" x14ac:dyDescent="0.25">
      <c r="A15" s="19" t="s">
        <v>910</v>
      </c>
      <c r="B15" s="44">
        <v>8.6799780000000002</v>
      </c>
      <c r="C15" s="44">
        <v>24.266756756756749</v>
      </c>
      <c r="D15" s="44">
        <v>38.724614181329741</v>
      </c>
      <c r="E15" s="44">
        <v>71.671348938086481</v>
      </c>
      <c r="G15" s="44">
        <f>E15-VLOOKUP(A15,'Overall scores and ranking'!$A$3:$C$71,2,FALSE)</f>
        <v>0</v>
      </c>
      <c r="I15" s="19" t="s">
        <v>910</v>
      </c>
      <c r="J15" s="22">
        <f t="shared" si="0"/>
        <v>86.799779999999998</v>
      </c>
      <c r="K15" s="22">
        <f t="shared" si="1"/>
        <v>97.067027027026995</v>
      </c>
      <c r="L15" s="22">
        <f t="shared" si="2"/>
        <v>59.576329509738059</v>
      </c>
      <c r="M15" s="22" t="str">
        <f>VLOOKUP(I15,'Overall scores and ranking'!$A$3:$D$71,4, FALSE)</f>
        <v>Good</v>
      </c>
    </row>
    <row r="16" spans="1:13" x14ac:dyDescent="0.25">
      <c r="A16" s="19" t="s">
        <v>2217</v>
      </c>
      <c r="B16" s="44">
        <v>9.6903000000000006</v>
      </c>
      <c r="C16" s="44">
        <v>23.286666666666658</v>
      </c>
      <c r="D16" s="44">
        <v>36.099088217237636</v>
      </c>
      <c r="E16" s="44">
        <v>69.076054883904291</v>
      </c>
      <c r="G16" s="44">
        <f>E16-VLOOKUP(A16,'Overall scores and ranking'!$A$3:$C$71,2,FALSE)</f>
        <v>0</v>
      </c>
      <c r="I16" s="19" t="s">
        <v>2217</v>
      </c>
      <c r="J16" s="22">
        <f t="shared" si="0"/>
        <v>96.903000000000006</v>
      </c>
      <c r="K16" s="22">
        <f t="shared" si="1"/>
        <v>93.146666666666633</v>
      </c>
      <c r="L16" s="22">
        <f t="shared" si="2"/>
        <v>55.537058795750205</v>
      </c>
      <c r="M16" s="22" t="str">
        <f>VLOOKUP(I16,'Overall scores and ranking'!$A$3:$D$71,4, FALSE)</f>
        <v>Good</v>
      </c>
    </row>
    <row r="17" spans="1:13" x14ac:dyDescent="0.25">
      <c r="A17" s="19" t="s">
        <v>868</v>
      </c>
      <c r="B17" s="44">
        <v>9.5571000000000002</v>
      </c>
      <c r="C17" s="44">
        <v>22.838749999999997</v>
      </c>
      <c r="D17" s="44">
        <v>35.835001769636676</v>
      </c>
      <c r="E17" s="44">
        <v>68.230851769636672</v>
      </c>
      <c r="G17" s="44">
        <f>E17-VLOOKUP(A17,'Overall scores and ranking'!$A$3:$C$71,2,FALSE)</f>
        <v>0</v>
      </c>
      <c r="I17" s="19" t="s">
        <v>868</v>
      </c>
      <c r="J17" s="22">
        <f t="shared" si="0"/>
        <v>95.570999999999998</v>
      </c>
      <c r="K17" s="22">
        <f t="shared" si="1"/>
        <v>91.35499999999999</v>
      </c>
      <c r="L17" s="22">
        <f t="shared" si="2"/>
        <v>55.130771953287194</v>
      </c>
      <c r="M17" s="22" t="str">
        <f>VLOOKUP(I17,'Overall scores and ranking'!$A$3:$D$71,4, FALSE)</f>
        <v>Good</v>
      </c>
    </row>
    <row r="18" spans="1:13" x14ac:dyDescent="0.25">
      <c r="A18" s="19" t="s">
        <v>2095</v>
      </c>
      <c r="B18" s="44">
        <v>6.4598669999999991</v>
      </c>
      <c r="C18" s="44">
        <v>16.75468152866242</v>
      </c>
      <c r="D18" s="44">
        <v>41.434394416508326</v>
      </c>
      <c r="E18" s="44">
        <v>64.648942945170745</v>
      </c>
      <c r="G18" s="44">
        <f>E18-VLOOKUP(A18,'Overall scores and ranking'!$A$3:$C$71,2,FALSE)</f>
        <v>0</v>
      </c>
      <c r="I18" s="19" t="s">
        <v>2095</v>
      </c>
      <c r="J18" s="22">
        <f t="shared" si="0"/>
        <v>64.598669999999984</v>
      </c>
      <c r="K18" s="22">
        <f t="shared" si="1"/>
        <v>67.018726114649681</v>
      </c>
      <c r="L18" s="22">
        <f t="shared" si="2"/>
        <v>63.745222179243576</v>
      </c>
      <c r="M18" s="22" t="str">
        <f>VLOOKUP(I18,'Overall scores and ranking'!$A$3:$D$71,4, FALSE)</f>
        <v>Good</v>
      </c>
    </row>
    <row r="19" spans="1:13" x14ac:dyDescent="0.25">
      <c r="A19" s="19" t="s">
        <v>1482</v>
      </c>
      <c r="B19" s="44">
        <v>9.2241</v>
      </c>
      <c r="C19" s="44">
        <v>19.59</v>
      </c>
      <c r="D19" s="44">
        <v>32.953821206882914</v>
      </c>
      <c r="E19" s="44">
        <v>61.767921206882917</v>
      </c>
      <c r="G19" s="44">
        <f>E19-VLOOKUP(A19,'Overall scores and ranking'!$A$3:$C$71,2,FALSE)</f>
        <v>0</v>
      </c>
      <c r="I19" s="19" t="s">
        <v>1482</v>
      </c>
      <c r="J19" s="22">
        <f t="shared" si="0"/>
        <v>92.241</v>
      </c>
      <c r="K19" s="22">
        <f t="shared" si="1"/>
        <v>78.36</v>
      </c>
      <c r="L19" s="22">
        <f t="shared" si="2"/>
        <v>50.69818647212756</v>
      </c>
      <c r="M19" s="22" t="str">
        <f>VLOOKUP(I19,'Overall scores and ranking'!$A$3:$D$71,4, FALSE)</f>
        <v>Good</v>
      </c>
    </row>
    <row r="20" spans="1:13" x14ac:dyDescent="0.25">
      <c r="A20" s="19" t="s">
        <v>1685</v>
      </c>
      <c r="B20" s="44">
        <v>8.6247000000000007</v>
      </c>
      <c r="C20" s="44">
        <v>22.369999999999997</v>
      </c>
      <c r="D20" s="44">
        <v>28.91909684968677</v>
      </c>
      <c r="E20" s="44">
        <v>59.913796849686769</v>
      </c>
      <c r="G20" s="44">
        <f>E20-VLOOKUP(A20,'Overall scores and ranking'!$A$3:$C$71,2,FALSE)</f>
        <v>0</v>
      </c>
      <c r="I20" s="19" t="s">
        <v>1685</v>
      </c>
      <c r="J20" s="22">
        <f t="shared" si="0"/>
        <v>86.247</v>
      </c>
      <c r="K20" s="22">
        <f t="shared" si="1"/>
        <v>89.47999999999999</v>
      </c>
      <c r="L20" s="22">
        <f t="shared" si="2"/>
        <v>44.490918230287335</v>
      </c>
      <c r="M20" s="22" t="str">
        <f>VLOOKUP(I20,'Overall scores and ranking'!$A$3:$D$71,4, FALSE)</f>
        <v>Fair</v>
      </c>
    </row>
    <row r="21" spans="1:13" x14ac:dyDescent="0.25">
      <c r="A21" s="19" t="s">
        <v>2421</v>
      </c>
      <c r="B21" s="44">
        <v>4.262067</v>
      </c>
      <c r="C21" s="44">
        <v>17.000333725806449</v>
      </c>
      <c r="D21" s="44">
        <v>32.659988724226736</v>
      </c>
      <c r="E21" s="44">
        <v>53.922389450033187</v>
      </c>
      <c r="G21" s="44">
        <f>E21-VLOOKUP(A21,'Overall scores and ranking'!$A$3:$C$71,2,FALSE)</f>
        <v>0</v>
      </c>
      <c r="I21" s="19" t="s">
        <v>2421</v>
      </c>
      <c r="J21" s="22">
        <f t="shared" si="0"/>
        <v>42.620669999999997</v>
      </c>
      <c r="K21" s="22">
        <f t="shared" si="1"/>
        <v>68.001334903225796</v>
      </c>
      <c r="L21" s="22">
        <f t="shared" si="2"/>
        <v>50.246136498810358</v>
      </c>
      <c r="M21" s="22" t="str">
        <f>VLOOKUP(I21,'Overall scores and ranking'!$A$3:$D$71,4, FALSE)</f>
        <v>Fair</v>
      </c>
    </row>
    <row r="22" spans="1:13" x14ac:dyDescent="0.25">
      <c r="A22" s="19" t="s">
        <v>1197</v>
      </c>
      <c r="B22" s="44">
        <v>4.9946669999999997</v>
      </c>
      <c r="C22" s="44">
        <v>14.309861</v>
      </c>
      <c r="D22" s="44">
        <v>34.475761086474414</v>
      </c>
      <c r="E22" s="44">
        <v>53.780289086474411</v>
      </c>
      <c r="G22" s="44">
        <f>E22-VLOOKUP(A22,'Overall scores and ranking'!$A$3:$C$71,2,FALSE)</f>
        <v>0</v>
      </c>
      <c r="I22" s="19" t="s">
        <v>1197</v>
      </c>
      <c r="J22" s="22">
        <f t="shared" si="0"/>
        <v>49.946669999999997</v>
      </c>
      <c r="K22" s="22">
        <f t="shared" si="1"/>
        <v>57.239443999999999</v>
      </c>
      <c r="L22" s="22">
        <f t="shared" si="2"/>
        <v>53.039632440729868</v>
      </c>
      <c r="M22" s="22" t="str">
        <f>VLOOKUP(I22,'Overall scores and ranking'!$A$3:$D$71,4, FALSE)</f>
        <v>Fair</v>
      </c>
    </row>
    <row r="23" spans="1:13" x14ac:dyDescent="0.25">
      <c r="A23" s="19" t="s">
        <v>1767</v>
      </c>
      <c r="B23" s="44">
        <v>6.9703559999999998</v>
      </c>
      <c r="C23" s="44">
        <v>11.753433513354029</v>
      </c>
      <c r="D23" s="44">
        <v>35.040482188272961</v>
      </c>
      <c r="E23" s="44">
        <v>53.764271701626988</v>
      </c>
      <c r="G23" s="44">
        <f>E23-VLOOKUP(A23,'Overall scores and ranking'!$A$3:$C$71,2,FALSE)</f>
        <v>0</v>
      </c>
      <c r="I23" s="19" t="s">
        <v>1767</v>
      </c>
      <c r="J23" s="22">
        <f t="shared" si="0"/>
        <v>69.703559999999996</v>
      </c>
      <c r="K23" s="22">
        <f t="shared" si="1"/>
        <v>47.013734053416115</v>
      </c>
      <c r="L23" s="22">
        <f t="shared" si="2"/>
        <v>53.908434135804555</v>
      </c>
      <c r="M23" s="22" t="str">
        <f>VLOOKUP(I23,'Overall scores and ranking'!$A$3:$D$71,4, FALSE)</f>
        <v>Fair</v>
      </c>
    </row>
    <row r="24" spans="1:13" x14ac:dyDescent="0.25">
      <c r="A24" s="19" t="s">
        <v>2462</v>
      </c>
      <c r="B24" s="44">
        <v>3.1521779999999997</v>
      </c>
      <c r="C24" s="44">
        <v>17.000333725806449</v>
      </c>
      <c r="D24" s="44">
        <v>30.671677803611679</v>
      </c>
      <c r="E24" s="44">
        <v>50.824189529418128</v>
      </c>
      <c r="G24" s="44">
        <f>E24-VLOOKUP(A24,'Overall scores and ranking'!$A$3:$C$71,2,FALSE)</f>
        <v>0</v>
      </c>
      <c r="I24" s="19" t="s">
        <v>2462</v>
      </c>
      <c r="J24" s="22">
        <f t="shared" si="0"/>
        <v>31.521779999999996</v>
      </c>
      <c r="K24" s="22">
        <f t="shared" si="1"/>
        <v>68.001334903225796</v>
      </c>
      <c r="L24" s="22">
        <f t="shared" si="2"/>
        <v>47.187196620941045</v>
      </c>
      <c r="M24" s="22" t="str">
        <f>VLOOKUP(I24,'Overall scores and ranking'!$A$3:$D$71,4, FALSE)</f>
        <v>Fair</v>
      </c>
    </row>
    <row r="25" spans="1:13" x14ac:dyDescent="0.25">
      <c r="A25" s="19" t="s">
        <v>1890</v>
      </c>
      <c r="B25" s="44">
        <v>4.217778</v>
      </c>
      <c r="C25" s="44">
        <v>17.116122448979588</v>
      </c>
      <c r="D25" s="44">
        <v>29.264312073714951</v>
      </c>
      <c r="E25" s="44">
        <v>50.598212522694539</v>
      </c>
      <c r="G25" s="44">
        <f>E25-VLOOKUP(A25,'Overall scores and ranking'!$A$3:$C$71,2,FALSE)</f>
        <v>0</v>
      </c>
      <c r="I25" s="19" t="s">
        <v>1890</v>
      </c>
      <c r="J25" s="22">
        <f t="shared" si="0"/>
        <v>42.177779999999998</v>
      </c>
      <c r="K25" s="22">
        <f t="shared" si="1"/>
        <v>68.464489795918354</v>
      </c>
      <c r="L25" s="22">
        <f t="shared" si="2"/>
        <v>45.022018574946074</v>
      </c>
      <c r="M25" s="22" t="str">
        <f>VLOOKUP(I25,'Overall scores and ranking'!$A$3:$D$71,4, FALSE)</f>
        <v>Fair</v>
      </c>
    </row>
    <row r="26" spans="1:13" x14ac:dyDescent="0.25">
      <c r="A26" s="19" t="s">
        <v>2787</v>
      </c>
      <c r="B26" s="44">
        <v>6.7039559999999998</v>
      </c>
      <c r="C26" s="44">
        <v>9.8649304999999998</v>
      </c>
      <c r="D26" s="44">
        <v>33.07011763767801</v>
      </c>
      <c r="E26" s="44">
        <v>49.639004137678008</v>
      </c>
      <c r="G26" s="44">
        <f>E26-VLOOKUP(A26,'Overall scores and ranking'!$A$3:$C$71,2,FALSE)</f>
        <v>0</v>
      </c>
      <c r="I26" s="19" t="s">
        <v>2787</v>
      </c>
      <c r="J26" s="22">
        <f t="shared" si="0"/>
        <v>67.039559999999994</v>
      </c>
      <c r="K26" s="22">
        <f t="shared" si="1"/>
        <v>39.459721999999999</v>
      </c>
      <c r="L26" s="22">
        <f t="shared" si="2"/>
        <v>50.877104057966164</v>
      </c>
      <c r="M26" s="22" t="str">
        <f>VLOOKUP(I26,'Overall scores and ranking'!$A$3:$D$71,4, FALSE)</f>
        <v>Fair</v>
      </c>
    </row>
    <row r="27" spans="1:13" x14ac:dyDescent="0.25">
      <c r="A27" s="19" t="s">
        <v>1073</v>
      </c>
      <c r="B27" s="44">
        <v>3.4352279999999995</v>
      </c>
      <c r="C27" s="44">
        <v>15.42</v>
      </c>
      <c r="D27" s="44">
        <v>27.696459042519692</v>
      </c>
      <c r="E27" s="44">
        <v>46.551687042519688</v>
      </c>
      <c r="G27" s="44">
        <f>E27-VLOOKUP(A27,'Overall scores and ranking'!$A$3:$C$71,2,FALSE)</f>
        <v>0</v>
      </c>
      <c r="I27" s="19" t="s">
        <v>1073</v>
      </c>
      <c r="J27" s="22">
        <f t="shared" si="0"/>
        <v>34.352279999999993</v>
      </c>
      <c r="K27" s="22">
        <f t="shared" si="1"/>
        <v>61.68</v>
      </c>
      <c r="L27" s="22">
        <f t="shared" si="2"/>
        <v>42.609936988491832</v>
      </c>
      <c r="M27" s="22" t="str">
        <f>VLOOKUP(I27,'Overall scores and ranking'!$A$3:$D$71,4, FALSE)</f>
        <v>Fair</v>
      </c>
    </row>
    <row r="28" spans="1:13" x14ac:dyDescent="0.25">
      <c r="A28" s="19" t="s">
        <v>991</v>
      </c>
      <c r="B28" s="44">
        <v>4.0959000000000003</v>
      </c>
      <c r="C28" s="44">
        <v>13.2</v>
      </c>
      <c r="D28" s="44">
        <v>28.976940186650125</v>
      </c>
      <c r="E28" s="44">
        <v>46.272840186650129</v>
      </c>
      <c r="G28" s="44">
        <f>E28-VLOOKUP(A28,'Overall scores and ranking'!$A$3:$C$71,2,FALSE)</f>
        <v>0</v>
      </c>
      <c r="I28" s="19" t="s">
        <v>991</v>
      </c>
      <c r="J28" s="22">
        <f t="shared" si="0"/>
        <v>40.959000000000003</v>
      </c>
      <c r="K28" s="22">
        <f t="shared" si="1"/>
        <v>52.8</v>
      </c>
      <c r="L28" s="22">
        <f t="shared" si="2"/>
        <v>44.57990797946173</v>
      </c>
      <c r="M28" s="22" t="str">
        <f>VLOOKUP(I28,'Overall scores and ranking'!$A$3:$D$71,4, FALSE)</f>
        <v>Fair</v>
      </c>
    </row>
    <row r="29" spans="1:13" x14ac:dyDescent="0.25">
      <c r="A29" s="19" t="s">
        <v>2299</v>
      </c>
      <c r="B29" s="44">
        <v>3.4851779999999999</v>
      </c>
      <c r="C29" s="44">
        <v>16.578286999999996</v>
      </c>
      <c r="D29" s="44">
        <v>25.848724861504472</v>
      </c>
      <c r="E29" s="44">
        <v>45.912189861504473</v>
      </c>
      <c r="G29" s="44">
        <f>E29-VLOOKUP(A29,'Overall scores and ranking'!$A$3:$C$71,2,FALSE)</f>
        <v>0</v>
      </c>
      <c r="I29" s="19" t="s">
        <v>2299</v>
      </c>
      <c r="J29" s="22">
        <f t="shared" si="0"/>
        <v>34.851779999999998</v>
      </c>
      <c r="K29" s="22">
        <f t="shared" si="1"/>
        <v>66.313147999999984</v>
      </c>
      <c r="L29" s="22">
        <f t="shared" si="2"/>
        <v>39.767269017699185</v>
      </c>
      <c r="M29" s="22" t="str">
        <f>VLOOKUP(I29,'Overall scores and ranking'!$A$3:$D$71,4, FALSE)</f>
        <v>Fair</v>
      </c>
    </row>
    <row r="30" spans="1:13" x14ac:dyDescent="0.25">
      <c r="A30" s="19" t="s">
        <v>1523</v>
      </c>
      <c r="B30" s="44">
        <v>5.1281999999999996</v>
      </c>
      <c r="C30" s="44">
        <v>9.2615739999999995</v>
      </c>
      <c r="D30" s="44">
        <v>30.731773179640648</v>
      </c>
      <c r="E30" s="44">
        <v>45.121547179640643</v>
      </c>
      <c r="G30" s="44">
        <f>E30-VLOOKUP(A30,'Overall scores and ranking'!$A$3:$C$71,2,FALSE)</f>
        <v>0</v>
      </c>
      <c r="I30" s="19" t="s">
        <v>1523</v>
      </c>
      <c r="J30" s="22">
        <f t="shared" si="0"/>
        <v>51.281999999999996</v>
      </c>
      <c r="K30" s="22">
        <f t="shared" si="1"/>
        <v>37.046295999999998</v>
      </c>
      <c r="L30" s="22">
        <f t="shared" si="2"/>
        <v>47.279651045600993</v>
      </c>
      <c r="M30" s="22" t="str">
        <f>VLOOKUP(I30,'Overall scores and ranking'!$A$3:$D$71,4, FALSE)</f>
        <v>Fair</v>
      </c>
    </row>
    <row r="31" spans="1:13" x14ac:dyDescent="0.25">
      <c r="A31" s="19" t="s">
        <v>1441</v>
      </c>
      <c r="B31" s="44">
        <v>5.2946999999999997</v>
      </c>
      <c r="C31" s="44">
        <v>15.145</v>
      </c>
      <c r="D31" s="44">
        <v>22.028369724950242</v>
      </c>
      <c r="E31" s="44">
        <v>42.46806972495024</v>
      </c>
      <c r="G31" s="44">
        <f>E31-VLOOKUP(A31,'Overall scores and ranking'!$A$3:$C$71,2,FALSE)</f>
        <v>0</v>
      </c>
      <c r="I31" s="19" t="s">
        <v>1441</v>
      </c>
      <c r="J31" s="22">
        <f t="shared" si="0"/>
        <v>52.946999999999996</v>
      </c>
      <c r="K31" s="22">
        <f t="shared" si="1"/>
        <v>60.58</v>
      </c>
      <c r="L31" s="22">
        <f t="shared" si="2"/>
        <v>33.889799576846528</v>
      </c>
      <c r="M31" s="22" t="str">
        <f>VLOOKUP(I31,'Overall scores and ranking'!$A$3:$D$71,4, FALSE)</f>
        <v>Fair</v>
      </c>
    </row>
    <row r="32" spans="1:13" x14ac:dyDescent="0.25">
      <c r="A32" s="19" t="s">
        <v>3188</v>
      </c>
      <c r="B32" s="44">
        <v>2.6360279999999996</v>
      </c>
      <c r="C32" s="44">
        <v>8.1949304999999999</v>
      </c>
      <c r="D32" s="44">
        <v>31.571778818470083</v>
      </c>
      <c r="E32" s="44">
        <v>42.402737318470081</v>
      </c>
      <c r="G32" s="44">
        <f>E32-VLOOKUP(A32,'Overall scores and ranking'!$A$3:$C$71,2,FALSE)</f>
        <v>0</v>
      </c>
      <c r="I32" s="19" t="s">
        <v>3188</v>
      </c>
      <c r="J32" s="22">
        <f t="shared" si="0"/>
        <v>26.360279999999996</v>
      </c>
      <c r="K32" s="22">
        <f t="shared" si="1"/>
        <v>32.779722</v>
      </c>
      <c r="L32" s="22">
        <f t="shared" si="2"/>
        <v>48.571967413030897</v>
      </c>
      <c r="M32" s="22" t="str">
        <f>VLOOKUP(I32,'Overall scores and ranking'!$A$3:$D$71,4, FALSE)</f>
        <v>Fair</v>
      </c>
    </row>
    <row r="33" spans="1:13" x14ac:dyDescent="0.25">
      <c r="A33" s="19" t="s">
        <v>1032</v>
      </c>
      <c r="B33" s="44">
        <v>3.2853779999999997</v>
      </c>
      <c r="C33" s="44">
        <v>10.188148</v>
      </c>
      <c r="D33" s="44">
        <v>27.823485839690136</v>
      </c>
      <c r="E33" s="44">
        <v>41.297011839690136</v>
      </c>
      <c r="G33" s="44">
        <f>E33-VLOOKUP(A33,'Overall scores and ranking'!$A$3:$C$71,2,FALSE)</f>
        <v>0</v>
      </c>
      <c r="I33" s="19" t="s">
        <v>1032</v>
      </c>
      <c r="J33" s="22">
        <f t="shared" si="0"/>
        <v>32.853779999999993</v>
      </c>
      <c r="K33" s="22">
        <f t="shared" si="1"/>
        <v>40.752592</v>
      </c>
      <c r="L33" s="22">
        <f t="shared" si="2"/>
        <v>42.805362830292516</v>
      </c>
      <c r="M33" s="22" t="str">
        <f>VLOOKUP(I33,'Overall scores and ranking'!$A$3:$D$71,4, FALSE)</f>
        <v>Fair</v>
      </c>
    </row>
    <row r="34" spans="1:13" x14ac:dyDescent="0.25">
      <c r="A34" s="19" t="s">
        <v>2054</v>
      </c>
      <c r="B34" s="44">
        <v>3.252078</v>
      </c>
      <c r="C34" s="44">
        <v>8.0115739999999995</v>
      </c>
      <c r="D34" s="44">
        <v>29.402867451891098</v>
      </c>
      <c r="E34" s="44">
        <v>40.666519451891098</v>
      </c>
      <c r="G34" s="44">
        <f>E34-VLOOKUP(A34,'Overall scores and ranking'!$A$3:$C$71,2,FALSE)</f>
        <v>0</v>
      </c>
      <c r="I34" s="19" t="s">
        <v>2054</v>
      </c>
      <c r="J34" s="22">
        <f t="shared" si="0"/>
        <v>32.520779999999995</v>
      </c>
      <c r="K34" s="22">
        <f t="shared" si="1"/>
        <v>32.046295999999998</v>
      </c>
      <c r="L34" s="22">
        <f t="shared" si="2"/>
        <v>45.235180695217075</v>
      </c>
      <c r="M34" s="22" t="str">
        <f>VLOOKUP(I34,'Overall scores and ranking'!$A$3:$D$71,4, FALSE)</f>
        <v>Fair</v>
      </c>
    </row>
    <row r="35" spans="1:13" x14ac:dyDescent="0.25">
      <c r="A35" s="19" t="s">
        <v>1278</v>
      </c>
      <c r="B35" s="44">
        <v>5.4718559999999998</v>
      </c>
      <c r="C35" s="44">
        <v>7.3166434999999996</v>
      </c>
      <c r="D35" s="44">
        <v>27.523834117246192</v>
      </c>
      <c r="E35" s="44">
        <v>40.312333617246196</v>
      </c>
      <c r="G35" s="44">
        <f>E35-VLOOKUP(A35,'Overall scores and ranking'!$A$3:$C$71,2,FALSE)</f>
        <v>0</v>
      </c>
      <c r="I35" s="19" t="s">
        <v>1278</v>
      </c>
      <c r="J35" s="22">
        <f t="shared" si="0"/>
        <v>54.718559999999997</v>
      </c>
      <c r="K35" s="22">
        <f t="shared" si="1"/>
        <v>29.266573999999999</v>
      </c>
      <c r="L35" s="22">
        <f t="shared" si="2"/>
        <v>42.344360180378757</v>
      </c>
      <c r="M35" s="22" t="str">
        <f>VLOOKUP(I35,'Overall scores and ranking'!$A$3:$D$71,4, FALSE)</f>
        <v>Fair</v>
      </c>
    </row>
    <row r="36" spans="1:13" x14ac:dyDescent="0.25">
      <c r="A36" s="19" t="s">
        <v>1400</v>
      </c>
      <c r="B36" s="44">
        <v>5.4718559999999998</v>
      </c>
      <c r="C36" s="44">
        <v>8.5666434999999996</v>
      </c>
      <c r="D36" s="44">
        <v>24.76395263157892</v>
      </c>
      <c r="E36" s="44">
        <v>38.802452131578917</v>
      </c>
      <c r="G36" s="44">
        <f>E36-VLOOKUP(A36,'Overall scores and ranking'!$A$3:$C$71,2,FALSE)</f>
        <v>0</v>
      </c>
      <c r="H36" s="166"/>
      <c r="I36" s="19" t="s">
        <v>1400</v>
      </c>
      <c r="J36" s="22">
        <f t="shared" si="0"/>
        <v>54.718559999999997</v>
      </c>
      <c r="K36" s="22">
        <f t="shared" si="1"/>
        <v>34.266573999999999</v>
      </c>
      <c r="L36" s="22">
        <f t="shared" si="2"/>
        <v>38.098388663967569</v>
      </c>
      <c r="M36" s="22" t="str">
        <f>VLOOKUP(I36,'Overall scores and ranking'!$A$3:$D$71,4, FALSE)</f>
        <v>Poor</v>
      </c>
    </row>
    <row r="37" spans="1:13" x14ac:dyDescent="0.25">
      <c r="A37" s="19" t="s">
        <v>539</v>
      </c>
      <c r="B37" s="44">
        <v>3.3296669999999997</v>
      </c>
      <c r="C37" s="44">
        <v>18.2</v>
      </c>
      <c r="D37" s="44">
        <v>15.684462285714261</v>
      </c>
      <c r="E37" s="44">
        <v>37.214129285714264</v>
      </c>
      <c r="G37" s="44">
        <f>E37-VLOOKUP(A37,'Overall scores and ranking'!$A$3:$C$71,2,FALSE)</f>
        <v>0</v>
      </c>
      <c r="I37" s="19" t="s">
        <v>539</v>
      </c>
      <c r="J37" s="22">
        <f t="shared" si="0"/>
        <v>33.296669999999992</v>
      </c>
      <c r="K37" s="22">
        <f t="shared" si="1"/>
        <v>72.8</v>
      </c>
      <c r="L37" s="22">
        <f t="shared" si="2"/>
        <v>24.12994197802194</v>
      </c>
      <c r="M37" s="22" t="str">
        <f>VLOOKUP(I37,'Overall scores and ranking'!$A$3:$D$71,4, FALSE)</f>
        <v>Poor</v>
      </c>
    </row>
    <row r="38" spans="1:13" x14ac:dyDescent="0.25">
      <c r="A38" s="19" t="s">
        <v>622</v>
      </c>
      <c r="B38" s="44">
        <v>3.5351279999999998</v>
      </c>
      <c r="C38" s="44">
        <v>11.115</v>
      </c>
      <c r="D38" s="44">
        <v>22.244622999999986</v>
      </c>
      <c r="E38" s="44">
        <v>36.894750999999985</v>
      </c>
      <c r="G38" s="44">
        <f>E38-VLOOKUP(A38,'Overall scores and ranking'!$A$3:$C$71,2,FALSE)</f>
        <v>0</v>
      </c>
      <c r="I38" s="19" t="s">
        <v>622</v>
      </c>
      <c r="J38" s="22">
        <f t="shared" si="0"/>
        <v>35.351279999999996</v>
      </c>
      <c r="K38" s="22">
        <f t="shared" si="1"/>
        <v>44.46</v>
      </c>
      <c r="L38" s="22">
        <f t="shared" si="2"/>
        <v>34.222496923076903</v>
      </c>
      <c r="M38" s="22" t="str">
        <f>VLOOKUP(I38,'Overall scores and ranking'!$A$3:$D$71,4, FALSE)</f>
        <v>Poor</v>
      </c>
    </row>
    <row r="39" spans="1:13" x14ac:dyDescent="0.25">
      <c r="A39" s="19" t="s">
        <v>1359</v>
      </c>
      <c r="B39" s="44">
        <v>5.4279000000000002</v>
      </c>
      <c r="C39" s="44">
        <v>7.3166434999999996</v>
      </c>
      <c r="D39" s="44">
        <v>23.0525608512628</v>
      </c>
      <c r="E39" s="44">
        <v>35.797104351262803</v>
      </c>
      <c r="G39" s="44">
        <f>E39-VLOOKUP(A39,'Overall scores and ranking'!$A$3:$C$71,2,FALSE)</f>
        <v>0</v>
      </c>
      <c r="I39" s="19" t="s">
        <v>1359</v>
      </c>
      <c r="J39" s="22">
        <f t="shared" si="0"/>
        <v>54.278999999999996</v>
      </c>
      <c r="K39" s="22">
        <f t="shared" si="1"/>
        <v>29.266573999999999</v>
      </c>
      <c r="L39" s="22">
        <f t="shared" si="2"/>
        <v>35.465478232712002</v>
      </c>
      <c r="M39" s="22" t="str">
        <f>VLOOKUP(I39,'Overall scores and ranking'!$A$3:$D$71,4, FALSE)</f>
        <v>Poor</v>
      </c>
    </row>
    <row r="40" spans="1:13" x14ac:dyDescent="0.25">
      <c r="A40" s="19" t="s">
        <v>2584</v>
      </c>
      <c r="B40" s="44">
        <v>5.4718559999999998</v>
      </c>
      <c r="C40" s="44">
        <v>10.096643499999999</v>
      </c>
      <c r="D40" s="44">
        <v>19.259999999999998</v>
      </c>
      <c r="E40" s="44">
        <v>34.828499499999992</v>
      </c>
      <c r="G40" s="44">
        <f>E40-VLOOKUP(A40,'Overall scores and ranking'!$A$3:$C$71,2,FALSE)</f>
        <v>0</v>
      </c>
      <c r="I40" s="19" t="s">
        <v>2584</v>
      </c>
      <c r="J40" s="22">
        <f t="shared" si="0"/>
        <v>54.718559999999997</v>
      </c>
      <c r="K40" s="22">
        <f t="shared" si="1"/>
        <v>40.386573999999996</v>
      </c>
      <c r="L40" s="22">
        <f t="shared" si="2"/>
        <v>29.630769230769225</v>
      </c>
      <c r="M40" s="22" t="str">
        <f>VLOOKUP(I40,'Overall scores and ranking'!$A$3:$D$71,4, FALSE)</f>
        <v>Poor</v>
      </c>
    </row>
    <row r="41" spans="1:13" x14ac:dyDescent="0.25">
      <c r="A41" s="19" t="s">
        <v>499</v>
      </c>
      <c r="B41" s="44">
        <v>3.3296669999999997</v>
      </c>
      <c r="C41" s="44">
        <v>9.029930499999999</v>
      </c>
      <c r="D41" s="44">
        <v>19.236284499999996</v>
      </c>
      <c r="E41" s="44">
        <v>31.595881999999996</v>
      </c>
      <c r="G41" s="44">
        <f>E41-VLOOKUP(A41,'Overall scores and ranking'!$A$3:$C$71,2,FALSE)</f>
        <v>0</v>
      </c>
      <c r="I41" s="19" t="s">
        <v>499</v>
      </c>
      <c r="J41" s="22">
        <f t="shared" si="0"/>
        <v>33.296669999999992</v>
      </c>
      <c r="K41" s="22">
        <f t="shared" si="1"/>
        <v>36.119721999999996</v>
      </c>
      <c r="L41" s="22">
        <f t="shared" si="2"/>
        <v>29.594283846153839</v>
      </c>
      <c r="M41" s="22" t="str">
        <f>VLOOKUP(I41,'Overall scores and ranking'!$A$3:$D$71,4, FALSE)</f>
        <v>Poor</v>
      </c>
    </row>
    <row r="42" spans="1:13" x14ac:dyDescent="0.25">
      <c r="A42" s="19" t="s">
        <v>2666</v>
      </c>
      <c r="B42" s="44">
        <v>3.252078</v>
      </c>
      <c r="C42" s="44">
        <v>7.7799304999999999</v>
      </c>
      <c r="D42" s="44">
        <v>19.72430161943317</v>
      </c>
      <c r="E42" s="44">
        <v>30.75631011943317</v>
      </c>
      <c r="G42" s="44">
        <f>E42-VLOOKUP(A42,'Overall scores and ranking'!$A$3:$C$71,2,FALSE)</f>
        <v>0</v>
      </c>
      <c r="I42" s="19" t="s">
        <v>2666</v>
      </c>
      <c r="J42" s="22">
        <f t="shared" si="0"/>
        <v>32.520779999999995</v>
      </c>
      <c r="K42" s="22">
        <f t="shared" si="1"/>
        <v>31.119721999999999</v>
      </c>
      <c r="L42" s="22">
        <f t="shared" si="2"/>
        <v>30.345079414512568</v>
      </c>
      <c r="M42" s="22" t="str">
        <f>VLOOKUP(I42,'Overall scores and ranking'!$A$3:$D$71,4, FALSE)</f>
        <v>Poor</v>
      </c>
    </row>
    <row r="43" spans="1:13" x14ac:dyDescent="0.25">
      <c r="A43" s="19" t="s">
        <v>2503</v>
      </c>
      <c r="B43" s="44">
        <v>5.5497779999999999</v>
      </c>
      <c r="C43" s="44">
        <v>9.2615739999999995</v>
      </c>
      <c r="D43" s="44">
        <v>15.806557999999999</v>
      </c>
      <c r="E43" s="44">
        <v>30.617909999999998</v>
      </c>
      <c r="G43" s="44">
        <f>E43-VLOOKUP(A43,'Overall scores and ranking'!$A$3:$C$71,2,FALSE)</f>
        <v>0</v>
      </c>
      <c r="I43" s="19" t="s">
        <v>2503</v>
      </c>
      <c r="J43" s="22">
        <f t="shared" si="0"/>
        <v>55.497779999999999</v>
      </c>
      <c r="K43" s="22">
        <f t="shared" si="1"/>
        <v>37.046295999999998</v>
      </c>
      <c r="L43" s="22">
        <f t="shared" si="2"/>
        <v>24.317781538461535</v>
      </c>
      <c r="M43" s="22" t="str">
        <f>VLOOKUP(I43,'Overall scores and ranking'!$A$3:$D$71,4, FALSE)</f>
        <v>Poor</v>
      </c>
    </row>
    <row r="44" spans="1:13" x14ac:dyDescent="0.25">
      <c r="A44" s="19" t="s">
        <v>214</v>
      </c>
      <c r="B44" s="44">
        <v>3.5351279999999998</v>
      </c>
      <c r="C44" s="44">
        <v>12.504999999999999</v>
      </c>
      <c r="D44" s="44">
        <v>13.449681999999996</v>
      </c>
      <c r="E44" s="44">
        <v>29.489809999999995</v>
      </c>
      <c r="G44" s="44">
        <f>E44-VLOOKUP(A44,'Overall scores and ranking'!$A$3:$C$71,2,FALSE)</f>
        <v>0</v>
      </c>
      <c r="I44" s="19" t="s">
        <v>214</v>
      </c>
      <c r="J44" s="22">
        <f t="shared" si="0"/>
        <v>35.351279999999996</v>
      </c>
      <c r="K44" s="22">
        <f t="shared" si="1"/>
        <v>50.019999999999996</v>
      </c>
      <c r="L44" s="22">
        <f t="shared" si="2"/>
        <v>20.691818461538453</v>
      </c>
      <c r="M44" s="22" t="str">
        <f>VLOOKUP(I44,'Overall scores and ranking'!$A$3:$D$71,4, FALSE)</f>
        <v>Poor</v>
      </c>
    </row>
    <row r="45" spans="1:13" x14ac:dyDescent="0.25">
      <c r="A45" s="19" t="s">
        <v>335</v>
      </c>
      <c r="B45" s="44">
        <v>5.5497779999999999</v>
      </c>
      <c r="C45" s="44">
        <v>6.7132870000000002</v>
      </c>
      <c r="D45" s="44">
        <v>15.968154999999996</v>
      </c>
      <c r="E45" s="44">
        <v>28.231219999999997</v>
      </c>
      <c r="G45" s="44">
        <f>E45-VLOOKUP(A45,'Overall scores and ranking'!$A$3:$C$71,2,FALSE)</f>
        <v>0</v>
      </c>
      <c r="I45" s="19" t="s">
        <v>335</v>
      </c>
      <c r="J45" s="22">
        <f t="shared" si="0"/>
        <v>55.497779999999999</v>
      </c>
      <c r="K45" s="22">
        <f t="shared" si="1"/>
        <v>26.853148000000001</v>
      </c>
      <c r="L45" s="22">
        <f t="shared" si="2"/>
        <v>24.566392307692301</v>
      </c>
      <c r="M45" s="22" t="str">
        <f>VLOOKUP(I45,'Overall scores and ranking'!$A$3:$D$71,4, FALSE)</f>
        <v>Poor</v>
      </c>
    </row>
    <row r="46" spans="1:13" x14ac:dyDescent="0.25">
      <c r="A46" s="19" t="s">
        <v>1726</v>
      </c>
      <c r="B46" s="44">
        <v>6.681978</v>
      </c>
      <c r="C46" s="44">
        <v>8.7982870000000002</v>
      </c>
      <c r="D46" s="44">
        <v>12.168278999999998</v>
      </c>
      <c r="E46" s="44">
        <v>27.648543999999998</v>
      </c>
      <c r="G46" s="44">
        <f>E46-VLOOKUP(A46,'Overall scores and ranking'!$A$3:$C$71,2,FALSE)</f>
        <v>0</v>
      </c>
      <c r="I46" s="19" t="s">
        <v>1726</v>
      </c>
      <c r="J46" s="22">
        <f t="shared" si="0"/>
        <v>66.819779999999994</v>
      </c>
      <c r="K46" s="22">
        <f t="shared" si="1"/>
        <v>35.193148000000001</v>
      </c>
      <c r="L46" s="22">
        <f t="shared" si="2"/>
        <v>18.720429230769227</v>
      </c>
      <c r="M46" s="22" t="str">
        <f>VLOOKUP(I46,'Overall scores and ranking'!$A$3:$D$71,4, FALSE)</f>
        <v>Poor</v>
      </c>
    </row>
    <row r="47" spans="1:13" x14ac:dyDescent="0.25">
      <c r="A47" s="19" t="s">
        <v>704</v>
      </c>
      <c r="B47" s="44">
        <v>2.2197779999999998</v>
      </c>
      <c r="C47" s="44">
        <v>9.4016435000000005</v>
      </c>
      <c r="D47" s="44">
        <v>14.923115999999997</v>
      </c>
      <c r="E47" s="44">
        <v>26.544537499999997</v>
      </c>
      <c r="G47" s="44">
        <f>E47-VLOOKUP(A47,'Overall scores and ranking'!$A$3:$C$71,2,FALSE)</f>
        <v>0</v>
      </c>
      <c r="I47" s="19" t="s">
        <v>704</v>
      </c>
      <c r="J47" s="22">
        <f t="shared" si="0"/>
        <v>22.197779999999998</v>
      </c>
      <c r="K47" s="22">
        <f t="shared" si="1"/>
        <v>37.606574000000002</v>
      </c>
      <c r="L47" s="22">
        <f t="shared" si="2"/>
        <v>22.958639999999995</v>
      </c>
      <c r="M47" s="22" t="str">
        <f>VLOOKUP(I47,'Overall scores and ranking'!$A$3:$D$71,4, FALSE)</f>
        <v>Poor</v>
      </c>
    </row>
    <row r="48" spans="1:13" x14ac:dyDescent="0.25">
      <c r="A48" s="19" t="s">
        <v>2135</v>
      </c>
      <c r="B48" s="44">
        <v>4.3619669999999999</v>
      </c>
      <c r="C48" s="44">
        <v>8.3350000000000009</v>
      </c>
      <c r="D48" s="44">
        <v>11.971011499999989</v>
      </c>
      <c r="E48" s="44">
        <v>24.66797849999999</v>
      </c>
      <c r="G48" s="44">
        <f>E48-VLOOKUP(A48,'Overall scores and ranking'!$A$3:$C$71,2,FALSE)</f>
        <v>0</v>
      </c>
      <c r="I48" s="19" t="s">
        <v>2135</v>
      </c>
      <c r="J48" s="22">
        <f t="shared" si="0"/>
        <v>43.619669999999999</v>
      </c>
      <c r="K48" s="22">
        <f t="shared" si="1"/>
        <v>33.340000000000003</v>
      </c>
      <c r="L48" s="22">
        <f t="shared" si="2"/>
        <v>18.416940769230752</v>
      </c>
      <c r="M48" s="22" t="str">
        <f>VLOOKUP(I48,'Overall scores and ranking'!$A$3:$D$71,4, FALSE)</f>
        <v>Poor</v>
      </c>
    </row>
    <row r="49" spans="1:13" x14ac:dyDescent="0.25">
      <c r="A49" s="19" t="s">
        <v>295</v>
      </c>
      <c r="B49" s="44">
        <v>4.4395559999999996</v>
      </c>
      <c r="C49" s="44">
        <v>8.4748610000000006</v>
      </c>
      <c r="D49" s="44">
        <v>11.662991999999999</v>
      </c>
      <c r="E49" s="44">
        <v>24.577408999999999</v>
      </c>
      <c r="G49" s="44">
        <f>E49-VLOOKUP(A49,'Overall scores and ranking'!$A$3:$C$71,2,FALSE)</f>
        <v>0</v>
      </c>
      <c r="I49" s="19" t="s">
        <v>295</v>
      </c>
      <c r="J49" s="22">
        <f t="shared" si="0"/>
        <v>44.395559999999996</v>
      </c>
      <c r="K49" s="22">
        <f t="shared" si="1"/>
        <v>33.899444000000003</v>
      </c>
      <c r="L49" s="22">
        <f t="shared" si="2"/>
        <v>17.943064615384614</v>
      </c>
      <c r="M49" s="22" t="str">
        <f>VLOOKUP(I49,'Overall scores and ranking'!$A$3:$D$71,4, FALSE)</f>
        <v>Poor</v>
      </c>
    </row>
    <row r="50" spans="1:13" x14ac:dyDescent="0.25">
      <c r="A50" s="19" t="s">
        <v>255</v>
      </c>
      <c r="B50" s="44">
        <v>2.2197779999999998</v>
      </c>
      <c r="C50" s="44">
        <v>8.7982870000000002</v>
      </c>
      <c r="D50" s="44">
        <v>13.484580999999995</v>
      </c>
      <c r="E50" s="44">
        <v>24.502645999999995</v>
      </c>
      <c r="G50" s="44">
        <f>E50-VLOOKUP(A50,'Overall scores and ranking'!$A$3:$C$71,2,FALSE)</f>
        <v>0</v>
      </c>
      <c r="I50" s="19" t="s">
        <v>255</v>
      </c>
      <c r="J50" s="22">
        <f t="shared" si="0"/>
        <v>22.197779999999998</v>
      </c>
      <c r="K50" s="22">
        <f t="shared" si="1"/>
        <v>35.193148000000001</v>
      </c>
      <c r="L50" s="22">
        <f t="shared" si="2"/>
        <v>20.745509230769223</v>
      </c>
      <c r="M50" s="22" t="str">
        <f>VLOOKUP(I50,'Overall scores and ranking'!$A$3:$D$71,4, FALSE)</f>
        <v>Poor</v>
      </c>
    </row>
    <row r="51" spans="1:13" x14ac:dyDescent="0.25">
      <c r="A51" s="19" t="s">
        <v>28</v>
      </c>
      <c r="B51" s="44">
        <v>2.2197779999999998</v>
      </c>
      <c r="C51" s="44">
        <v>10.883286999999999</v>
      </c>
      <c r="D51" s="44">
        <v>5.9696199999999893</v>
      </c>
      <c r="E51" s="44">
        <v>19.072684999999989</v>
      </c>
      <c r="G51" s="44">
        <f>E51-VLOOKUP(A51,'Overall scores and ranking'!$A$3:$C$71,2,FALSE)</f>
        <v>0</v>
      </c>
      <c r="I51" s="19" t="s">
        <v>28</v>
      </c>
      <c r="J51" s="22">
        <f t="shared" si="0"/>
        <v>22.197779999999998</v>
      </c>
      <c r="K51" s="22">
        <f t="shared" si="1"/>
        <v>43.533147999999997</v>
      </c>
      <c r="L51" s="22">
        <f t="shared" si="2"/>
        <v>9.1840307692307519</v>
      </c>
      <c r="M51" s="22" t="str">
        <f>VLOOKUP(I51,'Overall scores and ranking'!$A$3:$D$71,4, FALSE)</f>
        <v>Very Poor</v>
      </c>
    </row>
    <row r="52" spans="1:13" x14ac:dyDescent="0.25">
      <c r="A52" s="19" t="s">
        <v>663</v>
      </c>
      <c r="B52" s="44">
        <v>2.2197779999999998</v>
      </c>
      <c r="C52" s="44">
        <v>7.7799305000000007</v>
      </c>
      <c r="D52" s="44">
        <v>9.0331974999999964</v>
      </c>
      <c r="E52" s="44">
        <v>19.032905999999997</v>
      </c>
      <c r="G52" s="44">
        <f>E52-VLOOKUP(A52,'Overall scores and ranking'!$A$3:$C$71,2,FALSE)</f>
        <v>0</v>
      </c>
      <c r="I52" s="19" t="s">
        <v>663</v>
      </c>
      <c r="J52" s="22">
        <f t="shared" si="0"/>
        <v>22.197779999999998</v>
      </c>
      <c r="K52" s="22">
        <f t="shared" si="1"/>
        <v>31.119722000000003</v>
      </c>
      <c r="L52" s="22">
        <f t="shared" si="2"/>
        <v>13.897226923076918</v>
      </c>
      <c r="M52" s="22" t="str">
        <f>VLOOKUP(I52,'Overall scores and ranking'!$A$3:$D$71,4, FALSE)</f>
        <v>Very Poor</v>
      </c>
    </row>
    <row r="53" spans="1:13" x14ac:dyDescent="0.25">
      <c r="A53" s="19" t="s">
        <v>1931</v>
      </c>
      <c r="B53" s="44">
        <v>4.173489</v>
      </c>
      <c r="C53" s="44">
        <v>9.17</v>
      </c>
      <c r="D53" s="44">
        <v>5.5029999999999886</v>
      </c>
      <c r="E53" s="44">
        <v>18.846488999999988</v>
      </c>
      <c r="G53" s="44">
        <f>E53-VLOOKUP(A53,'Overall scores and ranking'!$A$3:$C$71,2,FALSE)</f>
        <v>0</v>
      </c>
      <c r="I53" s="19" t="s">
        <v>1931</v>
      </c>
      <c r="J53" s="22">
        <f t="shared" si="0"/>
        <v>41.73489</v>
      </c>
      <c r="K53" s="22">
        <f t="shared" si="1"/>
        <v>36.68</v>
      </c>
      <c r="L53" s="22">
        <f t="shared" si="2"/>
        <v>8.4661538461538282</v>
      </c>
      <c r="M53" s="22" t="str">
        <f>VLOOKUP(I53,'Overall scores and ranking'!$A$3:$D$71,4, FALSE)</f>
        <v>Very Poor</v>
      </c>
    </row>
    <row r="54" spans="1:13" x14ac:dyDescent="0.25">
      <c r="A54" s="19" t="s">
        <v>1808</v>
      </c>
      <c r="B54" s="44">
        <v>1.1098889999999999</v>
      </c>
      <c r="C54" s="44">
        <v>7.7799999999999994</v>
      </c>
      <c r="D54" s="44">
        <v>9.9227749999999872</v>
      </c>
      <c r="E54" s="44">
        <v>18.812663999999987</v>
      </c>
      <c r="G54" s="44">
        <f>E54-VLOOKUP(A54,'Overall scores and ranking'!$A$3:$C$71,2,FALSE)</f>
        <v>0</v>
      </c>
      <c r="I54" s="19" t="s">
        <v>1808</v>
      </c>
      <c r="J54" s="22">
        <f t="shared" si="0"/>
        <v>11.098889999999999</v>
      </c>
      <c r="K54" s="22">
        <f t="shared" si="1"/>
        <v>31.119999999999997</v>
      </c>
      <c r="L54" s="22">
        <f t="shared" si="2"/>
        <v>15.265807692307671</v>
      </c>
      <c r="M54" s="22" t="str">
        <f>VLOOKUP(I54,'Overall scores and ranking'!$A$3:$D$71,4, FALSE)</f>
        <v>Very Poor</v>
      </c>
    </row>
    <row r="55" spans="1:13" x14ac:dyDescent="0.25">
      <c r="A55" s="19" t="s">
        <v>786</v>
      </c>
      <c r="B55" s="44">
        <v>3.3296669999999997</v>
      </c>
      <c r="C55" s="44">
        <v>5.4632870000000002</v>
      </c>
      <c r="D55" s="44">
        <v>9.4577129999999876</v>
      </c>
      <c r="E55" s="44">
        <v>18.250666999999986</v>
      </c>
      <c r="G55" s="44">
        <f>E55-VLOOKUP(A55,'Overall scores and ranking'!$A$3:$C$71,2,FALSE)</f>
        <v>0</v>
      </c>
      <c r="I55" s="19" t="s">
        <v>786</v>
      </c>
      <c r="J55" s="22">
        <f t="shared" si="0"/>
        <v>33.296669999999992</v>
      </c>
      <c r="K55" s="22">
        <f t="shared" si="1"/>
        <v>21.853148000000001</v>
      </c>
      <c r="L55" s="22">
        <f t="shared" si="2"/>
        <v>14.550327692307672</v>
      </c>
      <c r="M55" s="22" t="str">
        <f>VLOOKUP(I55,'Overall scores and ranking'!$A$3:$D$71,4, FALSE)</f>
        <v>Very Poor</v>
      </c>
    </row>
    <row r="56" spans="1:13" x14ac:dyDescent="0.25">
      <c r="A56" s="19" t="s">
        <v>827</v>
      </c>
      <c r="B56" s="44">
        <v>3.33</v>
      </c>
      <c r="C56" s="44">
        <v>5.9265740000000005</v>
      </c>
      <c r="D56" s="44">
        <v>8.5275889999999848</v>
      </c>
      <c r="E56" s="44">
        <v>17.784162999999985</v>
      </c>
      <c r="G56" s="44">
        <f>E56-VLOOKUP(A56,'Overall scores and ranking'!$A$3:$C$71,2,FALSE)</f>
        <v>0</v>
      </c>
      <c r="I56" s="19" t="s">
        <v>827</v>
      </c>
      <c r="J56" s="22">
        <f t="shared" si="0"/>
        <v>33.299999999999997</v>
      </c>
      <c r="K56" s="22">
        <f t="shared" si="1"/>
        <v>23.706296000000002</v>
      </c>
      <c r="L56" s="22">
        <f t="shared" si="2"/>
        <v>13.119367692307668</v>
      </c>
      <c r="M56" s="22" t="str">
        <f>VLOOKUP(I56,'Overall scores and ranking'!$A$3:$D$71,4, FALSE)</f>
        <v>Very Poor</v>
      </c>
    </row>
    <row r="57" spans="1:13" x14ac:dyDescent="0.25">
      <c r="A57" s="19" t="s">
        <v>581</v>
      </c>
      <c r="B57" s="44">
        <v>3.3296669999999997</v>
      </c>
      <c r="C57" s="44">
        <v>8.3350000000000009</v>
      </c>
      <c r="D57" s="44">
        <v>5.347906999999986</v>
      </c>
      <c r="E57" s="44">
        <v>17.012573999999987</v>
      </c>
      <c r="G57" s="44">
        <f>E57-VLOOKUP(A57,'Overall scores and ranking'!$A$3:$C$71,2,FALSE)</f>
        <v>0</v>
      </c>
      <c r="I57" s="19" t="s">
        <v>581</v>
      </c>
      <c r="J57" s="22">
        <f t="shared" si="0"/>
        <v>33.296669999999992</v>
      </c>
      <c r="K57" s="22">
        <f t="shared" si="1"/>
        <v>33.340000000000003</v>
      </c>
      <c r="L57" s="22">
        <f t="shared" si="2"/>
        <v>8.2275492307692097</v>
      </c>
      <c r="M57" s="22" t="str">
        <f>VLOOKUP(I57,'Overall scores and ranking'!$A$3:$D$71,4, FALSE)</f>
        <v>Very Poor</v>
      </c>
    </row>
    <row r="58" spans="1:13" x14ac:dyDescent="0.25">
      <c r="A58" s="19" t="s">
        <v>2340</v>
      </c>
      <c r="B58" s="44">
        <v>1.1098889999999999</v>
      </c>
      <c r="C58" s="44">
        <v>8.3350000000000009</v>
      </c>
      <c r="D58" s="44">
        <v>6.2011549999999867</v>
      </c>
      <c r="E58" s="44">
        <v>15.646043999999986</v>
      </c>
      <c r="G58" s="44">
        <f>E58-VLOOKUP(A58,'Overall scores and ranking'!$A$3:$C$71,2,FALSE)</f>
        <v>0</v>
      </c>
      <c r="I58" s="19" t="s">
        <v>2340</v>
      </c>
      <c r="J58" s="22">
        <f t="shared" si="0"/>
        <v>11.098889999999999</v>
      </c>
      <c r="K58" s="22">
        <f t="shared" si="1"/>
        <v>33.340000000000003</v>
      </c>
      <c r="L58" s="22">
        <f t="shared" si="2"/>
        <v>9.5402384615384399</v>
      </c>
      <c r="M58" s="22" t="str">
        <f>VLOOKUP(I58,'Overall scores and ranking'!$A$3:$D$71,4, FALSE)</f>
        <v>Very Poor</v>
      </c>
    </row>
    <row r="59" spans="1:13" x14ac:dyDescent="0.25">
      <c r="A59" s="19" t="s">
        <v>1564</v>
      </c>
      <c r="B59" s="44">
        <v>2.2197779999999998</v>
      </c>
      <c r="C59" s="44">
        <v>6.7132870000000002</v>
      </c>
      <c r="D59" s="44">
        <v>5.4263409999999892</v>
      </c>
      <c r="E59" s="44">
        <v>14.359405999999989</v>
      </c>
      <c r="G59" s="44">
        <f>E59-VLOOKUP(A59,'Overall scores and ranking'!$A$3:$C$71,2,FALSE)</f>
        <v>0</v>
      </c>
      <c r="I59" s="19" t="s">
        <v>1564</v>
      </c>
      <c r="J59" s="22">
        <f t="shared" si="0"/>
        <v>22.197779999999998</v>
      </c>
      <c r="K59" s="22">
        <f t="shared" si="1"/>
        <v>26.853148000000001</v>
      </c>
      <c r="L59" s="22">
        <f t="shared" si="2"/>
        <v>8.3482169230769063</v>
      </c>
      <c r="M59" s="22" t="str">
        <f>VLOOKUP(I59,'Overall scores and ranking'!$A$3:$D$71,4, FALSE)</f>
        <v>Very Poor</v>
      </c>
    </row>
    <row r="60" spans="1:13" x14ac:dyDescent="0.25">
      <c r="A60" s="19" t="s">
        <v>173</v>
      </c>
      <c r="B60" s="44">
        <v>3.33</v>
      </c>
      <c r="C60" s="44">
        <v>5.6949304999999999</v>
      </c>
      <c r="D60" s="44">
        <v>2.7899379999999989</v>
      </c>
      <c r="E60" s="44">
        <v>11.814868499999999</v>
      </c>
      <c r="G60" s="44">
        <f>E60-VLOOKUP(A60,'Overall scores and ranking'!$A$3:$C$71,2,FALSE)</f>
        <v>0</v>
      </c>
      <c r="I60" s="19" t="s">
        <v>173</v>
      </c>
      <c r="J60" s="22">
        <f t="shared" si="0"/>
        <v>33.299999999999997</v>
      </c>
      <c r="K60" s="22">
        <f t="shared" si="1"/>
        <v>22.779722</v>
      </c>
      <c r="L60" s="22">
        <f t="shared" si="2"/>
        <v>4.2922123076923056</v>
      </c>
      <c r="M60" s="22" t="str">
        <f>VLOOKUP(I60,'Overall scores and ranking'!$A$3:$D$71,4, FALSE)</f>
        <v>Very Poor</v>
      </c>
    </row>
    <row r="61" spans="1:13" x14ac:dyDescent="0.25">
      <c r="A61" s="19" t="s">
        <v>745</v>
      </c>
      <c r="B61" s="44">
        <v>2.2197779999999998</v>
      </c>
      <c r="C61" s="44">
        <v>5.4632870000000002</v>
      </c>
      <c r="D61" s="44">
        <v>2.8680464999999962</v>
      </c>
      <c r="E61" s="44">
        <v>10.551111499999996</v>
      </c>
      <c r="G61" s="44">
        <f>E61-VLOOKUP(A61,'Overall scores and ranking'!$A$3:$C$71,2,FALSE)</f>
        <v>0</v>
      </c>
      <c r="I61" s="19" t="s">
        <v>745</v>
      </c>
      <c r="J61" s="22">
        <f t="shared" si="0"/>
        <v>22.197779999999998</v>
      </c>
      <c r="K61" s="22">
        <f t="shared" si="1"/>
        <v>21.853148000000001</v>
      </c>
      <c r="L61" s="22">
        <f t="shared" si="2"/>
        <v>4.4123792307692247</v>
      </c>
      <c r="M61" s="22" t="str">
        <f>VLOOKUP(I61,'Overall scores and ranking'!$A$3:$D$71,4, FALSE)</f>
        <v>Very Poor</v>
      </c>
    </row>
    <row r="62" spans="1:13" x14ac:dyDescent="0.25">
      <c r="A62" s="19" t="s">
        <v>376</v>
      </c>
      <c r="B62" s="44">
        <v>2.4362279999999998</v>
      </c>
      <c r="C62" s="44">
        <v>5.6949304999999999</v>
      </c>
      <c r="D62" s="44">
        <v>2.17</v>
      </c>
      <c r="E62" s="44">
        <v>10.3011585</v>
      </c>
      <c r="G62" s="44">
        <f>E62-VLOOKUP(A62,'Overall scores and ranking'!$A$3:$C$71,2,FALSE)</f>
        <v>0</v>
      </c>
      <c r="I62" s="19" t="s">
        <v>376</v>
      </c>
      <c r="J62" s="22">
        <f t="shared" si="0"/>
        <v>24.362279999999998</v>
      </c>
      <c r="K62" s="22">
        <f t="shared" si="1"/>
        <v>22.779722</v>
      </c>
      <c r="L62" s="22">
        <f t="shared" si="2"/>
        <v>3.3384615384615381</v>
      </c>
      <c r="M62" s="22" t="str">
        <f>VLOOKUP(I62,'Overall scores and ranking'!$A$3:$D$71,4, FALSE)</f>
        <v>Very Poor</v>
      </c>
    </row>
    <row r="63" spans="1:13" x14ac:dyDescent="0.25">
      <c r="A63" s="19" t="s">
        <v>1156</v>
      </c>
      <c r="B63" s="44">
        <v>4.439889</v>
      </c>
      <c r="C63" s="44">
        <v>1.25</v>
      </c>
      <c r="D63" s="44">
        <v>3.9562709999999979</v>
      </c>
      <c r="E63" s="44">
        <v>9.6461599999999983</v>
      </c>
      <c r="G63" s="44">
        <f>E63-VLOOKUP(A63,'Overall scores and ranking'!$A$3:$C$71,2,FALSE)</f>
        <v>0</v>
      </c>
      <c r="I63" s="19" t="s">
        <v>1156</v>
      </c>
      <c r="J63" s="22">
        <f t="shared" si="0"/>
        <v>44.398889999999994</v>
      </c>
      <c r="K63" s="22">
        <f t="shared" si="1"/>
        <v>5</v>
      </c>
      <c r="L63" s="22">
        <f t="shared" si="2"/>
        <v>6.0865707692307653</v>
      </c>
      <c r="M63" s="22" t="str">
        <f>VLOOKUP(I63,'Overall scores and ranking'!$A$3:$D$71,4, FALSE)</f>
        <v>Very Poor</v>
      </c>
    </row>
    <row r="64" spans="1:13" x14ac:dyDescent="0.25">
      <c r="A64" s="19" t="s">
        <v>2176</v>
      </c>
      <c r="B64" s="44">
        <v>3.33</v>
      </c>
      <c r="C64" s="44">
        <v>6.2982870000000002</v>
      </c>
      <c r="D64" s="44">
        <v>0</v>
      </c>
      <c r="E64" s="44">
        <v>9.6282870000000003</v>
      </c>
      <c r="G64" s="44">
        <f>E64-VLOOKUP(A64,'Overall scores and ranking'!$A$3:$C$71,2,FALSE)</f>
        <v>0</v>
      </c>
      <c r="I64" s="19" t="s">
        <v>2176</v>
      </c>
      <c r="J64" s="22">
        <f t="shared" si="0"/>
        <v>33.299999999999997</v>
      </c>
      <c r="K64" s="22">
        <f t="shared" si="1"/>
        <v>25.193148000000001</v>
      </c>
      <c r="L64" s="22">
        <f t="shared" si="2"/>
        <v>0</v>
      </c>
      <c r="M64" s="22" t="str">
        <f>VLOOKUP(I64,'Overall scores and ranking'!$A$3:$D$71,4, FALSE)</f>
        <v>Very Poor</v>
      </c>
    </row>
    <row r="65" spans="1:13" x14ac:dyDescent="0.25">
      <c r="A65" s="19" t="s">
        <v>2989</v>
      </c>
      <c r="B65" s="44">
        <v>2.0422889999999998</v>
      </c>
      <c r="C65" s="44">
        <v>6.5299304999999999</v>
      </c>
      <c r="D65" s="44">
        <v>0.54327899999999996</v>
      </c>
      <c r="E65" s="44">
        <v>9.1154984999999993</v>
      </c>
      <c r="G65" s="44">
        <f>E65-VLOOKUP(A65,'Overall scores and ranking'!$A$3:$C$71,2,FALSE)</f>
        <v>0</v>
      </c>
      <c r="I65" s="19" t="s">
        <v>2989</v>
      </c>
      <c r="J65" s="22">
        <f t="shared" si="0"/>
        <v>20.422889999999995</v>
      </c>
      <c r="K65" s="22">
        <f t="shared" si="1"/>
        <v>26.119721999999999</v>
      </c>
      <c r="L65" s="22">
        <f t="shared" si="2"/>
        <v>0.83581384615384602</v>
      </c>
      <c r="M65" s="22" t="str">
        <f>VLOOKUP(I65,'Overall scores and ranking'!$A$3:$D$71,4, FALSE)</f>
        <v>Very Poor</v>
      </c>
    </row>
    <row r="66" spans="1:13" x14ac:dyDescent="0.25">
      <c r="A66" s="19" t="s">
        <v>458</v>
      </c>
      <c r="B66" s="44">
        <v>2.2197779999999998</v>
      </c>
      <c r="C66" s="44">
        <v>5</v>
      </c>
      <c r="D66" s="44">
        <v>1.085</v>
      </c>
      <c r="E66" s="44">
        <v>8.3047779999999989</v>
      </c>
      <c r="G66" s="44">
        <f>E66-VLOOKUP(A66,'Overall scores and ranking'!$A$3:$C$71,2,FALSE)</f>
        <v>0</v>
      </c>
      <c r="I66" s="19" t="s">
        <v>458</v>
      </c>
      <c r="J66" s="22">
        <f t="shared" si="0"/>
        <v>22.197779999999998</v>
      </c>
      <c r="K66" s="22">
        <f t="shared" si="1"/>
        <v>20</v>
      </c>
      <c r="L66" s="22">
        <f t="shared" si="2"/>
        <v>1.6692307692307691</v>
      </c>
      <c r="M66" s="22" t="str">
        <f>VLOOKUP(I66,'Overall scores and ranking'!$A$3:$D$71,4, FALSE)</f>
        <v>Very Poor</v>
      </c>
    </row>
    <row r="67" spans="1:13" x14ac:dyDescent="0.25">
      <c r="A67" s="19" t="s">
        <v>1849</v>
      </c>
      <c r="B67" s="44">
        <v>3.33</v>
      </c>
      <c r="C67" s="44">
        <v>3.75</v>
      </c>
      <c r="D67" s="44">
        <v>1.085</v>
      </c>
      <c r="E67" s="44">
        <v>8.1649999999999991</v>
      </c>
      <c r="G67" s="44">
        <f>E67-VLOOKUP(A67,'Overall scores and ranking'!$A$3:$C$71,2,FALSE)</f>
        <v>0</v>
      </c>
      <c r="I67" s="19" t="s">
        <v>1849</v>
      </c>
      <c r="J67" s="22">
        <f t="shared" si="0"/>
        <v>33.299999999999997</v>
      </c>
      <c r="K67" s="22">
        <f t="shared" si="1"/>
        <v>15</v>
      </c>
      <c r="L67" s="22">
        <f t="shared" si="2"/>
        <v>1.6692307692307691</v>
      </c>
      <c r="M67" s="22" t="str">
        <f>VLOOKUP(I67,'Overall scores and ranking'!$A$3:$D$71,4, FALSE)</f>
        <v>Very Poor</v>
      </c>
    </row>
    <row r="68" spans="1:13" x14ac:dyDescent="0.25">
      <c r="A68" s="19" t="s">
        <v>2258</v>
      </c>
      <c r="B68" s="44">
        <v>2.2197779999999998</v>
      </c>
      <c r="C68" s="44">
        <v>3.75</v>
      </c>
      <c r="D68" s="44">
        <v>0.61993799999999799</v>
      </c>
      <c r="E68" s="44">
        <v>6.5897159999999975</v>
      </c>
      <c r="G68" s="44">
        <f>E68-VLOOKUP(A68,'Overall scores and ranking'!$A$3:$C$71,2,FALSE)</f>
        <v>0</v>
      </c>
      <c r="I68" s="19" t="s">
        <v>2258</v>
      </c>
      <c r="J68" s="22">
        <f t="shared" si="0"/>
        <v>22.197779999999998</v>
      </c>
      <c r="K68" s="22">
        <f t="shared" si="1"/>
        <v>15</v>
      </c>
      <c r="L68" s="22">
        <f t="shared" si="2"/>
        <v>0.95375076923076607</v>
      </c>
      <c r="M68" s="22" t="str">
        <f>VLOOKUP(I68,'Overall scores and ranking'!$A$3:$D$71,4, FALSE)</f>
        <v>Very Poor</v>
      </c>
    </row>
    <row r="69" spans="1:13" x14ac:dyDescent="0.25">
      <c r="A69" s="19" t="s">
        <v>2013</v>
      </c>
      <c r="B69" s="44">
        <v>2.2197779999999998</v>
      </c>
      <c r="C69" s="44">
        <v>3.75</v>
      </c>
      <c r="D69" s="44">
        <v>0.54327899999999996</v>
      </c>
      <c r="E69" s="44">
        <v>6.5130569999999999</v>
      </c>
      <c r="G69" s="44">
        <f>E69-VLOOKUP(A69,'Overall scores and ranking'!$A$3:$C$71,2,FALSE)</f>
        <v>0</v>
      </c>
      <c r="I69" s="19" t="s">
        <v>2013</v>
      </c>
      <c r="J69" s="22">
        <f t="shared" si="0"/>
        <v>22.197779999999998</v>
      </c>
      <c r="K69" s="22">
        <f t="shared" si="1"/>
        <v>15</v>
      </c>
      <c r="L69" s="22">
        <f t="shared" si="2"/>
        <v>0.83581384615384602</v>
      </c>
      <c r="M69" s="22" t="str">
        <f>VLOOKUP(I69,'Overall scores and ranking'!$A$3:$D$71,4, FALSE)</f>
        <v>Very Poor</v>
      </c>
    </row>
    <row r="70" spans="1:13" x14ac:dyDescent="0.25">
      <c r="A70" s="19" t="s">
        <v>1972</v>
      </c>
      <c r="B70" s="44">
        <v>0</v>
      </c>
      <c r="C70" s="44">
        <v>2.5</v>
      </c>
      <c r="D70" s="44">
        <v>3.409658999999988</v>
      </c>
      <c r="E70" s="44">
        <v>5.909658999999988</v>
      </c>
      <c r="G70" s="44">
        <f>E70-VLOOKUP(A70,'Overall scores and ranking'!$A$3:$C$71,2,FALSE)</f>
        <v>0</v>
      </c>
      <c r="I70" s="19" t="s">
        <v>1972</v>
      </c>
      <c r="J70" s="22">
        <f t="shared" ref="J70:J74" si="3">B70/10%</f>
        <v>0</v>
      </c>
      <c r="K70" s="22">
        <f t="shared" ref="K70:K74" si="4">C70/25%</f>
        <v>10</v>
      </c>
      <c r="L70" s="22">
        <f t="shared" ref="L70:L74" si="5">D70/65%</f>
        <v>5.2456292307692118</v>
      </c>
      <c r="M70" s="22" t="str">
        <f>VLOOKUP(I70,'Overall scores and ranking'!$A$3:$D$71,4, FALSE)</f>
        <v>Very Poor</v>
      </c>
    </row>
    <row r="71" spans="1:13" x14ac:dyDescent="0.25">
      <c r="A71" s="19" t="s">
        <v>417</v>
      </c>
      <c r="B71" s="44">
        <v>2.2197779999999998</v>
      </c>
      <c r="C71" s="44">
        <v>2.5</v>
      </c>
      <c r="D71" s="44">
        <v>0</v>
      </c>
      <c r="E71" s="44">
        <v>4.7197779999999998</v>
      </c>
      <c r="G71" s="44">
        <f>E71-VLOOKUP(A71,'Overall scores and ranking'!$A$3:$C$71,2,FALSE)</f>
        <v>0</v>
      </c>
      <c r="I71" s="19" t="s">
        <v>417</v>
      </c>
      <c r="J71" s="22">
        <f t="shared" si="3"/>
        <v>22.197779999999998</v>
      </c>
      <c r="K71" s="22">
        <f t="shared" si="4"/>
        <v>10</v>
      </c>
      <c r="L71" s="22">
        <f t="shared" si="5"/>
        <v>0</v>
      </c>
      <c r="M71" s="22" t="str">
        <f>VLOOKUP(I71,'Overall scores and ranking'!$A$3:$D$71,4, FALSE)</f>
        <v>Very Poor</v>
      </c>
    </row>
    <row r="72" spans="1:13" x14ac:dyDescent="0.25">
      <c r="A72" s="19" t="s">
        <v>2869</v>
      </c>
      <c r="B72" s="44">
        <v>2.2197779999999998</v>
      </c>
      <c r="C72" s="44">
        <v>0</v>
      </c>
      <c r="D72" s="44">
        <v>0</v>
      </c>
      <c r="E72" s="44">
        <v>2.2197779999999998</v>
      </c>
      <c r="G72" s="44">
        <f>E72-VLOOKUP(A72,'Overall scores and ranking'!$A$3:$C$71,2,FALSE)</f>
        <v>0</v>
      </c>
      <c r="I72" s="19" t="s">
        <v>2869</v>
      </c>
      <c r="J72" s="22">
        <f t="shared" si="3"/>
        <v>22.197779999999998</v>
      </c>
      <c r="K72" s="22">
        <f t="shared" si="4"/>
        <v>0</v>
      </c>
      <c r="L72" s="22">
        <f t="shared" si="5"/>
        <v>0</v>
      </c>
      <c r="M72" s="22" t="str">
        <f>VLOOKUP(I72,'Overall scores and ranking'!$A$3:$D$71,4, FALSE)</f>
        <v>Very Poor</v>
      </c>
    </row>
    <row r="73" spans="1:13" x14ac:dyDescent="0.25">
      <c r="A73" s="46" t="s">
        <v>3047</v>
      </c>
      <c r="B73" s="67">
        <f>AVERAGE(B5:B72)</f>
        <v>4.6001795294117658</v>
      </c>
      <c r="C73" s="67">
        <f>AVERAGE(C5:C72)</f>
        <v>11.919389552368436</v>
      </c>
      <c r="D73" s="67">
        <f>AVERAGE(D5:D72)</f>
        <v>22.407480609299462</v>
      </c>
      <c r="E73" s="67">
        <f>AVERAGE(E5:E72)</f>
        <v>38.92704969107966</v>
      </c>
      <c r="I73" s="46" t="s">
        <v>3047</v>
      </c>
      <c r="J73" s="81">
        <f t="shared" si="3"/>
        <v>46.001795294117656</v>
      </c>
      <c r="K73" s="81">
        <f t="shared" si="4"/>
        <v>47.677558209473744</v>
      </c>
      <c r="L73" s="81">
        <f t="shared" si="5"/>
        <v>34.473047091229944</v>
      </c>
      <c r="M73" s="22" t="e">
        <f>VLOOKUP(I73,'Overall scores and ranking'!$A$3:$D$71,4, FALSE)</f>
        <v>#N/A</v>
      </c>
    </row>
    <row r="74" spans="1:13" x14ac:dyDescent="0.25">
      <c r="A74" s="52" t="s">
        <v>3090</v>
      </c>
      <c r="B74" s="66">
        <v>10</v>
      </c>
      <c r="C74" s="66">
        <v>25</v>
      </c>
      <c r="D74" s="66">
        <v>65</v>
      </c>
      <c r="E74" s="66">
        <v>100</v>
      </c>
      <c r="I74" s="52" t="s">
        <v>3090</v>
      </c>
      <c r="J74" s="53">
        <f t="shared" si="3"/>
        <v>100</v>
      </c>
      <c r="K74" s="53">
        <f t="shared" si="4"/>
        <v>100</v>
      </c>
      <c r="L74" s="53">
        <f t="shared" si="5"/>
        <v>100</v>
      </c>
      <c r="M74" s="22" t="e">
        <f>VLOOKUP(I74,'Overall scores and ranking'!$A$3:$D$71,4, FALSE)</f>
        <v>#N/A</v>
      </c>
    </row>
  </sheetData>
  <pageMargins left="0.7" right="0.7" top="0.75" bottom="0.75" header="0.3" footer="0.3"/>
  <drawing r:id="rId2"/>
  <tableParts count="1">
    <tablePart r:id="rId3"/>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selection activeCell="D21" sqref="D21"/>
    </sheetView>
  </sheetViews>
  <sheetFormatPr defaultRowHeight="15" x14ac:dyDescent="0.25"/>
  <cols>
    <col min="1" max="1" width="13.140625" bestFit="1" customWidth="1"/>
    <col min="2" max="2" width="23.140625" bestFit="1" customWidth="1"/>
    <col min="3" max="3" width="22.7109375" bestFit="1" customWidth="1"/>
    <col min="4" max="4" width="18" bestFit="1" customWidth="1"/>
  </cols>
  <sheetData>
    <row r="1" spans="1:4" s="169" customFormat="1" ht="23.25" x14ac:dyDescent="0.35">
      <c r="A1" s="169" t="s">
        <v>3264</v>
      </c>
    </row>
    <row r="3" spans="1:4" x14ac:dyDescent="0.25">
      <c r="A3" s="18" t="s">
        <v>3042</v>
      </c>
      <c r="B3" t="s">
        <v>3114</v>
      </c>
      <c r="C3" t="s">
        <v>3186</v>
      </c>
      <c r="D3" t="s">
        <v>3187</v>
      </c>
    </row>
    <row r="4" spans="1:4" x14ac:dyDescent="0.25">
      <c r="A4" s="19" t="s">
        <v>3049</v>
      </c>
      <c r="B4" s="116">
        <v>80.854302857142869</v>
      </c>
      <c r="C4" s="116">
        <v>95.556204111440593</v>
      </c>
      <c r="D4" s="116">
        <v>83.116183928444357</v>
      </c>
    </row>
    <row r="5" spans="1:4" x14ac:dyDescent="0.25">
      <c r="A5" s="19" t="s">
        <v>3050</v>
      </c>
      <c r="B5" s="116">
        <v>76.948807499999987</v>
      </c>
      <c r="C5" s="116">
        <v>81.801749226042915</v>
      </c>
      <c r="D5" s="116">
        <v>63.839251458408469</v>
      </c>
    </row>
    <row r="6" spans="1:4" x14ac:dyDescent="0.25">
      <c r="A6" s="19" t="s">
        <v>3051</v>
      </c>
      <c r="B6" s="116">
        <v>46.881405000000001</v>
      </c>
      <c r="C6" s="116">
        <v>53.182792978486624</v>
      </c>
      <c r="D6" s="116">
        <v>45.740929767906557</v>
      </c>
    </row>
    <row r="7" spans="1:4" x14ac:dyDescent="0.25">
      <c r="A7" s="19" t="s">
        <v>3112</v>
      </c>
      <c r="B7" s="116">
        <v>42.917262000000001</v>
      </c>
      <c r="C7" s="116">
        <v>38.504728266666667</v>
      </c>
      <c r="D7" s="116">
        <v>25.989800962870678</v>
      </c>
    </row>
    <row r="8" spans="1:4" x14ac:dyDescent="0.25">
      <c r="A8" s="19" t="s">
        <v>3113</v>
      </c>
      <c r="B8" s="116">
        <v>25.12227681818182</v>
      </c>
      <c r="C8" s="116">
        <v>22.285042000000001</v>
      </c>
      <c r="D8" s="116">
        <v>5.9062732867132759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K77"/>
  <sheetViews>
    <sheetView workbookViewId="0">
      <selection sqref="A1:XFD1"/>
    </sheetView>
  </sheetViews>
  <sheetFormatPr defaultRowHeight="15" x14ac:dyDescent="0.25"/>
  <cols>
    <col min="1" max="1" width="37.42578125" bestFit="1" customWidth="1"/>
    <col min="2" max="2" width="16.28515625" customWidth="1"/>
    <col min="3" max="3" width="23" customWidth="1"/>
    <col min="4" max="4" width="22.85546875" customWidth="1"/>
    <col min="5" max="5" width="14.85546875" customWidth="1"/>
    <col min="6" max="6" width="23" customWidth="1"/>
    <col min="7" max="7" width="28" customWidth="1"/>
    <col min="8" max="8" width="18.140625" customWidth="1"/>
    <col min="9" max="9" width="22.140625" customWidth="1"/>
    <col min="10" max="10" width="13.5703125" customWidth="1"/>
    <col min="11" max="11" width="24.5703125" style="76" customWidth="1"/>
    <col min="12" max="12" width="17" bestFit="1" customWidth="1"/>
    <col min="13" max="13" width="11.28515625" bestFit="1" customWidth="1"/>
    <col min="14" max="14" width="23.28515625" bestFit="1" customWidth="1"/>
    <col min="15" max="15" width="12.42578125" bestFit="1" customWidth="1"/>
    <col min="16" max="16" width="12.140625" bestFit="1" customWidth="1"/>
    <col min="17" max="17" width="11.28515625" bestFit="1" customWidth="1"/>
  </cols>
  <sheetData>
    <row r="1" spans="1:11" s="168" customFormat="1" ht="21" x14ac:dyDescent="0.35">
      <c r="A1" s="167" t="s">
        <v>3265</v>
      </c>
      <c r="K1" s="229"/>
    </row>
    <row r="3" spans="1:11" x14ac:dyDescent="0.25">
      <c r="A3" s="18" t="s">
        <v>3044</v>
      </c>
      <c r="B3" s="18" t="s">
        <v>3043</v>
      </c>
      <c r="K3" s="73"/>
    </row>
    <row r="4" spans="1:11" x14ac:dyDescent="0.25">
      <c r="A4" s="18" t="s">
        <v>3042</v>
      </c>
      <c r="B4" t="s">
        <v>164</v>
      </c>
      <c r="C4" t="s">
        <v>147</v>
      </c>
      <c r="D4" t="s">
        <v>135</v>
      </c>
      <c r="E4" t="s">
        <v>34</v>
      </c>
      <c r="F4" t="s">
        <v>64</v>
      </c>
      <c r="G4" t="s">
        <v>115</v>
      </c>
      <c r="H4" t="s">
        <v>88</v>
      </c>
      <c r="I4" t="s">
        <v>102</v>
      </c>
      <c r="J4" t="s">
        <v>3072</v>
      </c>
      <c r="K4" s="74" t="s">
        <v>3097</v>
      </c>
    </row>
    <row r="5" spans="1:11" x14ac:dyDescent="0.25">
      <c r="A5" s="19" t="s">
        <v>2747</v>
      </c>
      <c r="B5" s="44">
        <v>6.4598669999999991</v>
      </c>
      <c r="C5" s="44">
        <v>12.45</v>
      </c>
      <c r="D5" s="44">
        <v>12.51</v>
      </c>
      <c r="E5" s="44">
        <v>12.042981888297811</v>
      </c>
      <c r="F5" s="44">
        <v>11.962008749999979</v>
      </c>
      <c r="G5" s="44">
        <v>5.7476496322759196</v>
      </c>
      <c r="H5" s="44">
        <v>6.4259406249999991</v>
      </c>
      <c r="I5" s="44">
        <v>6.9175809374999799</v>
      </c>
      <c r="J5" s="21">
        <v>74.516028833073676</v>
      </c>
      <c r="K5" s="75" t="str">
        <f>VLOOKUP(A5,'Overall scores and ranking'!$A$3:$D$71,4,FALSE)</f>
        <v>Good</v>
      </c>
    </row>
    <row r="6" spans="1:11" x14ac:dyDescent="0.25">
      <c r="A6" s="19" t="s">
        <v>2381</v>
      </c>
      <c r="B6" s="44">
        <v>8.5800780000000003</v>
      </c>
      <c r="C6" s="44">
        <v>12.34375</v>
      </c>
      <c r="D6" s="44">
        <v>12.51</v>
      </c>
      <c r="E6" s="44">
        <v>12.38721718249726</v>
      </c>
      <c r="F6" s="44">
        <v>11.7923900747065</v>
      </c>
      <c r="G6" s="44">
        <v>9.8528220619624527</v>
      </c>
      <c r="H6" s="44">
        <v>5.9877001067235796</v>
      </c>
      <c r="I6" s="44">
        <v>10.38888073639273</v>
      </c>
      <c r="J6" s="21">
        <v>83.842838162282533</v>
      </c>
      <c r="K6" s="75" t="str">
        <f>VLOOKUP(A6,'Overall scores and ranking'!$A$3:$D$71,4,FALSE)</f>
        <v>Very good</v>
      </c>
    </row>
    <row r="7" spans="1:11" x14ac:dyDescent="0.25">
      <c r="A7" s="19" t="s">
        <v>2299</v>
      </c>
      <c r="B7" s="44">
        <v>3.4851779999999999</v>
      </c>
      <c r="C7" s="44">
        <v>11.25</v>
      </c>
      <c r="D7" s="44">
        <v>5.3282870000000004</v>
      </c>
      <c r="E7" s="44">
        <v>10.73901203273736</v>
      </c>
      <c r="F7" s="44">
        <v>7.687221390410949</v>
      </c>
      <c r="G7" s="44">
        <v>4.34</v>
      </c>
      <c r="H7" s="44">
        <v>3.0824914383561599</v>
      </c>
      <c r="I7" s="44">
        <v>0</v>
      </c>
      <c r="J7" s="21">
        <v>45.912189861504473</v>
      </c>
      <c r="K7" s="75" t="str">
        <f>VLOOKUP(A7,'Overall scores and ranking'!$A$3:$D$71,4,FALSE)</f>
        <v>Fair</v>
      </c>
    </row>
    <row r="8" spans="1:11" x14ac:dyDescent="0.25">
      <c r="A8" s="19" t="s">
        <v>28</v>
      </c>
      <c r="B8" s="44">
        <v>2.2197779999999998</v>
      </c>
      <c r="C8" s="44">
        <v>6.25</v>
      </c>
      <c r="D8" s="44">
        <v>4.6332870000000002</v>
      </c>
      <c r="E8" s="44">
        <v>2.7163949999999999</v>
      </c>
      <c r="F8" s="44">
        <v>0</v>
      </c>
      <c r="G8" s="44">
        <v>2.17</v>
      </c>
      <c r="H8" s="44">
        <v>1.0832249999999899</v>
      </c>
      <c r="I8" s="44">
        <v>0</v>
      </c>
      <c r="J8" s="21">
        <v>19.072684999999993</v>
      </c>
      <c r="K8" s="75" t="str">
        <f>VLOOKUP(A8,'Overall scores and ranking'!$A$3:$D$71,4,FALSE)</f>
        <v>Very Poor</v>
      </c>
    </row>
    <row r="9" spans="1:11" x14ac:dyDescent="0.25">
      <c r="A9" s="19" t="s">
        <v>1931</v>
      </c>
      <c r="B9" s="44">
        <v>4.173489</v>
      </c>
      <c r="C9" s="44">
        <v>5</v>
      </c>
      <c r="D9" s="44">
        <v>4.17</v>
      </c>
      <c r="E9" s="44">
        <v>1.6298369999999998</v>
      </c>
      <c r="F9" s="44">
        <v>0.61993799999999899</v>
      </c>
      <c r="G9" s="44">
        <v>2.17</v>
      </c>
      <c r="H9" s="44">
        <v>1.0832249999999899</v>
      </c>
      <c r="I9" s="44">
        <v>0</v>
      </c>
      <c r="J9" s="21">
        <v>18.846488999999991</v>
      </c>
      <c r="K9" s="75" t="str">
        <f>VLOOKUP(A9,'Overall scores and ranking'!$A$3:$D$71,4,FALSE)</f>
        <v>Very Poor</v>
      </c>
    </row>
    <row r="10" spans="1:11" x14ac:dyDescent="0.25">
      <c r="A10" s="19" t="s">
        <v>1156</v>
      </c>
      <c r="B10" s="44">
        <v>4.439889</v>
      </c>
      <c r="C10" s="44">
        <v>1.25</v>
      </c>
      <c r="D10" s="44">
        <v>0</v>
      </c>
      <c r="E10" s="44">
        <v>2.7163949999999999</v>
      </c>
      <c r="F10" s="44">
        <v>1.239875999999998</v>
      </c>
      <c r="G10" s="44">
        <v>0</v>
      </c>
      <c r="H10" s="44">
        <v>0</v>
      </c>
      <c r="I10" s="44">
        <v>0</v>
      </c>
      <c r="J10" s="21">
        <v>9.6461599999999983</v>
      </c>
      <c r="K10" s="75" t="str">
        <f>VLOOKUP(A10,'Overall scores and ranking'!$A$3:$D$71,4,FALSE)</f>
        <v>Very Poor</v>
      </c>
    </row>
    <row r="11" spans="1:11" x14ac:dyDescent="0.25">
      <c r="A11" s="19" t="s">
        <v>1849</v>
      </c>
      <c r="B11" s="44">
        <v>3.33</v>
      </c>
      <c r="C11" s="44">
        <v>3.75</v>
      </c>
      <c r="D11" s="44">
        <v>0</v>
      </c>
      <c r="E11" s="44">
        <v>0</v>
      </c>
      <c r="F11" s="44">
        <v>0</v>
      </c>
      <c r="G11" s="44">
        <v>1.085</v>
      </c>
      <c r="H11" s="44">
        <v>0</v>
      </c>
      <c r="I11" s="44">
        <v>0</v>
      </c>
      <c r="J11" s="21">
        <v>8.1649999999999991</v>
      </c>
      <c r="K11" s="75" t="str">
        <f>VLOOKUP(A11,'Overall scores and ranking'!$A$3:$D$71,4,FALSE)</f>
        <v>Very Poor</v>
      </c>
    </row>
    <row r="12" spans="1:11" x14ac:dyDescent="0.25">
      <c r="A12" s="19" t="s">
        <v>910</v>
      </c>
      <c r="B12" s="44">
        <v>8.6799780000000002</v>
      </c>
      <c r="C12" s="44">
        <v>11.756756756756751</v>
      </c>
      <c r="D12" s="44">
        <v>12.51</v>
      </c>
      <c r="E12" s="44">
        <v>11.95131612478024</v>
      </c>
      <c r="F12" s="44">
        <v>10.074875999999998</v>
      </c>
      <c r="G12" s="44">
        <v>5.3165000000000004</v>
      </c>
      <c r="H12" s="44">
        <v>5.2977583922261395</v>
      </c>
      <c r="I12" s="44">
        <v>6.0841636643233601</v>
      </c>
      <c r="J12" s="21">
        <v>71.671348938086481</v>
      </c>
      <c r="K12" s="75" t="str">
        <f>VLOOKUP(A12,'Overall scores and ranking'!$A$3:$D$71,4,FALSE)</f>
        <v>Good</v>
      </c>
    </row>
    <row r="13" spans="1:11" x14ac:dyDescent="0.25">
      <c r="A13" s="19" t="s">
        <v>2869</v>
      </c>
      <c r="B13" s="44">
        <v>2.2197779999999998</v>
      </c>
      <c r="C13" s="44">
        <v>0</v>
      </c>
      <c r="D13" s="44">
        <v>0</v>
      </c>
      <c r="E13" s="44">
        <v>0</v>
      </c>
      <c r="F13" s="44">
        <v>0</v>
      </c>
      <c r="G13" s="44">
        <v>0</v>
      </c>
      <c r="H13" s="44">
        <v>0</v>
      </c>
      <c r="I13" s="44">
        <v>0</v>
      </c>
      <c r="J13" s="21">
        <v>2.2197779999999998</v>
      </c>
      <c r="K13" s="75" t="str">
        <f>VLOOKUP(A13,'Overall scores and ranking'!$A$3:$D$71,4,FALSE)</f>
        <v>Very Poor</v>
      </c>
    </row>
    <row r="14" spans="1:11" x14ac:dyDescent="0.25">
      <c r="A14" s="19" t="s">
        <v>173</v>
      </c>
      <c r="B14" s="44">
        <v>3.33</v>
      </c>
      <c r="C14" s="44">
        <v>5</v>
      </c>
      <c r="D14" s="44">
        <v>0.69493050000000001</v>
      </c>
      <c r="E14" s="44">
        <v>0</v>
      </c>
      <c r="F14" s="44">
        <v>0.61993799999999899</v>
      </c>
      <c r="G14" s="44">
        <v>2.17</v>
      </c>
      <c r="H14" s="44">
        <v>0</v>
      </c>
      <c r="I14" s="44">
        <v>0</v>
      </c>
      <c r="J14" s="21">
        <v>11.814868499999999</v>
      </c>
      <c r="K14" s="75" t="str">
        <f>VLOOKUP(A14,'Overall scores and ranking'!$A$3:$D$71,4,FALSE)</f>
        <v>Very Poor</v>
      </c>
    </row>
    <row r="15" spans="1:11" x14ac:dyDescent="0.25">
      <c r="A15" s="19" t="s">
        <v>1972</v>
      </c>
      <c r="B15" s="44">
        <v>0</v>
      </c>
      <c r="C15" s="44">
        <v>2.5</v>
      </c>
      <c r="D15" s="44">
        <v>0</v>
      </c>
      <c r="E15" s="44">
        <v>1.0865579999999999</v>
      </c>
      <c r="F15" s="44">
        <v>1.239875999999998</v>
      </c>
      <c r="G15" s="44">
        <v>0</v>
      </c>
      <c r="H15" s="44">
        <v>1.0832249999999899</v>
      </c>
      <c r="I15" s="44">
        <v>0</v>
      </c>
      <c r="J15" s="21">
        <v>5.909658999999988</v>
      </c>
      <c r="K15" s="75" t="str">
        <f>VLOOKUP(A15,'Overall scores and ranking'!$A$3:$D$71,4,FALSE)</f>
        <v>Very Poor</v>
      </c>
    </row>
    <row r="16" spans="1:11" x14ac:dyDescent="0.25">
      <c r="A16" s="19" t="s">
        <v>214</v>
      </c>
      <c r="B16" s="44">
        <v>3.5351279999999998</v>
      </c>
      <c r="C16" s="44">
        <v>6.25</v>
      </c>
      <c r="D16" s="44">
        <v>6.2549999999999999</v>
      </c>
      <c r="E16" s="44">
        <v>4.0748369999999996</v>
      </c>
      <c r="F16" s="44">
        <v>3.4098449999999949</v>
      </c>
      <c r="G16" s="44">
        <v>4.34</v>
      </c>
      <c r="H16" s="44">
        <v>1.625</v>
      </c>
      <c r="I16" s="44">
        <v>0</v>
      </c>
      <c r="J16" s="21">
        <v>29.489809999999991</v>
      </c>
      <c r="K16" s="75" t="str">
        <f>VLOOKUP(A16,'Overall scores and ranking'!$A$3:$D$71,4,FALSE)</f>
        <v>Poor</v>
      </c>
    </row>
    <row r="17" spans="1:11" x14ac:dyDescent="0.25">
      <c r="A17" s="19" t="s">
        <v>2787</v>
      </c>
      <c r="B17" s="44">
        <v>6.7039559999999998</v>
      </c>
      <c r="C17" s="44">
        <v>5</v>
      </c>
      <c r="D17" s="44">
        <v>4.8649304999999998</v>
      </c>
      <c r="E17" s="44">
        <v>10.108114182436706</v>
      </c>
      <c r="F17" s="44">
        <v>10.291083776312979</v>
      </c>
      <c r="G17" s="44">
        <v>5.4530305124388603</v>
      </c>
      <c r="H17" s="44">
        <v>5.0253375504996693</v>
      </c>
      <c r="I17" s="44">
        <v>2.1925516159897902</v>
      </c>
      <c r="J17" s="21">
        <v>49.639004137678008</v>
      </c>
      <c r="K17" s="75" t="str">
        <f>VLOOKUP(A17,'Overall scores and ranking'!$A$3:$D$71,4,FALSE)</f>
        <v>Fair</v>
      </c>
    </row>
    <row r="18" spans="1:11" x14ac:dyDescent="0.25">
      <c r="A18" s="19" t="s">
        <v>255</v>
      </c>
      <c r="B18" s="44">
        <v>2.2197779999999998</v>
      </c>
      <c r="C18" s="44">
        <v>6.25</v>
      </c>
      <c r="D18" s="44">
        <v>2.5482870000000002</v>
      </c>
      <c r="E18" s="44">
        <v>3.259674</v>
      </c>
      <c r="F18" s="44">
        <v>3.7199069999999947</v>
      </c>
      <c r="G18" s="44">
        <v>3.2549999999999999</v>
      </c>
      <c r="H18" s="44">
        <v>3.25</v>
      </c>
      <c r="I18" s="44">
        <v>0</v>
      </c>
      <c r="J18" s="21">
        <v>24.502645999999995</v>
      </c>
      <c r="K18" s="75" t="str">
        <f>VLOOKUP(A18,'Overall scores and ranking'!$A$3:$D$71,4,FALSE)</f>
        <v>Poor</v>
      </c>
    </row>
    <row r="19" spans="1:11" x14ac:dyDescent="0.25">
      <c r="A19" s="19" t="s">
        <v>868</v>
      </c>
      <c r="B19" s="44">
        <v>9.5571000000000002</v>
      </c>
      <c r="C19" s="44">
        <v>11.71875</v>
      </c>
      <c r="D19" s="44">
        <v>11.12</v>
      </c>
      <c r="E19" s="44">
        <v>12.066314859561372</v>
      </c>
      <c r="F19" s="44">
        <v>12.175133228960179</v>
      </c>
      <c r="G19" s="44">
        <v>3.2549999999999999</v>
      </c>
      <c r="H19" s="44">
        <v>8.3385536811151209</v>
      </c>
      <c r="I19" s="44">
        <v>0</v>
      </c>
      <c r="J19" s="21">
        <v>68.230851769636672</v>
      </c>
      <c r="K19" s="75" t="str">
        <f>VLOOKUP(A19,'Overall scores and ranking'!$A$3:$D$71,4,FALSE)</f>
        <v>Good</v>
      </c>
    </row>
    <row r="20" spans="1:11" x14ac:dyDescent="0.25">
      <c r="A20" s="19" t="s">
        <v>1685</v>
      </c>
      <c r="B20" s="44">
        <v>8.6247000000000007</v>
      </c>
      <c r="C20" s="44">
        <v>11.25</v>
      </c>
      <c r="D20" s="44">
        <v>11.12</v>
      </c>
      <c r="E20" s="44">
        <v>9.3833066617953609</v>
      </c>
      <c r="F20" s="44">
        <v>9.4032901878914199</v>
      </c>
      <c r="G20" s="44">
        <v>3.2549999999999999</v>
      </c>
      <c r="H20" s="44">
        <v>4.7124999999999897</v>
      </c>
      <c r="I20" s="44">
        <v>2.165</v>
      </c>
      <c r="J20" s="21">
        <v>59.913796849686776</v>
      </c>
      <c r="K20" s="75" t="str">
        <f>VLOOKUP(A20,'Overall scores and ranking'!$A$3:$D$71,4,FALSE)</f>
        <v>Fair</v>
      </c>
    </row>
    <row r="21" spans="1:11" x14ac:dyDescent="0.25">
      <c r="A21" s="19" t="s">
        <v>1482</v>
      </c>
      <c r="B21" s="44">
        <v>9.2241</v>
      </c>
      <c r="C21" s="44">
        <v>11.25</v>
      </c>
      <c r="D21" s="44">
        <v>8.34</v>
      </c>
      <c r="E21" s="44">
        <v>12.51460772373691</v>
      </c>
      <c r="F21" s="44">
        <v>11.10187499999995</v>
      </c>
      <c r="G21" s="44">
        <v>3.2549999999999999</v>
      </c>
      <c r="H21" s="44">
        <v>6.0823384831460601</v>
      </c>
      <c r="I21" s="44">
        <v>0</v>
      </c>
      <c r="J21" s="21">
        <v>61.767921206882924</v>
      </c>
      <c r="K21" s="75" t="str">
        <f>VLOOKUP(A21,'Overall scores and ranking'!$A$3:$D$71,4,FALSE)</f>
        <v>Good</v>
      </c>
    </row>
    <row r="22" spans="1:11" x14ac:dyDescent="0.25">
      <c r="A22" s="19" t="s">
        <v>2217</v>
      </c>
      <c r="B22" s="44">
        <v>9.6903000000000006</v>
      </c>
      <c r="C22" s="44">
        <v>12.166666666666661</v>
      </c>
      <c r="D22" s="44">
        <v>11.12</v>
      </c>
      <c r="E22" s="44">
        <v>12.222774744027248</v>
      </c>
      <c r="F22" s="44">
        <v>12.29489351656434</v>
      </c>
      <c r="G22" s="44">
        <v>3.2549999999999999</v>
      </c>
      <c r="H22" s="44">
        <v>8.3264199566460508</v>
      </c>
      <c r="I22" s="44">
        <v>0</v>
      </c>
      <c r="J22" s="21">
        <v>69.076054883904305</v>
      </c>
      <c r="K22" s="75" t="str">
        <f>VLOOKUP(A22,'Overall scores and ranking'!$A$3:$D$71,4,FALSE)</f>
        <v>Good</v>
      </c>
    </row>
    <row r="23" spans="1:11" x14ac:dyDescent="0.25">
      <c r="A23" s="19" t="s">
        <v>295</v>
      </c>
      <c r="B23" s="44">
        <v>4.4395559999999996</v>
      </c>
      <c r="C23" s="44">
        <v>5</v>
      </c>
      <c r="D23" s="44">
        <v>3.4748609999999998</v>
      </c>
      <c r="E23" s="44">
        <v>2.9881159999999998</v>
      </c>
      <c r="F23" s="44">
        <v>2.1698759999999968</v>
      </c>
      <c r="G23" s="44">
        <v>3.2549999999999999</v>
      </c>
      <c r="H23" s="44">
        <v>3.25</v>
      </c>
      <c r="I23" s="44">
        <v>0</v>
      </c>
      <c r="J23" s="21">
        <v>24.577408999999996</v>
      </c>
      <c r="K23" s="75" t="str">
        <f>VLOOKUP(A23,'Overall scores and ranking'!$A$3:$D$71,4,FALSE)</f>
        <v>Poor</v>
      </c>
    </row>
    <row r="24" spans="1:11" x14ac:dyDescent="0.25">
      <c r="A24" s="19" t="s">
        <v>335</v>
      </c>
      <c r="B24" s="44">
        <v>5.5497779999999999</v>
      </c>
      <c r="C24" s="44">
        <v>6.25</v>
      </c>
      <c r="D24" s="44">
        <v>0.463287</v>
      </c>
      <c r="E24" s="44">
        <v>5.4332789999999989</v>
      </c>
      <c r="F24" s="44">
        <v>4.0298759999999954</v>
      </c>
      <c r="G24" s="44">
        <v>3.2549999999999999</v>
      </c>
      <c r="H24" s="44">
        <v>3.25</v>
      </c>
      <c r="I24" s="44">
        <v>0</v>
      </c>
      <c r="J24" s="21">
        <v>28.23121999999999</v>
      </c>
      <c r="K24" s="75" t="str">
        <f>VLOOKUP(A24,'Overall scores and ranking'!$A$3:$D$71,4,FALSE)</f>
        <v>Poor</v>
      </c>
    </row>
    <row r="25" spans="1:11" x14ac:dyDescent="0.25">
      <c r="A25" s="19" t="s">
        <v>991</v>
      </c>
      <c r="B25" s="44">
        <v>4.0959000000000003</v>
      </c>
      <c r="C25" s="44">
        <v>6.25</v>
      </c>
      <c r="D25" s="44">
        <v>6.95</v>
      </c>
      <c r="E25" s="44">
        <v>7.8834420098887108</v>
      </c>
      <c r="F25" s="44">
        <v>10.580273176761429</v>
      </c>
      <c r="G25" s="44">
        <v>3.2549999999999999</v>
      </c>
      <c r="H25" s="44">
        <v>7.2582249999999897</v>
      </c>
      <c r="I25" s="44">
        <v>0</v>
      </c>
      <c r="J25" s="21">
        <v>46.272840186650129</v>
      </c>
      <c r="K25" s="75" t="str">
        <f>VLOOKUP(A25,'Overall scores and ranking'!$A$3:$D$71,4,FALSE)</f>
        <v>Fair</v>
      </c>
    </row>
    <row r="26" spans="1:11" x14ac:dyDescent="0.25">
      <c r="A26" s="19" t="s">
        <v>2135</v>
      </c>
      <c r="B26" s="44">
        <v>4.3619669999999999</v>
      </c>
      <c r="C26" s="44">
        <v>6.25</v>
      </c>
      <c r="D26" s="44">
        <v>2.085</v>
      </c>
      <c r="E26" s="44">
        <v>2.9880344999999999</v>
      </c>
      <c r="F26" s="44">
        <v>2.4797519999999951</v>
      </c>
      <c r="G26" s="44">
        <v>3.2549999999999999</v>
      </c>
      <c r="H26" s="44">
        <v>1.0832249999999899</v>
      </c>
      <c r="I26" s="44">
        <v>2.165</v>
      </c>
      <c r="J26" s="21">
        <v>24.667978499999982</v>
      </c>
      <c r="K26" s="75" t="str">
        <f>VLOOKUP(A26,'Overall scores and ranking'!$A$3:$D$71,4,FALSE)</f>
        <v>Poor</v>
      </c>
    </row>
    <row r="27" spans="1:11" x14ac:dyDescent="0.25">
      <c r="A27" s="19" t="s">
        <v>376</v>
      </c>
      <c r="B27" s="44">
        <v>2.4362279999999998</v>
      </c>
      <c r="C27" s="44">
        <v>5</v>
      </c>
      <c r="D27" s="44">
        <v>0.69493050000000001</v>
      </c>
      <c r="E27" s="44">
        <v>0</v>
      </c>
      <c r="F27" s="44">
        <v>0</v>
      </c>
      <c r="G27" s="44">
        <v>2.17</v>
      </c>
      <c r="H27" s="44">
        <v>0</v>
      </c>
      <c r="I27" s="44">
        <v>0</v>
      </c>
      <c r="J27" s="21">
        <v>10.3011585</v>
      </c>
      <c r="K27" s="75" t="str">
        <f>VLOOKUP(A27,'Overall scores and ranking'!$A$3:$D$71,4,FALSE)</f>
        <v>Very Poor</v>
      </c>
    </row>
    <row r="28" spans="1:11" x14ac:dyDescent="0.25">
      <c r="A28" s="19" t="s">
        <v>1073</v>
      </c>
      <c r="B28" s="44">
        <v>3.4352279999999995</v>
      </c>
      <c r="C28" s="44">
        <v>11.25</v>
      </c>
      <c r="D28" s="44">
        <v>4.17</v>
      </c>
      <c r="E28" s="44">
        <v>8.5336069551152303</v>
      </c>
      <c r="F28" s="44">
        <v>9.2999999999999403</v>
      </c>
      <c r="G28" s="44">
        <v>1.085</v>
      </c>
      <c r="H28" s="44">
        <v>8.7778520874045203</v>
      </c>
      <c r="I28" s="44">
        <v>0</v>
      </c>
      <c r="J28" s="21">
        <v>46.551687042519688</v>
      </c>
      <c r="K28" s="75" t="str">
        <f>VLOOKUP(A28,'Overall scores and ranking'!$A$3:$D$71,4,FALSE)</f>
        <v>Fair</v>
      </c>
    </row>
    <row r="29" spans="1:11" x14ac:dyDescent="0.25">
      <c r="A29" s="19" t="s">
        <v>1319</v>
      </c>
      <c r="B29" s="44">
        <v>4.3732889999999998</v>
      </c>
      <c r="C29" s="44">
        <v>12.5</v>
      </c>
      <c r="D29" s="44">
        <v>12.51</v>
      </c>
      <c r="E29" s="44">
        <v>13.039999999999988</v>
      </c>
      <c r="F29" s="44">
        <v>13.019999999999932</v>
      </c>
      <c r="G29" s="44">
        <v>10.787881679389312</v>
      </c>
      <c r="H29" s="44">
        <v>11.85455152671755</v>
      </c>
      <c r="I29" s="44">
        <v>8.66</v>
      </c>
      <c r="J29" s="21">
        <v>86.745722206106763</v>
      </c>
      <c r="K29" s="75" t="str">
        <f>VLOOKUP(A29,'Overall scores and ranking'!$A$3:$D$71,4,FALSE)</f>
        <v>Very good</v>
      </c>
    </row>
    <row r="30" spans="1:11" x14ac:dyDescent="0.25">
      <c r="A30" s="19" t="s">
        <v>2421</v>
      </c>
      <c r="B30" s="44">
        <v>4.262067</v>
      </c>
      <c r="C30" s="44">
        <v>10.05040322580645</v>
      </c>
      <c r="D30" s="44">
        <v>6.9499304999999998</v>
      </c>
      <c r="E30" s="44">
        <v>11.306654639175211</v>
      </c>
      <c r="F30" s="44">
        <v>9.7520567010309183</v>
      </c>
      <c r="G30" s="44">
        <v>3.2549999999999999</v>
      </c>
      <c r="H30" s="44">
        <v>6.1749999999999998</v>
      </c>
      <c r="I30" s="44">
        <v>2.1712773840206099</v>
      </c>
      <c r="J30" s="21">
        <v>53.922389450033194</v>
      </c>
      <c r="K30" s="75" t="str">
        <f>VLOOKUP(A30,'Overall scores and ranking'!$A$3:$D$71,4,FALSE)</f>
        <v>Fair</v>
      </c>
    </row>
    <row r="31" spans="1:11" x14ac:dyDescent="0.25">
      <c r="A31" s="19" t="s">
        <v>2462</v>
      </c>
      <c r="B31" s="44">
        <v>3.1521779999999997</v>
      </c>
      <c r="C31" s="44">
        <v>10.05040322580645</v>
      </c>
      <c r="D31" s="44">
        <v>6.9499304999999998</v>
      </c>
      <c r="E31" s="44">
        <v>11.171019187358869</v>
      </c>
      <c r="F31" s="44">
        <v>8.9862601963882582</v>
      </c>
      <c r="G31" s="44">
        <v>2.17</v>
      </c>
      <c r="H31" s="44">
        <v>6.1749999999999998</v>
      </c>
      <c r="I31" s="44">
        <v>2.16939841986455</v>
      </c>
      <c r="J31" s="21">
        <v>50.824189529418121</v>
      </c>
      <c r="K31" s="75" t="str">
        <f>VLOOKUP(A31,'Overall scores and ranking'!$A$3:$D$71,4,FALSE)</f>
        <v>Fair</v>
      </c>
    </row>
    <row r="32" spans="1:11" x14ac:dyDescent="0.25">
      <c r="A32" s="19" t="s">
        <v>1238</v>
      </c>
      <c r="B32" s="44">
        <v>5.6939669999999998</v>
      </c>
      <c r="C32" s="44">
        <v>8.75</v>
      </c>
      <c r="D32" s="44">
        <v>5.5600000000000005</v>
      </c>
      <c r="E32" s="44">
        <v>12.863032445923441</v>
      </c>
      <c r="F32" s="44">
        <v>11.159999999999942</v>
      </c>
      <c r="G32" s="44">
        <v>11.57290855110762</v>
      </c>
      <c r="H32" s="44">
        <v>7.0335010191347695</v>
      </c>
      <c r="I32" s="44">
        <v>10.664696339434268</v>
      </c>
      <c r="J32" s="21">
        <v>73.298105355600029</v>
      </c>
      <c r="K32" s="75" t="str">
        <f>VLOOKUP(A32,'Overall scores and ranking'!$A$3:$D$71,4,FALSE)</f>
        <v>Good</v>
      </c>
    </row>
    <row r="33" spans="1:11" x14ac:dyDescent="0.25">
      <c r="A33" s="19" t="s">
        <v>417</v>
      </c>
      <c r="B33" s="44">
        <v>2.2197779999999998</v>
      </c>
      <c r="C33" s="44">
        <v>2.5</v>
      </c>
      <c r="D33" s="44">
        <v>0</v>
      </c>
      <c r="E33" s="44">
        <v>0</v>
      </c>
      <c r="F33" s="44">
        <v>0</v>
      </c>
      <c r="G33" s="44">
        <v>0</v>
      </c>
      <c r="H33" s="44">
        <v>0</v>
      </c>
      <c r="I33" s="44">
        <v>0</v>
      </c>
      <c r="J33" s="21">
        <v>4.7197779999999998</v>
      </c>
      <c r="K33" s="75" t="str">
        <f>VLOOKUP(A33,'Overall scores and ranking'!$A$3:$D$71,4,FALSE)</f>
        <v>Very Poor</v>
      </c>
    </row>
    <row r="34" spans="1:11" x14ac:dyDescent="0.25">
      <c r="A34" s="19" t="s">
        <v>458</v>
      </c>
      <c r="B34" s="44">
        <v>2.2197779999999998</v>
      </c>
      <c r="C34" s="44">
        <v>5</v>
      </c>
      <c r="D34" s="44">
        <v>0</v>
      </c>
      <c r="E34" s="44">
        <v>0</v>
      </c>
      <c r="F34" s="44">
        <v>0</v>
      </c>
      <c r="G34" s="44">
        <v>1.085</v>
      </c>
      <c r="H34" s="44">
        <v>0</v>
      </c>
      <c r="I34" s="44">
        <v>0</v>
      </c>
      <c r="J34" s="21">
        <v>8.3047779999999989</v>
      </c>
      <c r="K34" s="75" t="str">
        <f>VLOOKUP(A34,'Overall scores and ranking'!$A$3:$D$71,4,FALSE)</f>
        <v>Very Poor</v>
      </c>
    </row>
    <row r="35" spans="1:11" x14ac:dyDescent="0.25">
      <c r="A35" s="19" t="s">
        <v>951</v>
      </c>
      <c r="B35" s="44">
        <v>5.7938669999999997</v>
      </c>
      <c r="C35" s="44">
        <v>12.5</v>
      </c>
      <c r="D35" s="44">
        <v>5.0966434999999999</v>
      </c>
      <c r="E35" s="44">
        <v>11.97383142107487</v>
      </c>
      <c r="F35" s="44">
        <v>10.583241885625959</v>
      </c>
      <c r="G35" s="44">
        <v>10.699718856259629</v>
      </c>
      <c r="H35" s="44">
        <v>6.0303323029366194</v>
      </c>
      <c r="I35" s="44">
        <v>11.23976313755794</v>
      </c>
      <c r="J35" s="21">
        <v>73.917398103455014</v>
      </c>
      <c r="K35" s="75" t="str">
        <f>VLOOKUP(A35,'Overall scores and ranking'!$A$3:$D$71,4,FALSE)</f>
        <v>Good</v>
      </c>
    </row>
    <row r="36" spans="1:11" x14ac:dyDescent="0.25">
      <c r="A36" s="19" t="s">
        <v>499</v>
      </c>
      <c r="B36" s="44">
        <v>3.3296669999999997</v>
      </c>
      <c r="C36" s="44">
        <v>6.25</v>
      </c>
      <c r="D36" s="44">
        <v>2.7799304999999999</v>
      </c>
      <c r="E36" s="44">
        <v>4.3465579999999999</v>
      </c>
      <c r="F36" s="44">
        <v>2.7899069999999964</v>
      </c>
      <c r="G36" s="44">
        <v>4.34</v>
      </c>
      <c r="H36" s="44">
        <v>2.7082249999999979</v>
      </c>
      <c r="I36" s="44">
        <v>5.0515944999999993</v>
      </c>
      <c r="J36" s="21">
        <v>31.595881999999996</v>
      </c>
      <c r="K36" s="75" t="str">
        <f>VLOOKUP(A36,'Overall scores and ranking'!$A$3:$D$71,4,FALSE)</f>
        <v>Poor</v>
      </c>
    </row>
    <row r="37" spans="1:11" x14ac:dyDescent="0.25">
      <c r="A37" s="19" t="s">
        <v>1441</v>
      </c>
      <c r="B37" s="44">
        <v>5.2946999999999997</v>
      </c>
      <c r="C37" s="44">
        <v>7.5</v>
      </c>
      <c r="D37" s="44">
        <v>7.6449999999999996</v>
      </c>
      <c r="E37" s="44">
        <v>7.53843495009595</v>
      </c>
      <c r="F37" s="44">
        <v>8.216487523992269</v>
      </c>
      <c r="G37" s="44">
        <v>2.17</v>
      </c>
      <c r="H37" s="44">
        <v>4.1034472508620201</v>
      </c>
      <c r="I37" s="44">
        <v>0</v>
      </c>
      <c r="J37" s="21">
        <v>42.46806972495024</v>
      </c>
      <c r="K37" s="75" t="str">
        <f>VLOOKUP(A37,'Overall scores and ranking'!$A$3:$D$71,4,FALSE)</f>
        <v>Fair</v>
      </c>
    </row>
    <row r="38" spans="1:11" x14ac:dyDescent="0.25">
      <c r="A38" s="19" t="s">
        <v>2340</v>
      </c>
      <c r="B38" s="44">
        <v>1.1098889999999999</v>
      </c>
      <c r="C38" s="44">
        <v>6.25</v>
      </c>
      <c r="D38" s="44">
        <v>2.085</v>
      </c>
      <c r="E38" s="44">
        <v>2.1731159999999998</v>
      </c>
      <c r="F38" s="44">
        <v>1.859813999999997</v>
      </c>
      <c r="G38" s="44">
        <v>1.085</v>
      </c>
      <c r="H38" s="44">
        <v>1.0832249999999899</v>
      </c>
      <c r="I38" s="44">
        <v>0</v>
      </c>
      <c r="J38" s="21">
        <v>15.646043999999987</v>
      </c>
      <c r="K38" s="75" t="str">
        <f>VLOOKUP(A38,'Overall scores and ranking'!$A$3:$D$71,4,FALSE)</f>
        <v>Very Poor</v>
      </c>
    </row>
    <row r="39" spans="1:11" x14ac:dyDescent="0.25">
      <c r="A39" s="19" t="s">
        <v>539</v>
      </c>
      <c r="B39" s="44">
        <v>3.3296669999999997</v>
      </c>
      <c r="C39" s="44">
        <v>11.25</v>
      </c>
      <c r="D39" s="44">
        <v>6.9499999999999993</v>
      </c>
      <c r="E39" s="44">
        <v>6.8497722857142707</v>
      </c>
      <c r="F39" s="44">
        <v>4.4946899999999852</v>
      </c>
      <c r="G39" s="44">
        <v>4.34</v>
      </c>
      <c r="H39" s="44">
        <v>0</v>
      </c>
      <c r="I39" s="44">
        <v>0</v>
      </c>
      <c r="J39" s="21">
        <v>37.21412928571425</v>
      </c>
      <c r="K39" s="75" t="str">
        <f>VLOOKUP(A39,'Overall scores and ranking'!$A$3:$D$71,4,FALSE)</f>
        <v>Poor</v>
      </c>
    </row>
    <row r="40" spans="1:11" x14ac:dyDescent="0.25">
      <c r="A40" s="19" t="s">
        <v>581</v>
      </c>
      <c r="B40" s="44">
        <v>3.3296669999999997</v>
      </c>
      <c r="C40" s="44">
        <v>6.25</v>
      </c>
      <c r="D40" s="44">
        <v>2.085</v>
      </c>
      <c r="E40" s="44">
        <v>1.6298369999999998</v>
      </c>
      <c r="F40" s="44">
        <v>1.549844999999997</v>
      </c>
      <c r="G40" s="44">
        <v>1.085</v>
      </c>
      <c r="H40" s="44">
        <v>1.0832249999999899</v>
      </c>
      <c r="I40" s="44">
        <v>0</v>
      </c>
      <c r="J40" s="21">
        <v>17.012573999999987</v>
      </c>
      <c r="K40" s="75" t="str">
        <f>VLOOKUP(A40,'Overall scores and ranking'!$A$3:$D$71,4,FALSE)</f>
        <v>Very Poor</v>
      </c>
    </row>
    <row r="41" spans="1:11" x14ac:dyDescent="0.25">
      <c r="A41" s="19" t="s">
        <v>622</v>
      </c>
      <c r="B41" s="44">
        <v>3.5351279999999998</v>
      </c>
      <c r="C41" s="44">
        <v>6.25</v>
      </c>
      <c r="D41" s="44">
        <v>4.8650000000000002</v>
      </c>
      <c r="E41" s="44">
        <v>3.531558</v>
      </c>
      <c r="F41" s="44">
        <v>5.8898759999999939</v>
      </c>
      <c r="G41" s="44">
        <v>5.4249999999999998</v>
      </c>
      <c r="H41" s="44">
        <v>1.625</v>
      </c>
      <c r="I41" s="44">
        <v>5.7731889999999897</v>
      </c>
      <c r="J41" s="21">
        <v>36.894750999999985</v>
      </c>
      <c r="K41" s="75" t="str">
        <f>VLOOKUP(A41,'Overall scores and ranking'!$A$3:$D$71,4,FALSE)</f>
        <v>Poor</v>
      </c>
    </row>
    <row r="42" spans="1:11" x14ac:dyDescent="0.25">
      <c r="A42" s="19" t="s">
        <v>663</v>
      </c>
      <c r="B42" s="44">
        <v>2.2197779999999998</v>
      </c>
      <c r="C42" s="44">
        <v>5</v>
      </c>
      <c r="D42" s="44">
        <v>2.7799305000000003</v>
      </c>
      <c r="E42" s="44">
        <v>4.6181975</v>
      </c>
      <c r="F42" s="44">
        <v>2.7899999999999974</v>
      </c>
      <c r="G42" s="44">
        <v>0</v>
      </c>
      <c r="H42" s="44">
        <v>1.625</v>
      </c>
      <c r="I42" s="44">
        <v>0</v>
      </c>
      <c r="J42" s="21">
        <v>19.032905999999997</v>
      </c>
      <c r="K42" s="75" t="str">
        <f>VLOOKUP(A42,'Overall scores and ranking'!$A$3:$D$71,4,FALSE)</f>
        <v>Very Poor</v>
      </c>
    </row>
    <row r="43" spans="1:11" x14ac:dyDescent="0.25">
      <c r="A43" s="19" t="s">
        <v>2013</v>
      </c>
      <c r="B43" s="44">
        <v>2.2197779999999998</v>
      </c>
      <c r="C43" s="44">
        <v>3.75</v>
      </c>
      <c r="D43" s="44">
        <v>0</v>
      </c>
      <c r="E43" s="44">
        <v>0.54327899999999996</v>
      </c>
      <c r="F43" s="44">
        <v>0</v>
      </c>
      <c r="G43" s="44">
        <v>0</v>
      </c>
      <c r="H43" s="44">
        <v>0</v>
      </c>
      <c r="I43" s="44">
        <v>0</v>
      </c>
      <c r="J43" s="21">
        <v>6.5130569999999999</v>
      </c>
      <c r="K43" s="75" t="str">
        <f>VLOOKUP(A43,'Overall scores and ranking'!$A$3:$D$71,4,FALSE)</f>
        <v>Very Poor</v>
      </c>
    </row>
    <row r="44" spans="1:11" x14ac:dyDescent="0.25">
      <c r="A44" s="19" t="s">
        <v>1808</v>
      </c>
      <c r="B44" s="44">
        <v>1.1098889999999999</v>
      </c>
      <c r="C44" s="44">
        <v>5</v>
      </c>
      <c r="D44" s="44">
        <v>2.78</v>
      </c>
      <c r="E44" s="44">
        <v>3.259674</v>
      </c>
      <c r="F44" s="44">
        <v>1.239875999999998</v>
      </c>
      <c r="G44" s="44">
        <v>4.34</v>
      </c>
      <c r="H44" s="44">
        <v>1.0832249999999899</v>
      </c>
      <c r="I44" s="44">
        <v>0</v>
      </c>
      <c r="J44" s="21">
        <v>18.812663999999991</v>
      </c>
      <c r="K44" s="75" t="str">
        <f>VLOOKUP(A44,'Overall scores and ranking'!$A$3:$D$71,4,FALSE)</f>
        <v>Very Poor</v>
      </c>
    </row>
    <row r="45" spans="1:11" x14ac:dyDescent="0.25">
      <c r="A45" s="19" t="s">
        <v>2258</v>
      </c>
      <c r="B45" s="44">
        <v>2.2197779999999998</v>
      </c>
      <c r="C45" s="44">
        <v>3.75</v>
      </c>
      <c r="D45" s="44">
        <v>0</v>
      </c>
      <c r="E45" s="44">
        <v>0</v>
      </c>
      <c r="F45" s="44">
        <v>0.61993799999999799</v>
      </c>
      <c r="G45" s="44">
        <v>0</v>
      </c>
      <c r="H45" s="44">
        <v>0</v>
      </c>
      <c r="I45" s="44">
        <v>0</v>
      </c>
      <c r="J45" s="21">
        <v>6.5897159999999975</v>
      </c>
      <c r="K45" s="75" t="str">
        <f>VLOOKUP(A45,'Overall scores and ranking'!$A$3:$D$71,4,FALSE)</f>
        <v>Very Poor</v>
      </c>
    </row>
    <row r="46" spans="1:11" x14ac:dyDescent="0.25">
      <c r="A46" s="19" t="s">
        <v>1767</v>
      </c>
      <c r="B46" s="44">
        <v>6.9703559999999998</v>
      </c>
      <c r="C46" s="44">
        <v>6.25</v>
      </c>
      <c r="D46" s="44">
        <v>5.5034335133540297</v>
      </c>
      <c r="E46" s="44">
        <v>11.785540944537248</v>
      </c>
      <c r="F46" s="44">
        <v>12.188704190611759</v>
      </c>
      <c r="G46" s="44">
        <v>2.17</v>
      </c>
      <c r="H46" s="44">
        <v>8.8962370531239507</v>
      </c>
      <c r="I46" s="44">
        <v>0</v>
      </c>
      <c r="J46" s="21">
        <v>53.764271701626981</v>
      </c>
      <c r="K46" s="75" t="str">
        <f>VLOOKUP(A46,'Overall scores and ranking'!$A$3:$D$71,4,FALSE)</f>
        <v>Fair</v>
      </c>
    </row>
    <row r="47" spans="1:11" x14ac:dyDescent="0.25">
      <c r="A47" s="19" t="s">
        <v>1523</v>
      </c>
      <c r="B47" s="44">
        <v>5.1281999999999996</v>
      </c>
      <c r="C47" s="44">
        <v>6.25</v>
      </c>
      <c r="D47" s="44">
        <v>3.0115740000000004</v>
      </c>
      <c r="E47" s="44">
        <v>10.83236264970054</v>
      </c>
      <c r="F47" s="44">
        <v>9.4129627005987988</v>
      </c>
      <c r="G47" s="44">
        <v>5.4249999999999998</v>
      </c>
      <c r="H47" s="44">
        <v>5.0614478293413097</v>
      </c>
      <c r="I47" s="44">
        <v>0</v>
      </c>
      <c r="J47" s="21">
        <v>45.121547179640643</v>
      </c>
      <c r="K47" s="75" t="str">
        <f>VLOOKUP(A47,'Overall scores and ranking'!$A$3:$D$71,4,FALSE)</f>
        <v>Fair</v>
      </c>
    </row>
    <row r="48" spans="1:11" x14ac:dyDescent="0.25">
      <c r="A48" s="19" t="s">
        <v>1726</v>
      </c>
      <c r="B48" s="44">
        <v>6.681978</v>
      </c>
      <c r="C48" s="44">
        <v>6.25</v>
      </c>
      <c r="D48" s="44">
        <v>2.5482870000000002</v>
      </c>
      <c r="E48" s="44">
        <v>3.8032789999999999</v>
      </c>
      <c r="F48" s="44">
        <v>1.8599999999999981</v>
      </c>
      <c r="G48" s="44">
        <v>3.2549999999999999</v>
      </c>
      <c r="H48" s="44">
        <v>3.25</v>
      </c>
      <c r="I48" s="44">
        <v>0</v>
      </c>
      <c r="J48" s="21">
        <v>27.648543999999998</v>
      </c>
      <c r="K48" s="75" t="str">
        <f>VLOOKUP(A48,'Overall scores and ranking'!$A$3:$D$71,4,FALSE)</f>
        <v>Poor</v>
      </c>
    </row>
    <row r="49" spans="1:11" x14ac:dyDescent="0.25">
      <c r="A49" s="19" t="s">
        <v>1564</v>
      </c>
      <c r="B49" s="44">
        <v>2.2197779999999998</v>
      </c>
      <c r="C49" s="44">
        <v>6.25</v>
      </c>
      <c r="D49" s="44">
        <v>0.463287</v>
      </c>
      <c r="E49" s="44">
        <v>2.1731159999999998</v>
      </c>
      <c r="F49" s="44">
        <v>0</v>
      </c>
      <c r="G49" s="44">
        <v>2.17</v>
      </c>
      <c r="H49" s="44">
        <v>1.0832249999999899</v>
      </c>
      <c r="I49" s="44">
        <v>0</v>
      </c>
      <c r="J49" s="21">
        <v>14.359405999999989</v>
      </c>
      <c r="K49" s="75" t="str">
        <f>VLOOKUP(A49,'Overall scores and ranking'!$A$3:$D$71,4,FALSE)</f>
        <v>Very Poor</v>
      </c>
    </row>
    <row r="50" spans="1:11" x14ac:dyDescent="0.25">
      <c r="A50" s="19" t="s">
        <v>704</v>
      </c>
      <c r="B50" s="44">
        <v>2.2197779999999998</v>
      </c>
      <c r="C50" s="44">
        <v>5</v>
      </c>
      <c r="D50" s="44">
        <v>4.4016435000000005</v>
      </c>
      <c r="E50" s="44">
        <v>4.6181159999999997</v>
      </c>
      <c r="F50" s="44">
        <v>6.5099999999999927</v>
      </c>
      <c r="G50" s="44">
        <v>2.17</v>
      </c>
      <c r="H50" s="44">
        <v>1.625</v>
      </c>
      <c r="I50" s="44">
        <v>0</v>
      </c>
      <c r="J50" s="21">
        <v>26.544537499999997</v>
      </c>
      <c r="K50" s="75" t="str">
        <f>VLOOKUP(A50,'Overall scores and ranking'!$A$3:$D$71,4,FALSE)</f>
        <v>Poor</v>
      </c>
    </row>
    <row r="51" spans="1:11" x14ac:dyDescent="0.25">
      <c r="A51" s="19" t="s">
        <v>745</v>
      </c>
      <c r="B51" s="44">
        <v>2.2197779999999998</v>
      </c>
      <c r="C51" s="44">
        <v>5</v>
      </c>
      <c r="D51" s="44">
        <v>0.463287</v>
      </c>
      <c r="E51" s="44">
        <v>1.0865579999999999</v>
      </c>
      <c r="F51" s="44">
        <v>1.2398759999999971</v>
      </c>
      <c r="G51" s="44">
        <v>0</v>
      </c>
      <c r="H51" s="44">
        <v>0.54161249999999905</v>
      </c>
      <c r="I51" s="44">
        <v>0</v>
      </c>
      <c r="J51" s="21">
        <v>10.551111499999996</v>
      </c>
      <c r="K51" s="75" t="str">
        <f>VLOOKUP(A51,'Overall scores and ranking'!$A$3:$D$71,4,FALSE)</f>
        <v>Very Poor</v>
      </c>
    </row>
    <row r="52" spans="1:11" x14ac:dyDescent="0.25">
      <c r="A52" s="19" t="s">
        <v>786</v>
      </c>
      <c r="B52" s="44">
        <v>3.3296669999999997</v>
      </c>
      <c r="C52" s="44">
        <v>5</v>
      </c>
      <c r="D52" s="44">
        <v>0.463287</v>
      </c>
      <c r="E52" s="44">
        <v>3.259674</v>
      </c>
      <c r="F52" s="44">
        <v>1.859813999999997</v>
      </c>
      <c r="G52" s="44">
        <v>3.2549999999999999</v>
      </c>
      <c r="H52" s="44">
        <v>1.0832249999999899</v>
      </c>
      <c r="I52" s="44">
        <v>0</v>
      </c>
      <c r="J52" s="21">
        <v>18.250666999999986</v>
      </c>
      <c r="K52" s="75" t="str">
        <f>VLOOKUP(A52,'Overall scores and ranking'!$A$3:$D$71,4,FALSE)</f>
        <v>Very Poor</v>
      </c>
    </row>
    <row r="53" spans="1:11" x14ac:dyDescent="0.25">
      <c r="A53" s="19" t="s">
        <v>827</v>
      </c>
      <c r="B53" s="44">
        <v>3.33</v>
      </c>
      <c r="C53" s="44">
        <v>5</v>
      </c>
      <c r="D53" s="44">
        <v>0.92657400000000001</v>
      </c>
      <c r="E53" s="44">
        <v>3.259674</v>
      </c>
      <c r="F53" s="44">
        <v>3.0996899999999949</v>
      </c>
      <c r="G53" s="44">
        <v>1.085</v>
      </c>
      <c r="H53" s="44">
        <v>1.0832249999999899</v>
      </c>
      <c r="I53" s="44">
        <v>0</v>
      </c>
      <c r="J53" s="21">
        <v>17.784162999999985</v>
      </c>
      <c r="K53" s="75" t="str">
        <f>VLOOKUP(A53,'Overall scores and ranking'!$A$3:$D$71,4,FALSE)</f>
        <v>Very Poor</v>
      </c>
    </row>
    <row r="54" spans="1:11" x14ac:dyDescent="0.25">
      <c r="A54" s="19" t="s">
        <v>1890</v>
      </c>
      <c r="B54" s="44">
        <v>4.217778</v>
      </c>
      <c r="C54" s="44">
        <v>11.55612244897959</v>
      </c>
      <c r="D54" s="44">
        <v>5.56</v>
      </c>
      <c r="E54" s="44">
        <v>9.7538967971530077</v>
      </c>
      <c r="F54" s="44">
        <v>10.048226266900112</v>
      </c>
      <c r="G54" s="44">
        <v>1.085</v>
      </c>
      <c r="H54" s="44">
        <v>8.37718900966183</v>
      </c>
      <c r="I54" s="44">
        <v>0</v>
      </c>
      <c r="J54" s="21">
        <v>50.598212522694539</v>
      </c>
      <c r="K54" s="75" t="str">
        <f>VLOOKUP(A54,'Overall scores and ranking'!$A$3:$D$71,4,FALSE)</f>
        <v>Fair</v>
      </c>
    </row>
    <row r="55" spans="1:11" x14ac:dyDescent="0.25">
      <c r="A55" s="19" t="s">
        <v>1115</v>
      </c>
      <c r="B55" s="44">
        <v>9.8234999999999992</v>
      </c>
      <c r="C55" s="44">
        <v>12.43055555555555</v>
      </c>
      <c r="D55" s="44">
        <v>12.389337092346519</v>
      </c>
      <c r="E55" s="44">
        <v>12.011144536628638</v>
      </c>
      <c r="F55" s="44">
        <v>12.05397713179739</v>
      </c>
      <c r="G55" s="44">
        <v>6.8203116079108694</v>
      </c>
      <c r="H55" s="44">
        <v>9.9584213503307915</v>
      </c>
      <c r="I55" s="44">
        <v>7.7867624845233001</v>
      </c>
      <c r="J55" s="21">
        <v>83.274009759093062</v>
      </c>
      <c r="K55" s="75" t="str">
        <f>VLOOKUP(A55,'Overall scores and ranking'!$A$3:$D$71,4,FALSE)</f>
        <v>Very good</v>
      </c>
    </row>
    <row r="56" spans="1:11" x14ac:dyDescent="0.25">
      <c r="A56" s="19" t="s">
        <v>1197</v>
      </c>
      <c r="B56" s="44">
        <v>4.9946669999999997</v>
      </c>
      <c r="C56" s="44">
        <v>8.75</v>
      </c>
      <c r="D56" s="44">
        <v>5.5598609999999997</v>
      </c>
      <c r="E56" s="44">
        <v>11.818493902438959</v>
      </c>
      <c r="F56" s="44">
        <v>10.601999999999999</v>
      </c>
      <c r="G56" s="44">
        <v>3.2549999999999999</v>
      </c>
      <c r="H56" s="44">
        <v>5.6610171840354697</v>
      </c>
      <c r="I56" s="44">
        <v>3.1392499999999899</v>
      </c>
      <c r="J56" s="21">
        <v>53.780289086474419</v>
      </c>
      <c r="K56" s="75" t="str">
        <f>VLOOKUP(A56,'Overall scores and ranking'!$A$3:$D$71,4,FALSE)</f>
        <v>Fair</v>
      </c>
    </row>
    <row r="57" spans="1:11" x14ac:dyDescent="0.25">
      <c r="A57" s="19" t="s">
        <v>2666</v>
      </c>
      <c r="B57" s="44">
        <v>3.252078</v>
      </c>
      <c r="C57" s="44">
        <v>5</v>
      </c>
      <c r="D57" s="44">
        <v>2.7799304999999999</v>
      </c>
      <c r="E57" s="44">
        <v>6.1124999999999998</v>
      </c>
      <c r="F57" s="44">
        <v>4.9418016194331695</v>
      </c>
      <c r="G57" s="44">
        <v>2.17</v>
      </c>
      <c r="H57" s="44">
        <v>6.5</v>
      </c>
      <c r="I57" s="44">
        <v>0</v>
      </c>
      <c r="J57" s="21">
        <v>30.756310119433174</v>
      </c>
      <c r="K57" s="75" t="str">
        <f>VLOOKUP(A57,'Overall scores and ranking'!$A$3:$D$71,4,FALSE)</f>
        <v>Poor</v>
      </c>
    </row>
    <row r="58" spans="1:11" x14ac:dyDescent="0.25">
      <c r="A58" s="19" t="s">
        <v>2625</v>
      </c>
      <c r="B58" s="44">
        <v>8.0472780000000004</v>
      </c>
      <c r="C58" s="44">
        <v>12.38636363636363</v>
      </c>
      <c r="D58" s="44">
        <v>11.12</v>
      </c>
      <c r="E58" s="44">
        <v>13.037243517474629</v>
      </c>
      <c r="F58" s="44">
        <v>8.3956936430252753</v>
      </c>
      <c r="G58" s="44">
        <v>9.9458333333333293</v>
      </c>
      <c r="H58" s="44">
        <v>12.09722222222222</v>
      </c>
      <c r="I58" s="44">
        <v>11.864988026819912</v>
      </c>
      <c r="J58" s="21">
        <v>86.894622379238996</v>
      </c>
      <c r="K58" s="75" t="str">
        <f>VLOOKUP(A58,'Overall scores and ranking'!$A$3:$D$71,4,FALSE)</f>
        <v>Very good</v>
      </c>
    </row>
    <row r="59" spans="1:11" x14ac:dyDescent="0.25">
      <c r="A59" s="19" t="s">
        <v>2054</v>
      </c>
      <c r="B59" s="44">
        <v>3.252078</v>
      </c>
      <c r="C59" s="44">
        <v>5</v>
      </c>
      <c r="D59" s="44">
        <v>3.011574</v>
      </c>
      <c r="E59" s="44">
        <v>11.19786745189116</v>
      </c>
      <c r="F59" s="44">
        <v>11.159999999999942</v>
      </c>
      <c r="G59" s="44">
        <v>2.17</v>
      </c>
      <c r="H59" s="44">
        <v>4.875</v>
      </c>
      <c r="I59" s="44">
        <v>0</v>
      </c>
      <c r="J59" s="21">
        <v>40.666519451891105</v>
      </c>
      <c r="K59" s="75" t="str">
        <f>VLOOKUP(A59,'Overall scores and ranking'!$A$3:$D$71,4,FALSE)</f>
        <v>Fair</v>
      </c>
    </row>
    <row r="60" spans="1:11" x14ac:dyDescent="0.25">
      <c r="A60" s="19" t="s">
        <v>1400</v>
      </c>
      <c r="B60" s="44">
        <v>5.4718559999999998</v>
      </c>
      <c r="C60" s="44">
        <v>6.25</v>
      </c>
      <c r="D60" s="44">
        <v>2.3166435000000001</v>
      </c>
      <c r="E60" s="44">
        <v>9.3724999999999987</v>
      </c>
      <c r="F60" s="44">
        <v>6.7214526315789183</v>
      </c>
      <c r="G60" s="44">
        <v>2.17</v>
      </c>
      <c r="H60" s="44">
        <v>6.5</v>
      </c>
      <c r="I60" s="44">
        <v>0</v>
      </c>
      <c r="J60" s="21">
        <v>38.802452131578917</v>
      </c>
      <c r="K60" s="75" t="str">
        <f>VLOOKUP(A60,'Overall scores and ranking'!$A$3:$D$71,4,FALSE)</f>
        <v>Poor</v>
      </c>
    </row>
    <row r="61" spans="1:11" x14ac:dyDescent="0.25">
      <c r="A61" s="19" t="s">
        <v>2584</v>
      </c>
      <c r="B61" s="44">
        <v>5.4718559999999998</v>
      </c>
      <c r="C61" s="44">
        <v>5</v>
      </c>
      <c r="D61" s="44">
        <v>5.0966434999999999</v>
      </c>
      <c r="E61" s="44">
        <v>5.7049999999999983</v>
      </c>
      <c r="F61" s="44">
        <v>6.5099999999999927</v>
      </c>
      <c r="G61" s="44">
        <v>3.2549999999999999</v>
      </c>
      <c r="H61" s="44">
        <v>1.625</v>
      </c>
      <c r="I61" s="44">
        <v>2.165</v>
      </c>
      <c r="J61" s="21">
        <v>34.828499499999985</v>
      </c>
      <c r="K61" s="75" t="str">
        <f>VLOOKUP(A61,'Overall scores and ranking'!$A$3:$D$71,4,FALSE)</f>
        <v>Poor</v>
      </c>
    </row>
    <row r="62" spans="1:11" x14ac:dyDescent="0.25">
      <c r="A62" s="19" t="s">
        <v>1278</v>
      </c>
      <c r="B62" s="44">
        <v>5.4718559999999998</v>
      </c>
      <c r="C62" s="44">
        <v>5</v>
      </c>
      <c r="D62" s="44">
        <v>2.3166435000000001</v>
      </c>
      <c r="E62" s="44">
        <v>10.222256226503729</v>
      </c>
      <c r="F62" s="44">
        <v>7.5465778907424568</v>
      </c>
      <c r="G62" s="44">
        <v>3.2549999999999999</v>
      </c>
      <c r="H62" s="44">
        <v>6.5</v>
      </c>
      <c r="I62" s="44">
        <v>0</v>
      </c>
      <c r="J62" s="21">
        <v>40.312333617246189</v>
      </c>
      <c r="K62" s="75" t="str">
        <f>VLOOKUP(A62,'Overall scores and ranking'!$A$3:$D$71,4,FALSE)</f>
        <v>Fair</v>
      </c>
    </row>
    <row r="63" spans="1:11" x14ac:dyDescent="0.25">
      <c r="A63" s="19" t="s">
        <v>2543</v>
      </c>
      <c r="B63" s="44">
        <v>9.5904000000000007</v>
      </c>
      <c r="C63" s="44">
        <v>12.5</v>
      </c>
      <c r="D63" s="44">
        <v>9.7299999999999986</v>
      </c>
      <c r="E63" s="44">
        <v>12.90579159420632</v>
      </c>
      <c r="F63" s="44">
        <v>12.10410942932552</v>
      </c>
      <c r="G63" s="44">
        <v>8.9072758930460605</v>
      </c>
      <c r="H63" s="44">
        <v>12.10196706695038</v>
      </c>
      <c r="I63" s="44">
        <v>10.49719631548645</v>
      </c>
      <c r="J63" s="21">
        <v>88.336740299014721</v>
      </c>
      <c r="K63" s="75" t="str">
        <f>VLOOKUP(A63,'Overall scores and ranking'!$A$3:$D$71,4,FALSE)</f>
        <v>Very good</v>
      </c>
    </row>
    <row r="64" spans="1:11" x14ac:dyDescent="0.25">
      <c r="A64" s="19" t="s">
        <v>1359</v>
      </c>
      <c r="B64" s="44">
        <v>5.4279000000000002</v>
      </c>
      <c r="C64" s="44">
        <v>5</v>
      </c>
      <c r="D64" s="44">
        <v>2.3166435000000001</v>
      </c>
      <c r="E64" s="44">
        <v>8.8766308231991999</v>
      </c>
      <c r="F64" s="44">
        <v>8.3784300280635975</v>
      </c>
      <c r="G64" s="44">
        <v>1.085</v>
      </c>
      <c r="H64" s="44">
        <v>4.7125000000000004</v>
      </c>
      <c r="I64" s="44">
        <v>0</v>
      </c>
      <c r="J64" s="21">
        <v>35.797104351262796</v>
      </c>
      <c r="K64" s="75" t="str">
        <f>VLOOKUP(A64,'Overall scores and ranking'!$A$3:$D$71,4,FALSE)</f>
        <v>Poor</v>
      </c>
    </row>
    <row r="65" spans="1:11" x14ac:dyDescent="0.25">
      <c r="A65" s="19" t="s">
        <v>2176</v>
      </c>
      <c r="B65" s="44">
        <v>3.33</v>
      </c>
      <c r="C65" s="44">
        <v>3.75</v>
      </c>
      <c r="D65" s="44">
        <v>2.5482870000000002</v>
      </c>
      <c r="E65" s="44">
        <v>0</v>
      </c>
      <c r="F65" s="44">
        <v>0</v>
      </c>
      <c r="G65" s="44">
        <v>0</v>
      </c>
      <c r="H65" s="44">
        <v>0</v>
      </c>
      <c r="I65" s="44">
        <v>0</v>
      </c>
      <c r="J65" s="21">
        <v>9.6282870000000003</v>
      </c>
      <c r="K65" s="75" t="str">
        <f>VLOOKUP(A65,'Overall scores and ranking'!$A$3:$D$71,4,FALSE)</f>
        <v>Very Poor</v>
      </c>
    </row>
    <row r="66" spans="1:11" x14ac:dyDescent="0.25">
      <c r="A66" s="19" t="s">
        <v>1032</v>
      </c>
      <c r="B66" s="44">
        <v>3.2853779999999997</v>
      </c>
      <c r="C66" s="44">
        <v>6.25</v>
      </c>
      <c r="D66" s="44">
        <v>3.938148</v>
      </c>
      <c r="E66" s="44">
        <v>8.0383439281016891</v>
      </c>
      <c r="F66" s="44">
        <v>5.1149749526523269</v>
      </c>
      <c r="G66" s="44">
        <v>6.3980593307028997</v>
      </c>
      <c r="H66" s="44">
        <v>6.1071076282332211</v>
      </c>
      <c r="I66" s="44">
        <v>2.165</v>
      </c>
      <c r="J66" s="21">
        <v>41.297011839690136</v>
      </c>
      <c r="K66" s="75" t="str">
        <f>VLOOKUP(A66,'Overall scores and ranking'!$A$3:$D$71,4,FALSE)</f>
        <v>Fair</v>
      </c>
    </row>
    <row r="67" spans="1:11" x14ac:dyDescent="0.25">
      <c r="A67" s="19" t="s">
        <v>1605</v>
      </c>
      <c r="B67" s="44">
        <v>8.7798780000000001</v>
      </c>
      <c r="C67" s="44">
        <v>12.491883116883109</v>
      </c>
      <c r="D67" s="44">
        <v>12.51</v>
      </c>
      <c r="E67" s="44">
        <v>12.941362045350129</v>
      </c>
      <c r="F67" s="44">
        <v>12.959305634604371</v>
      </c>
      <c r="G67" s="44">
        <v>9.6796820175438416</v>
      </c>
      <c r="H67" s="44">
        <v>11.095175217974509</v>
      </c>
      <c r="I67" s="44">
        <v>10.17982577972708</v>
      </c>
      <c r="J67" s="21">
        <v>90.637111812083049</v>
      </c>
      <c r="K67" s="75" t="str">
        <f>VLOOKUP(A67,'Overall scores and ranking'!$A$3:$D$71,4,FALSE)</f>
        <v>Very good</v>
      </c>
    </row>
    <row r="68" spans="1:11" x14ac:dyDescent="0.25">
      <c r="A68" s="19" t="s">
        <v>2095</v>
      </c>
      <c r="B68" s="44">
        <v>6.4598669999999991</v>
      </c>
      <c r="C68" s="44">
        <v>6.25</v>
      </c>
      <c r="D68" s="44">
        <v>10.50468152866242</v>
      </c>
      <c r="E68" s="44">
        <v>10.06048522583364</v>
      </c>
      <c r="F68" s="44">
        <v>12.351864288729418</v>
      </c>
      <c r="G68" s="44">
        <v>4.34</v>
      </c>
      <c r="H68" s="44">
        <v>8.4035449019452901</v>
      </c>
      <c r="I68" s="44">
        <v>6.2784999999999798</v>
      </c>
      <c r="J68" s="21">
        <v>64.648942945170745</v>
      </c>
      <c r="K68" s="75" t="str">
        <f>VLOOKUP(A68,'Overall scores and ranking'!$A$3:$D$71,4,FALSE)</f>
        <v>Good</v>
      </c>
    </row>
    <row r="69" spans="1:11" x14ac:dyDescent="0.25">
      <c r="A69" s="19" t="s">
        <v>2707</v>
      </c>
      <c r="B69" s="44">
        <v>7.4035890000000002</v>
      </c>
      <c r="C69" s="44">
        <v>12.5</v>
      </c>
      <c r="D69" s="44">
        <v>9.3014677938722485</v>
      </c>
      <c r="E69" s="44">
        <v>12.37636242067083</v>
      </c>
      <c r="F69" s="44">
        <v>12.104544424297359</v>
      </c>
      <c r="G69" s="44">
        <v>12.132107434270161</v>
      </c>
      <c r="H69" s="44">
        <v>6.5535231980960997</v>
      </c>
      <c r="I69" s="44">
        <v>9.8973671804170298</v>
      </c>
      <c r="J69" s="21">
        <v>82.268961451623724</v>
      </c>
      <c r="K69" s="75" t="str">
        <f>VLOOKUP(A69,'Overall scores and ranking'!$A$3:$D$71,4,FALSE)</f>
        <v>Very good</v>
      </c>
    </row>
    <row r="70" spans="1:11" x14ac:dyDescent="0.25">
      <c r="A70" s="19" t="s">
        <v>2503</v>
      </c>
      <c r="B70" s="44">
        <v>5.5497779999999999</v>
      </c>
      <c r="C70" s="44">
        <v>6.25</v>
      </c>
      <c r="D70" s="44">
        <v>3.0115740000000004</v>
      </c>
      <c r="E70" s="44">
        <v>4.3465579999999999</v>
      </c>
      <c r="F70" s="44">
        <v>2.7899999999999974</v>
      </c>
      <c r="G70" s="44">
        <v>3.2549999999999999</v>
      </c>
      <c r="H70" s="44">
        <v>3.25</v>
      </c>
      <c r="I70" s="44">
        <v>2.165</v>
      </c>
      <c r="J70" s="21">
        <v>30.617909999999998</v>
      </c>
      <c r="K70" s="75" t="str">
        <f>VLOOKUP(A70,'Overall scores and ranking'!$A$3:$D$71,4,FALSE)</f>
        <v>Poor</v>
      </c>
    </row>
    <row r="71" spans="1:11" x14ac:dyDescent="0.25">
      <c r="A71" s="19" t="s">
        <v>2989</v>
      </c>
      <c r="B71" s="44">
        <v>2.0422889999999998</v>
      </c>
      <c r="C71" s="44">
        <v>3.75</v>
      </c>
      <c r="D71" s="44">
        <v>2.7799304999999999</v>
      </c>
      <c r="E71" s="44">
        <v>0.54327899999999996</v>
      </c>
      <c r="F71" s="44">
        <v>0</v>
      </c>
      <c r="G71" s="44">
        <v>0</v>
      </c>
      <c r="H71" s="44">
        <v>0</v>
      </c>
      <c r="I71" s="44">
        <v>0</v>
      </c>
      <c r="J71" s="21">
        <v>9.1154984999999993</v>
      </c>
      <c r="K71" s="75" t="str">
        <f>VLOOKUP(A71,'Overall scores and ranking'!$A$3:$D$71,4,FALSE)</f>
        <v>Very Poor</v>
      </c>
    </row>
    <row r="72" spans="1:11" x14ac:dyDescent="0.25">
      <c r="A72" s="19" t="s">
        <v>3188</v>
      </c>
      <c r="B72" s="44">
        <v>2.6360279999999996</v>
      </c>
      <c r="C72" s="44">
        <v>7.5</v>
      </c>
      <c r="D72" s="44">
        <v>0.69493050000000001</v>
      </c>
      <c r="E72" s="44">
        <v>7.8770361527966939</v>
      </c>
      <c r="F72" s="44">
        <v>11.55829772723291</v>
      </c>
      <c r="G72" s="44">
        <v>4.3520225718194201</v>
      </c>
      <c r="H72" s="44">
        <v>5.5487859097127199</v>
      </c>
      <c r="I72" s="44">
        <v>2.23563645690834</v>
      </c>
      <c r="J72" s="21">
        <v>42.402737318470081</v>
      </c>
      <c r="K72" s="75" t="str">
        <f>VLOOKUP(A72,'Overall scores and ranking'!$A$3:$D$71,4,FALSE)</f>
        <v>Fair</v>
      </c>
    </row>
    <row r="73" spans="1:11" x14ac:dyDescent="0.25">
      <c r="A73" s="19"/>
      <c r="B73" s="44"/>
      <c r="C73" s="44"/>
      <c r="D73" s="44"/>
      <c r="E73" s="44"/>
      <c r="F73" s="44"/>
      <c r="G73" s="44"/>
      <c r="H73" s="44"/>
      <c r="I73" s="44"/>
      <c r="J73" s="21"/>
      <c r="K73" s="75"/>
    </row>
    <row r="74" spans="1:11" x14ac:dyDescent="0.25">
      <c r="A74" s="46" t="s">
        <v>3095</v>
      </c>
      <c r="B74" s="68">
        <f t="shared" ref="B74:J74" si="0">SUBTOTAL(1,B5:B72)</f>
        <v>4.6001795294117631</v>
      </c>
      <c r="C74" s="68">
        <f t="shared" si="0"/>
        <v>7.2154655093061502</v>
      </c>
      <c r="D74" s="68">
        <f t="shared" si="0"/>
        <v>4.7039240430622833</v>
      </c>
      <c r="E74" s="68">
        <f t="shared" si="0"/>
        <v>6.6115567133926945</v>
      </c>
      <c r="F74" s="68">
        <f t="shared" si="0"/>
        <v>6.0390621171799745</v>
      </c>
      <c r="G74" s="68">
        <f t="shared" si="0"/>
        <v>3.5493500512067691</v>
      </c>
      <c r="H74" s="68">
        <f t="shared" si="0"/>
        <v>4.089605521947</v>
      </c>
      <c r="I74" s="68">
        <f t="shared" si="0"/>
        <v>2.1179062055730191</v>
      </c>
      <c r="J74" s="68">
        <f t="shared" si="0"/>
        <v>38.92704969107966</v>
      </c>
    </row>
    <row r="75" spans="1:11" x14ac:dyDescent="0.25">
      <c r="A75" s="70" t="s">
        <v>3096</v>
      </c>
      <c r="B75" s="71">
        <v>10</v>
      </c>
      <c r="C75" s="71">
        <v>12.5</v>
      </c>
      <c r="D75" s="71">
        <v>12.5</v>
      </c>
      <c r="E75" s="71">
        <v>13</v>
      </c>
      <c r="F75" s="71">
        <v>13</v>
      </c>
      <c r="G75" s="71">
        <v>13</v>
      </c>
      <c r="H75" s="71">
        <v>13</v>
      </c>
      <c r="I75" s="71">
        <v>13</v>
      </c>
      <c r="J75" s="71">
        <f>SUM(B75:I75)</f>
        <v>100</v>
      </c>
      <c r="K75" s="77"/>
    </row>
    <row r="77" spans="1:11" x14ac:dyDescent="0.25">
      <c r="A77" t="s">
        <v>3160</v>
      </c>
      <c r="B77">
        <f>COUNTIF(B5:B72, "&gt;9")</f>
        <v>5</v>
      </c>
      <c r="C77">
        <f>COUNTIF(C5:C72, "&gt;11.25")</f>
        <v>13</v>
      </c>
      <c r="D77">
        <f>COUNTIF(D5:D72, "&gt;11.25")</f>
        <v>6</v>
      </c>
      <c r="E77">
        <f>COUNTIF(E5:E72, "&gt;11.7")</f>
        <v>16</v>
      </c>
      <c r="F77">
        <f t="shared" ref="F77:I77" si="1">COUNTIF(F5:F72, "&gt;11.7")</f>
        <v>11</v>
      </c>
      <c r="G77">
        <f t="shared" si="1"/>
        <v>1</v>
      </c>
      <c r="H77">
        <f t="shared" si="1"/>
        <v>3</v>
      </c>
      <c r="I77">
        <f t="shared" si="1"/>
        <v>1</v>
      </c>
    </row>
  </sheetData>
  <autoFilter ref="A4:K75"/>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I73"/>
  <sheetViews>
    <sheetView workbookViewId="0">
      <selection sqref="A1:XFD1"/>
    </sheetView>
  </sheetViews>
  <sheetFormatPr defaultRowHeight="15" x14ac:dyDescent="0.25"/>
  <cols>
    <col min="1" max="1" width="20.140625" customWidth="1"/>
    <col min="2" max="2" width="16.28515625" bestFit="1" customWidth="1"/>
    <col min="3" max="3" width="20.7109375" bestFit="1" customWidth="1"/>
    <col min="4" max="4" width="20.5703125" bestFit="1" customWidth="1"/>
    <col min="5" max="5" width="12.5703125" bestFit="1" customWidth="1"/>
    <col min="6" max="6" width="20.7109375" bestFit="1" customWidth="1"/>
    <col min="7" max="7" width="25.7109375" bestFit="1" customWidth="1"/>
    <col min="8" max="8" width="15.85546875" bestFit="1" customWidth="1"/>
    <col min="9" max="9" width="19.85546875" bestFit="1" customWidth="1"/>
    <col min="10" max="10" width="11.28515625" bestFit="1" customWidth="1"/>
  </cols>
  <sheetData>
    <row r="1" spans="1:9" s="168" customFormat="1" ht="21" x14ac:dyDescent="0.35">
      <c r="A1" s="167" t="s">
        <v>3266</v>
      </c>
    </row>
    <row r="2" spans="1:9" x14ac:dyDescent="0.25">
      <c r="A2" s="20"/>
    </row>
    <row r="3" spans="1:9" x14ac:dyDescent="0.25">
      <c r="A3" s="20" t="s">
        <v>3099</v>
      </c>
      <c r="B3">
        <v>3</v>
      </c>
      <c r="C3">
        <v>5</v>
      </c>
      <c r="D3">
        <v>3</v>
      </c>
      <c r="E3">
        <v>8</v>
      </c>
      <c r="F3">
        <v>7</v>
      </c>
      <c r="G3">
        <v>6</v>
      </c>
      <c r="H3">
        <v>4</v>
      </c>
      <c r="I3">
        <v>3</v>
      </c>
    </row>
    <row r="4" spans="1:9" x14ac:dyDescent="0.25">
      <c r="A4" s="18" t="s">
        <v>3060</v>
      </c>
      <c r="B4" s="18" t="s">
        <v>3043</v>
      </c>
    </row>
    <row r="5" spans="1:9" x14ac:dyDescent="0.25">
      <c r="A5" s="18" t="s">
        <v>3042</v>
      </c>
      <c r="B5" t="s">
        <v>164</v>
      </c>
      <c r="C5" t="s">
        <v>147</v>
      </c>
      <c r="D5" t="s">
        <v>135</v>
      </c>
      <c r="E5" t="s">
        <v>34</v>
      </c>
      <c r="F5" t="s">
        <v>64</v>
      </c>
      <c r="G5" t="s">
        <v>115</v>
      </c>
      <c r="H5" t="s">
        <v>88</v>
      </c>
      <c r="I5" t="s">
        <v>102</v>
      </c>
    </row>
    <row r="6" spans="1:9" x14ac:dyDescent="0.25">
      <c r="A6" s="19" t="s">
        <v>2747</v>
      </c>
      <c r="B6" s="44">
        <v>193.99</v>
      </c>
      <c r="C6" s="44">
        <v>498</v>
      </c>
      <c r="D6" s="44">
        <v>300</v>
      </c>
      <c r="E6" s="44">
        <v>738.83324468090007</v>
      </c>
      <c r="F6" s="44">
        <v>643.11874999999998</v>
      </c>
      <c r="G6" s="44">
        <v>264.86864664870001</v>
      </c>
      <c r="H6" s="44">
        <v>197.72125</v>
      </c>
      <c r="I6" s="44">
        <v>159.75937499999998</v>
      </c>
    </row>
    <row r="7" spans="1:9" x14ac:dyDescent="0.25">
      <c r="A7" s="19" t="s">
        <v>2381</v>
      </c>
      <c r="B7" s="44">
        <v>257.65999999999997</v>
      </c>
      <c r="C7" s="44">
        <v>493.75</v>
      </c>
      <c r="D7" s="44">
        <v>300</v>
      </c>
      <c r="E7" s="44">
        <v>759.95197438629998</v>
      </c>
      <c r="F7" s="44">
        <v>633.99946638209997</v>
      </c>
      <c r="G7" s="44">
        <v>454.04709962959998</v>
      </c>
      <c r="H7" s="44">
        <v>184.23692636070001</v>
      </c>
      <c r="I7" s="44">
        <v>239.92796157949999</v>
      </c>
    </row>
    <row r="8" spans="1:9" x14ac:dyDescent="0.25">
      <c r="A8" s="19" t="s">
        <v>2299</v>
      </c>
      <c r="B8" s="44">
        <v>104.66</v>
      </c>
      <c r="C8" s="44">
        <v>450</v>
      </c>
      <c r="D8" s="44">
        <v>127.7766666667</v>
      </c>
      <c r="E8" s="44">
        <v>658.83509403289997</v>
      </c>
      <c r="F8" s="44">
        <v>413.29147260269997</v>
      </c>
      <c r="G8" s="44">
        <v>200</v>
      </c>
      <c r="H8" s="44">
        <v>94.845890410999999</v>
      </c>
      <c r="I8" s="44">
        <v>0</v>
      </c>
    </row>
    <row r="9" spans="1:9" x14ac:dyDescent="0.25">
      <c r="A9" s="19" t="s">
        <v>28</v>
      </c>
      <c r="B9" s="44">
        <v>66.66</v>
      </c>
      <c r="C9" s="44">
        <v>250</v>
      </c>
      <c r="D9" s="44">
        <v>111.11</v>
      </c>
      <c r="E9" s="44">
        <v>166.64999999999998</v>
      </c>
      <c r="F9" s="44">
        <v>0</v>
      </c>
      <c r="G9" s="44">
        <v>100</v>
      </c>
      <c r="H9" s="44">
        <v>33.33</v>
      </c>
      <c r="I9" s="44">
        <v>0</v>
      </c>
    </row>
    <row r="10" spans="1:9" x14ac:dyDescent="0.25">
      <c r="A10" s="19" t="s">
        <v>1931</v>
      </c>
      <c r="B10" s="44">
        <v>125.33</v>
      </c>
      <c r="C10" s="44">
        <v>200</v>
      </c>
      <c r="D10" s="44">
        <v>100</v>
      </c>
      <c r="E10" s="44">
        <v>99.99</v>
      </c>
      <c r="F10" s="44">
        <v>33.33</v>
      </c>
      <c r="G10" s="44">
        <v>100</v>
      </c>
      <c r="H10" s="44">
        <v>33.33</v>
      </c>
      <c r="I10" s="44">
        <v>0</v>
      </c>
    </row>
    <row r="11" spans="1:9" x14ac:dyDescent="0.25">
      <c r="A11" s="19" t="s">
        <v>1156</v>
      </c>
      <c r="B11" s="44">
        <v>133.32999999999998</v>
      </c>
      <c r="C11" s="44">
        <v>50</v>
      </c>
      <c r="D11" s="44">
        <v>0</v>
      </c>
      <c r="E11" s="44">
        <v>166.64999999999998</v>
      </c>
      <c r="F11" s="44">
        <v>66.66</v>
      </c>
      <c r="G11" s="44">
        <v>0</v>
      </c>
      <c r="H11" s="44">
        <v>0</v>
      </c>
      <c r="I11" s="44">
        <v>0</v>
      </c>
    </row>
    <row r="12" spans="1:9" x14ac:dyDescent="0.25">
      <c r="A12" s="19" t="s">
        <v>1849</v>
      </c>
      <c r="B12" s="44">
        <v>100</v>
      </c>
      <c r="C12" s="44">
        <v>150</v>
      </c>
      <c r="D12" s="44">
        <v>0</v>
      </c>
      <c r="E12" s="44">
        <v>0</v>
      </c>
      <c r="F12" s="44">
        <v>0</v>
      </c>
      <c r="G12" s="44">
        <v>50</v>
      </c>
      <c r="H12" s="44">
        <v>0</v>
      </c>
      <c r="I12" s="44">
        <v>0</v>
      </c>
    </row>
    <row r="13" spans="1:9" x14ac:dyDescent="0.25">
      <c r="A13" s="19" t="s">
        <v>910</v>
      </c>
      <c r="B13" s="44">
        <v>260.65999999999997</v>
      </c>
      <c r="C13" s="44">
        <v>470.27027027029999</v>
      </c>
      <c r="D13" s="44">
        <v>300</v>
      </c>
      <c r="E13" s="44">
        <v>733.2095782074</v>
      </c>
      <c r="F13" s="44">
        <v>541.66</v>
      </c>
      <c r="G13" s="44">
        <v>245</v>
      </c>
      <c r="H13" s="44">
        <v>163.00795053000002</v>
      </c>
      <c r="I13" s="44">
        <v>140.51186291739998</v>
      </c>
    </row>
    <row r="14" spans="1:9" x14ac:dyDescent="0.25">
      <c r="A14" s="19" t="s">
        <v>2869</v>
      </c>
      <c r="B14" s="44">
        <v>66.66</v>
      </c>
      <c r="C14" s="44">
        <v>0</v>
      </c>
      <c r="D14" s="44">
        <v>0</v>
      </c>
      <c r="E14" s="44">
        <v>0</v>
      </c>
      <c r="F14" s="44">
        <v>0</v>
      </c>
      <c r="G14" s="44">
        <v>0</v>
      </c>
      <c r="H14" s="44">
        <v>0</v>
      </c>
      <c r="I14" s="44">
        <v>0</v>
      </c>
    </row>
    <row r="15" spans="1:9" x14ac:dyDescent="0.25">
      <c r="A15" s="19" t="s">
        <v>173</v>
      </c>
      <c r="B15" s="44">
        <v>100</v>
      </c>
      <c r="C15" s="44">
        <v>200</v>
      </c>
      <c r="D15" s="44">
        <v>16.664999999999999</v>
      </c>
      <c r="E15" s="44">
        <v>0</v>
      </c>
      <c r="F15" s="44">
        <v>33.33</v>
      </c>
      <c r="G15" s="44">
        <v>100</v>
      </c>
      <c r="H15" s="44">
        <v>0</v>
      </c>
      <c r="I15" s="44">
        <v>0</v>
      </c>
    </row>
    <row r="16" spans="1:9" x14ac:dyDescent="0.25">
      <c r="A16" s="19" t="s">
        <v>1972</v>
      </c>
      <c r="B16" s="44">
        <v>0</v>
      </c>
      <c r="C16" s="44">
        <v>100</v>
      </c>
      <c r="D16" s="44">
        <v>0</v>
      </c>
      <c r="E16" s="44">
        <v>66.66</v>
      </c>
      <c r="F16" s="44">
        <v>66.66</v>
      </c>
      <c r="G16" s="44">
        <v>0</v>
      </c>
      <c r="H16" s="44">
        <v>33.33</v>
      </c>
      <c r="I16" s="44">
        <v>0</v>
      </c>
    </row>
    <row r="17" spans="1:9" x14ac:dyDescent="0.25">
      <c r="A17" s="19" t="s">
        <v>214</v>
      </c>
      <c r="B17" s="44">
        <v>106.16</v>
      </c>
      <c r="C17" s="44">
        <v>250</v>
      </c>
      <c r="D17" s="44">
        <v>150</v>
      </c>
      <c r="E17" s="44">
        <v>249.99</v>
      </c>
      <c r="F17" s="44">
        <v>183.32499999999999</v>
      </c>
      <c r="G17" s="44">
        <v>200</v>
      </c>
      <c r="H17" s="44">
        <v>50</v>
      </c>
      <c r="I17" s="44">
        <v>0</v>
      </c>
    </row>
    <row r="18" spans="1:9" x14ac:dyDescent="0.25">
      <c r="A18" s="19" t="s">
        <v>2787</v>
      </c>
      <c r="B18" s="44">
        <v>201.32</v>
      </c>
      <c r="C18" s="44">
        <v>200</v>
      </c>
      <c r="D18" s="44">
        <v>116.66499999999999</v>
      </c>
      <c r="E18" s="44">
        <v>620.12970444389998</v>
      </c>
      <c r="F18" s="44">
        <v>553.28407399529999</v>
      </c>
      <c r="G18" s="44">
        <v>251.29172868379999</v>
      </c>
      <c r="H18" s="44">
        <v>154.62577078460001</v>
      </c>
      <c r="I18" s="44">
        <v>50.636295981300002</v>
      </c>
    </row>
    <row r="19" spans="1:9" x14ac:dyDescent="0.25">
      <c r="A19" s="19" t="s">
        <v>255</v>
      </c>
      <c r="B19" s="44">
        <v>66.66</v>
      </c>
      <c r="C19" s="44">
        <v>250</v>
      </c>
      <c r="D19" s="44">
        <v>61.11</v>
      </c>
      <c r="E19" s="44">
        <v>199.97999999999996</v>
      </c>
      <c r="F19" s="44">
        <v>199.99499999999998</v>
      </c>
      <c r="G19" s="44">
        <v>150</v>
      </c>
      <c r="H19" s="44">
        <v>100</v>
      </c>
      <c r="I19" s="44">
        <v>0</v>
      </c>
    </row>
    <row r="20" spans="1:9" x14ac:dyDescent="0.25">
      <c r="A20" s="19" t="s">
        <v>868</v>
      </c>
      <c r="B20" s="44">
        <v>287</v>
      </c>
      <c r="C20" s="44">
        <v>468.75</v>
      </c>
      <c r="D20" s="44">
        <v>266.6666666667</v>
      </c>
      <c r="E20" s="44">
        <v>740.26471531050004</v>
      </c>
      <c r="F20" s="44">
        <v>654.57705532039995</v>
      </c>
      <c r="G20" s="44">
        <v>150</v>
      </c>
      <c r="H20" s="44">
        <v>256.57088249590004</v>
      </c>
      <c r="I20" s="44">
        <v>0</v>
      </c>
    </row>
    <row r="21" spans="1:9" x14ac:dyDescent="0.25">
      <c r="A21" s="19" t="s">
        <v>1685</v>
      </c>
      <c r="B21" s="44">
        <v>259</v>
      </c>
      <c r="C21" s="44">
        <v>450</v>
      </c>
      <c r="D21" s="44">
        <v>266.6666666667</v>
      </c>
      <c r="E21" s="44">
        <v>575.6629853861001</v>
      </c>
      <c r="F21" s="44">
        <v>505.55323590809996</v>
      </c>
      <c r="G21" s="44">
        <v>150</v>
      </c>
      <c r="H21" s="44">
        <v>145</v>
      </c>
      <c r="I21" s="44">
        <v>50</v>
      </c>
    </row>
    <row r="22" spans="1:9" x14ac:dyDescent="0.25">
      <c r="A22" s="19" t="s">
        <v>1482</v>
      </c>
      <c r="B22" s="44">
        <v>277</v>
      </c>
      <c r="C22" s="44">
        <v>450</v>
      </c>
      <c r="D22" s="44">
        <v>200</v>
      </c>
      <c r="E22" s="44">
        <v>767.76734501459998</v>
      </c>
      <c r="F22" s="44">
        <v>596.875</v>
      </c>
      <c r="G22" s="44">
        <v>150</v>
      </c>
      <c r="H22" s="44">
        <v>187.14887640450002</v>
      </c>
      <c r="I22" s="44">
        <v>0</v>
      </c>
    </row>
    <row r="23" spans="1:9" x14ac:dyDescent="0.25">
      <c r="A23" s="19" t="s">
        <v>2217</v>
      </c>
      <c r="B23" s="44">
        <v>291</v>
      </c>
      <c r="C23" s="44">
        <v>486.6666666667</v>
      </c>
      <c r="D23" s="44">
        <v>266.6666666667</v>
      </c>
      <c r="E23" s="44">
        <v>749.86348122880008</v>
      </c>
      <c r="F23" s="44">
        <v>661.01578046049997</v>
      </c>
      <c r="G23" s="44">
        <v>150</v>
      </c>
      <c r="H23" s="44">
        <v>256.19753712750003</v>
      </c>
      <c r="I23" s="44">
        <v>0</v>
      </c>
    </row>
    <row r="24" spans="1:9" x14ac:dyDescent="0.25">
      <c r="A24" s="19" t="s">
        <v>295</v>
      </c>
      <c r="B24" s="44">
        <v>133.32</v>
      </c>
      <c r="C24" s="44">
        <v>200</v>
      </c>
      <c r="D24" s="44">
        <v>83.329999999999984</v>
      </c>
      <c r="E24" s="44">
        <v>183.32</v>
      </c>
      <c r="F24" s="44">
        <v>116.66</v>
      </c>
      <c r="G24" s="44">
        <v>150</v>
      </c>
      <c r="H24" s="44">
        <v>100</v>
      </c>
      <c r="I24" s="44">
        <v>0</v>
      </c>
    </row>
    <row r="25" spans="1:9" x14ac:dyDescent="0.25">
      <c r="A25" s="19" t="s">
        <v>335</v>
      </c>
      <c r="B25" s="44">
        <v>166.66</v>
      </c>
      <c r="C25" s="44">
        <v>250</v>
      </c>
      <c r="D25" s="44">
        <v>11.11</v>
      </c>
      <c r="E25" s="44">
        <v>333.33</v>
      </c>
      <c r="F25" s="44">
        <v>216.65999999999997</v>
      </c>
      <c r="G25" s="44">
        <v>150</v>
      </c>
      <c r="H25" s="44">
        <v>100</v>
      </c>
      <c r="I25" s="44">
        <v>0</v>
      </c>
    </row>
    <row r="26" spans="1:9" x14ac:dyDescent="0.25">
      <c r="A26" s="19" t="s">
        <v>991</v>
      </c>
      <c r="B26" s="44">
        <v>123</v>
      </c>
      <c r="C26" s="44">
        <v>250</v>
      </c>
      <c r="D26" s="44">
        <v>166.6666666667</v>
      </c>
      <c r="E26" s="44">
        <v>483.64674907299997</v>
      </c>
      <c r="F26" s="44">
        <v>568.83189122370004</v>
      </c>
      <c r="G26" s="44">
        <v>150</v>
      </c>
      <c r="H26" s="44">
        <v>223.32999999999998</v>
      </c>
      <c r="I26" s="44">
        <v>0</v>
      </c>
    </row>
    <row r="27" spans="1:9" x14ac:dyDescent="0.25">
      <c r="A27" s="19" t="s">
        <v>2135</v>
      </c>
      <c r="B27" s="44">
        <v>130.99</v>
      </c>
      <c r="C27" s="44">
        <v>250</v>
      </c>
      <c r="D27" s="44">
        <v>50</v>
      </c>
      <c r="E27" s="44">
        <v>183.315</v>
      </c>
      <c r="F27" s="44">
        <v>133.32</v>
      </c>
      <c r="G27" s="44">
        <v>150</v>
      </c>
      <c r="H27" s="44">
        <v>33.33</v>
      </c>
      <c r="I27" s="44">
        <v>50</v>
      </c>
    </row>
    <row r="28" spans="1:9" x14ac:dyDescent="0.25">
      <c r="A28" s="19" t="s">
        <v>376</v>
      </c>
      <c r="B28" s="44">
        <v>73.16</v>
      </c>
      <c r="C28" s="44">
        <v>200</v>
      </c>
      <c r="D28" s="44">
        <v>16.664999999999999</v>
      </c>
      <c r="E28" s="44">
        <v>0</v>
      </c>
      <c r="F28" s="44">
        <v>0</v>
      </c>
      <c r="G28" s="44">
        <v>100</v>
      </c>
      <c r="H28" s="44">
        <v>0</v>
      </c>
      <c r="I28" s="44">
        <v>0</v>
      </c>
    </row>
    <row r="29" spans="1:9" x14ac:dyDescent="0.25">
      <c r="A29" s="19" t="s">
        <v>1073</v>
      </c>
      <c r="B29" s="44">
        <v>103.16</v>
      </c>
      <c r="C29" s="44">
        <v>450</v>
      </c>
      <c r="D29" s="44">
        <v>100</v>
      </c>
      <c r="E29" s="44">
        <v>523.53416902539993</v>
      </c>
      <c r="F29" s="44">
        <v>500</v>
      </c>
      <c r="G29" s="44">
        <v>50</v>
      </c>
      <c r="H29" s="44">
        <v>270.08775653549998</v>
      </c>
      <c r="I29" s="44">
        <v>0</v>
      </c>
    </row>
    <row r="30" spans="1:9" x14ac:dyDescent="0.25">
      <c r="A30" s="19" t="s">
        <v>1319</v>
      </c>
      <c r="B30" s="44">
        <v>131.32999999999998</v>
      </c>
      <c r="C30" s="44">
        <v>500</v>
      </c>
      <c r="D30" s="44">
        <v>300</v>
      </c>
      <c r="E30" s="44">
        <v>800</v>
      </c>
      <c r="F30" s="44">
        <v>700</v>
      </c>
      <c r="G30" s="44">
        <v>497.13740458019998</v>
      </c>
      <c r="H30" s="44">
        <v>364.75543159130001</v>
      </c>
      <c r="I30" s="44">
        <v>200</v>
      </c>
    </row>
    <row r="31" spans="1:9" x14ac:dyDescent="0.25">
      <c r="A31" s="19" t="s">
        <v>2421</v>
      </c>
      <c r="B31" s="44">
        <v>127.99</v>
      </c>
      <c r="C31" s="44">
        <v>402.0161290323</v>
      </c>
      <c r="D31" s="44">
        <v>166.66499999999999</v>
      </c>
      <c r="E31" s="44">
        <v>693.65979381440002</v>
      </c>
      <c r="F31" s="44">
        <v>524.30412371130001</v>
      </c>
      <c r="G31" s="44">
        <v>150</v>
      </c>
      <c r="H31" s="44">
        <v>190</v>
      </c>
      <c r="I31" s="44">
        <v>50.144974226800002</v>
      </c>
    </row>
    <row r="32" spans="1:9" x14ac:dyDescent="0.25">
      <c r="A32" s="19" t="s">
        <v>2462</v>
      </c>
      <c r="B32" s="44">
        <v>94.66</v>
      </c>
      <c r="C32" s="44">
        <v>402.0161290323</v>
      </c>
      <c r="D32" s="44">
        <v>166.66499999999999</v>
      </c>
      <c r="E32" s="44">
        <v>685.3386004514</v>
      </c>
      <c r="F32" s="44">
        <v>483.13226862300002</v>
      </c>
      <c r="G32" s="44">
        <v>100</v>
      </c>
      <c r="H32" s="44">
        <v>190</v>
      </c>
      <c r="I32" s="44">
        <v>50.101580135399999</v>
      </c>
    </row>
    <row r="33" spans="1:9" x14ac:dyDescent="0.25">
      <c r="A33" s="19" t="s">
        <v>1238</v>
      </c>
      <c r="B33" s="44">
        <v>170.99</v>
      </c>
      <c r="C33" s="44">
        <v>350</v>
      </c>
      <c r="D33" s="44">
        <v>133.33333333339999</v>
      </c>
      <c r="E33" s="44">
        <v>789.14309484190005</v>
      </c>
      <c r="F33" s="44">
        <v>600</v>
      </c>
      <c r="G33" s="44">
        <v>533.31375811549992</v>
      </c>
      <c r="H33" s="44">
        <v>216.4154159734</v>
      </c>
      <c r="I33" s="44">
        <v>246.29783693849998</v>
      </c>
    </row>
    <row r="34" spans="1:9" x14ac:dyDescent="0.25">
      <c r="A34" s="19" t="s">
        <v>417</v>
      </c>
      <c r="B34" s="44">
        <v>66.66</v>
      </c>
      <c r="C34" s="44">
        <v>100</v>
      </c>
      <c r="D34" s="44">
        <v>0</v>
      </c>
      <c r="E34" s="44">
        <v>0</v>
      </c>
      <c r="F34" s="44">
        <v>0</v>
      </c>
      <c r="G34" s="44">
        <v>0</v>
      </c>
      <c r="H34" s="44">
        <v>0</v>
      </c>
      <c r="I34" s="44">
        <v>0</v>
      </c>
    </row>
    <row r="35" spans="1:9" x14ac:dyDescent="0.25">
      <c r="A35" s="19" t="s">
        <v>458</v>
      </c>
      <c r="B35" s="44">
        <v>66.66</v>
      </c>
      <c r="C35" s="44">
        <v>200</v>
      </c>
      <c r="D35" s="44">
        <v>0</v>
      </c>
      <c r="E35" s="44">
        <v>0</v>
      </c>
      <c r="F35" s="44">
        <v>0</v>
      </c>
      <c r="G35" s="44">
        <v>50</v>
      </c>
      <c r="H35" s="44">
        <v>0</v>
      </c>
      <c r="I35" s="44">
        <v>0</v>
      </c>
    </row>
    <row r="36" spans="1:9" x14ac:dyDescent="0.25">
      <c r="A36" s="19" t="s">
        <v>951</v>
      </c>
      <c r="B36" s="44">
        <v>173.99</v>
      </c>
      <c r="C36" s="44">
        <v>500</v>
      </c>
      <c r="D36" s="44">
        <v>122.2216666667</v>
      </c>
      <c r="E36" s="44">
        <v>734.59088472849999</v>
      </c>
      <c r="F36" s="44">
        <v>568.99149922719994</v>
      </c>
      <c r="G36" s="44">
        <v>493.07460167099998</v>
      </c>
      <c r="H36" s="44">
        <v>185.54868624420001</v>
      </c>
      <c r="I36" s="44">
        <v>259.57882534779998</v>
      </c>
    </row>
    <row r="37" spans="1:9" x14ac:dyDescent="0.25">
      <c r="A37" s="19" t="s">
        <v>499</v>
      </c>
      <c r="B37" s="44">
        <v>99.99</v>
      </c>
      <c r="C37" s="44">
        <v>250</v>
      </c>
      <c r="D37" s="44">
        <v>66.664999999999992</v>
      </c>
      <c r="E37" s="44">
        <v>266.65999999999997</v>
      </c>
      <c r="F37" s="44">
        <v>149.995</v>
      </c>
      <c r="G37" s="44">
        <v>200</v>
      </c>
      <c r="H37" s="44">
        <v>83.329999999999984</v>
      </c>
      <c r="I37" s="44">
        <v>116.66499999999999</v>
      </c>
    </row>
    <row r="38" spans="1:9" x14ac:dyDescent="0.25">
      <c r="A38" s="19" t="s">
        <v>1441</v>
      </c>
      <c r="B38" s="44">
        <v>159</v>
      </c>
      <c r="C38" s="44">
        <v>300</v>
      </c>
      <c r="D38" s="44">
        <v>183.33333333339999</v>
      </c>
      <c r="E38" s="44">
        <v>462.48067178510001</v>
      </c>
      <c r="F38" s="44">
        <v>441.74664107490003</v>
      </c>
      <c r="G38" s="44">
        <v>100</v>
      </c>
      <c r="H38" s="44">
        <v>126.2599154112</v>
      </c>
      <c r="I38" s="44">
        <v>0</v>
      </c>
    </row>
    <row r="39" spans="1:9" x14ac:dyDescent="0.25">
      <c r="A39" s="19" t="s">
        <v>2340</v>
      </c>
      <c r="B39" s="44">
        <v>33.33</v>
      </c>
      <c r="C39" s="44">
        <v>250</v>
      </c>
      <c r="D39" s="44">
        <v>50</v>
      </c>
      <c r="E39" s="44">
        <v>133.32</v>
      </c>
      <c r="F39" s="44">
        <v>99.99</v>
      </c>
      <c r="G39" s="44">
        <v>50</v>
      </c>
      <c r="H39" s="44">
        <v>33.33</v>
      </c>
      <c r="I39" s="44">
        <v>0</v>
      </c>
    </row>
    <row r="40" spans="1:9" x14ac:dyDescent="0.25">
      <c r="A40" s="19" t="s">
        <v>539</v>
      </c>
      <c r="B40" s="44">
        <v>99.99</v>
      </c>
      <c r="C40" s="44">
        <v>450</v>
      </c>
      <c r="D40" s="44">
        <v>166.6666666667</v>
      </c>
      <c r="E40" s="44">
        <v>420.23142857139999</v>
      </c>
      <c r="F40" s="44">
        <v>241.64999999999998</v>
      </c>
      <c r="G40" s="44">
        <v>200</v>
      </c>
      <c r="H40" s="44">
        <v>0</v>
      </c>
      <c r="I40" s="44">
        <v>0</v>
      </c>
    </row>
    <row r="41" spans="1:9" x14ac:dyDescent="0.25">
      <c r="A41" s="19" t="s">
        <v>581</v>
      </c>
      <c r="B41" s="44">
        <v>99.99</v>
      </c>
      <c r="C41" s="44">
        <v>250</v>
      </c>
      <c r="D41" s="44">
        <v>50</v>
      </c>
      <c r="E41" s="44">
        <v>99.99</v>
      </c>
      <c r="F41" s="44">
        <v>83.324999999999989</v>
      </c>
      <c r="G41" s="44">
        <v>50</v>
      </c>
      <c r="H41" s="44">
        <v>33.33</v>
      </c>
      <c r="I41" s="44">
        <v>0</v>
      </c>
    </row>
    <row r="42" spans="1:9" x14ac:dyDescent="0.25">
      <c r="A42" s="19" t="s">
        <v>622</v>
      </c>
      <c r="B42" s="44">
        <v>106.16</v>
      </c>
      <c r="C42" s="44">
        <v>250</v>
      </c>
      <c r="D42" s="44">
        <v>116.6666666667</v>
      </c>
      <c r="E42" s="44">
        <v>216.66</v>
      </c>
      <c r="F42" s="44">
        <v>316.65999999999997</v>
      </c>
      <c r="G42" s="44">
        <v>250</v>
      </c>
      <c r="H42" s="44">
        <v>50</v>
      </c>
      <c r="I42" s="44">
        <v>133.32999999999998</v>
      </c>
    </row>
    <row r="43" spans="1:9" x14ac:dyDescent="0.25">
      <c r="A43" s="19" t="s">
        <v>663</v>
      </c>
      <c r="B43" s="44">
        <v>66.66</v>
      </c>
      <c r="C43" s="44">
        <v>200</v>
      </c>
      <c r="D43" s="44">
        <v>66.664999999999992</v>
      </c>
      <c r="E43" s="44">
        <v>283.32499999999999</v>
      </c>
      <c r="F43" s="44">
        <v>150</v>
      </c>
      <c r="G43" s="44">
        <v>0</v>
      </c>
      <c r="H43" s="44">
        <v>50</v>
      </c>
      <c r="I43" s="44">
        <v>0</v>
      </c>
    </row>
    <row r="44" spans="1:9" x14ac:dyDescent="0.25">
      <c r="A44" s="19" t="s">
        <v>2013</v>
      </c>
      <c r="B44" s="44">
        <v>66.66</v>
      </c>
      <c r="C44" s="44">
        <v>150</v>
      </c>
      <c r="D44" s="44">
        <v>0</v>
      </c>
      <c r="E44" s="44">
        <v>33.33</v>
      </c>
      <c r="F44" s="44">
        <v>0</v>
      </c>
      <c r="G44" s="44">
        <v>0</v>
      </c>
      <c r="H44" s="44">
        <v>0</v>
      </c>
      <c r="I44" s="44">
        <v>0</v>
      </c>
    </row>
    <row r="45" spans="1:9" x14ac:dyDescent="0.25">
      <c r="A45" s="19" t="s">
        <v>1808</v>
      </c>
      <c r="B45" s="44">
        <v>33.33</v>
      </c>
      <c r="C45" s="44">
        <v>200</v>
      </c>
      <c r="D45" s="44">
        <v>66.666666666699996</v>
      </c>
      <c r="E45" s="44">
        <v>199.97999999999996</v>
      </c>
      <c r="F45" s="44">
        <v>66.66</v>
      </c>
      <c r="G45" s="44">
        <v>200</v>
      </c>
      <c r="H45" s="44">
        <v>33.33</v>
      </c>
      <c r="I45" s="44">
        <v>0</v>
      </c>
    </row>
    <row r="46" spans="1:9" x14ac:dyDescent="0.25">
      <c r="A46" s="19" t="s">
        <v>2258</v>
      </c>
      <c r="B46" s="44">
        <v>66.66</v>
      </c>
      <c r="C46" s="44">
        <v>150</v>
      </c>
      <c r="D46" s="44">
        <v>0</v>
      </c>
      <c r="E46" s="44">
        <v>0</v>
      </c>
      <c r="F46" s="44">
        <v>33.33</v>
      </c>
      <c r="G46" s="44">
        <v>0</v>
      </c>
      <c r="H46" s="44">
        <v>0</v>
      </c>
      <c r="I46" s="44">
        <v>0</v>
      </c>
    </row>
    <row r="47" spans="1:9" x14ac:dyDescent="0.25">
      <c r="A47" s="19" t="s">
        <v>1767</v>
      </c>
      <c r="B47" s="44">
        <v>209.32</v>
      </c>
      <c r="C47" s="44">
        <v>250</v>
      </c>
      <c r="D47" s="44">
        <v>131.97682286219998</v>
      </c>
      <c r="E47" s="44">
        <v>723.03932175069997</v>
      </c>
      <c r="F47" s="44">
        <v>655.30667691460008</v>
      </c>
      <c r="G47" s="44">
        <v>100</v>
      </c>
      <c r="H47" s="44">
        <v>273.73037086530002</v>
      </c>
      <c r="I47" s="44">
        <v>0</v>
      </c>
    </row>
    <row r="48" spans="1:9" x14ac:dyDescent="0.25">
      <c r="A48" s="19" t="s">
        <v>1523</v>
      </c>
      <c r="B48" s="44">
        <v>154</v>
      </c>
      <c r="C48" s="44">
        <v>250</v>
      </c>
      <c r="D48" s="44">
        <v>72.22</v>
      </c>
      <c r="E48" s="44">
        <v>664.56212574849997</v>
      </c>
      <c r="F48" s="44">
        <v>506.07326347309998</v>
      </c>
      <c r="G48" s="44">
        <v>250</v>
      </c>
      <c r="H48" s="44">
        <v>155.7368562874</v>
      </c>
      <c r="I48" s="44">
        <v>0</v>
      </c>
    </row>
    <row r="49" spans="1:9" x14ac:dyDescent="0.25">
      <c r="A49" s="19" t="s">
        <v>1726</v>
      </c>
      <c r="B49" s="44">
        <v>200.66</v>
      </c>
      <c r="C49" s="44">
        <v>250</v>
      </c>
      <c r="D49" s="44">
        <v>61.11</v>
      </c>
      <c r="E49" s="44">
        <v>233.32999999999998</v>
      </c>
      <c r="F49" s="44">
        <v>100</v>
      </c>
      <c r="G49" s="44">
        <v>150</v>
      </c>
      <c r="H49" s="44">
        <v>100</v>
      </c>
      <c r="I49" s="44">
        <v>0</v>
      </c>
    </row>
    <row r="50" spans="1:9" x14ac:dyDescent="0.25">
      <c r="A50" s="19" t="s">
        <v>1564</v>
      </c>
      <c r="B50" s="44">
        <v>66.66</v>
      </c>
      <c r="C50" s="44">
        <v>250</v>
      </c>
      <c r="D50" s="44">
        <v>11.11</v>
      </c>
      <c r="E50" s="44">
        <v>133.32</v>
      </c>
      <c r="F50" s="44">
        <v>0</v>
      </c>
      <c r="G50" s="44">
        <v>100</v>
      </c>
      <c r="H50" s="44">
        <v>33.33</v>
      </c>
      <c r="I50" s="44">
        <v>0</v>
      </c>
    </row>
    <row r="51" spans="1:9" x14ac:dyDescent="0.25">
      <c r="A51" s="19" t="s">
        <v>704</v>
      </c>
      <c r="B51" s="44">
        <v>66.66</v>
      </c>
      <c r="C51" s="44">
        <v>200</v>
      </c>
      <c r="D51" s="44">
        <v>105.55500000000001</v>
      </c>
      <c r="E51" s="44">
        <v>283.32</v>
      </c>
      <c r="F51" s="44">
        <v>350</v>
      </c>
      <c r="G51" s="44">
        <v>100</v>
      </c>
      <c r="H51" s="44">
        <v>50</v>
      </c>
      <c r="I51" s="44">
        <v>0</v>
      </c>
    </row>
    <row r="52" spans="1:9" x14ac:dyDescent="0.25">
      <c r="A52" s="19" t="s">
        <v>745</v>
      </c>
      <c r="B52" s="44">
        <v>66.66</v>
      </c>
      <c r="C52" s="44">
        <v>200</v>
      </c>
      <c r="D52" s="44">
        <v>11.11</v>
      </c>
      <c r="E52" s="44">
        <v>66.66</v>
      </c>
      <c r="F52" s="44">
        <v>66.66</v>
      </c>
      <c r="G52" s="44">
        <v>0</v>
      </c>
      <c r="H52" s="44">
        <v>16.664999999999999</v>
      </c>
      <c r="I52" s="44">
        <v>0</v>
      </c>
    </row>
    <row r="53" spans="1:9" x14ac:dyDescent="0.25">
      <c r="A53" s="19" t="s">
        <v>786</v>
      </c>
      <c r="B53" s="44">
        <v>99.99</v>
      </c>
      <c r="C53" s="44">
        <v>200</v>
      </c>
      <c r="D53" s="44">
        <v>11.11</v>
      </c>
      <c r="E53" s="44">
        <v>199.97999999999996</v>
      </c>
      <c r="F53" s="44">
        <v>99.99</v>
      </c>
      <c r="G53" s="44">
        <v>150</v>
      </c>
      <c r="H53" s="44">
        <v>33.33</v>
      </c>
      <c r="I53" s="44">
        <v>0</v>
      </c>
    </row>
    <row r="54" spans="1:9" x14ac:dyDescent="0.25">
      <c r="A54" s="19" t="s">
        <v>827</v>
      </c>
      <c r="B54" s="44">
        <v>100</v>
      </c>
      <c r="C54" s="44">
        <v>200</v>
      </c>
      <c r="D54" s="44">
        <v>22.22</v>
      </c>
      <c r="E54" s="44">
        <v>199.97999999999996</v>
      </c>
      <c r="F54" s="44">
        <v>166.64999999999998</v>
      </c>
      <c r="G54" s="44">
        <v>50</v>
      </c>
      <c r="H54" s="44">
        <v>33.33</v>
      </c>
      <c r="I54" s="44">
        <v>0</v>
      </c>
    </row>
    <row r="55" spans="1:9" x14ac:dyDescent="0.25">
      <c r="A55" s="19" t="s">
        <v>1890</v>
      </c>
      <c r="B55" s="44">
        <v>126.66</v>
      </c>
      <c r="C55" s="44">
        <v>462.24489795919999</v>
      </c>
      <c r="D55" s="44">
        <v>133.33333333339999</v>
      </c>
      <c r="E55" s="44">
        <v>598.39857651250009</v>
      </c>
      <c r="F55" s="44">
        <v>540.22721865050005</v>
      </c>
      <c r="G55" s="44">
        <v>50</v>
      </c>
      <c r="H55" s="44">
        <v>257.7596618357</v>
      </c>
      <c r="I55" s="44">
        <v>0</v>
      </c>
    </row>
    <row r="56" spans="1:9" x14ac:dyDescent="0.25">
      <c r="A56" s="19" t="s">
        <v>1115</v>
      </c>
      <c r="B56" s="44">
        <v>295</v>
      </c>
      <c r="C56" s="44">
        <v>497.2222222222</v>
      </c>
      <c r="D56" s="44">
        <v>297.10640509220002</v>
      </c>
      <c r="E56" s="44">
        <v>736.88003292200005</v>
      </c>
      <c r="F56" s="44">
        <v>648.06328665579997</v>
      </c>
      <c r="G56" s="44">
        <v>314.30007409730001</v>
      </c>
      <c r="H56" s="44">
        <v>306.4129646257</v>
      </c>
      <c r="I56" s="44">
        <v>179.83285183660001</v>
      </c>
    </row>
    <row r="57" spans="1:9" x14ac:dyDescent="0.25">
      <c r="A57" s="19" t="s">
        <v>1197</v>
      </c>
      <c r="B57" s="44">
        <v>149.99</v>
      </c>
      <c r="C57" s="44">
        <v>350</v>
      </c>
      <c r="D57" s="44">
        <v>133.32999999999998</v>
      </c>
      <c r="E57" s="44">
        <v>725.06097560969999</v>
      </c>
      <c r="F57" s="44">
        <v>570</v>
      </c>
      <c r="G57" s="44">
        <v>150</v>
      </c>
      <c r="H57" s="44">
        <v>174.18514412420001</v>
      </c>
      <c r="I57" s="44">
        <v>72.5</v>
      </c>
    </row>
    <row r="58" spans="1:9" x14ac:dyDescent="0.25">
      <c r="A58" s="19" t="s">
        <v>2666</v>
      </c>
      <c r="B58" s="44">
        <v>97.66</v>
      </c>
      <c r="C58" s="44">
        <v>200</v>
      </c>
      <c r="D58" s="44">
        <v>66.664999999999992</v>
      </c>
      <c r="E58" s="44">
        <v>375</v>
      </c>
      <c r="F58" s="44">
        <v>265.68825910930002</v>
      </c>
      <c r="G58" s="44">
        <v>100</v>
      </c>
      <c r="H58" s="44">
        <v>200</v>
      </c>
      <c r="I58" s="44">
        <v>0</v>
      </c>
    </row>
    <row r="59" spans="1:9" x14ac:dyDescent="0.25">
      <c r="A59" s="19" t="s">
        <v>2625</v>
      </c>
      <c r="B59" s="44">
        <v>241.66</v>
      </c>
      <c r="C59" s="44">
        <v>495.45454545450002</v>
      </c>
      <c r="D59" s="44">
        <v>266.6666666667</v>
      </c>
      <c r="E59" s="44">
        <v>799.83089064260002</v>
      </c>
      <c r="F59" s="44">
        <v>451.38137865729999</v>
      </c>
      <c r="G59" s="44">
        <v>458.3333333333</v>
      </c>
      <c r="H59" s="44">
        <v>372.2222222222</v>
      </c>
      <c r="I59" s="44">
        <v>274.01819923369999</v>
      </c>
    </row>
    <row r="60" spans="1:9" x14ac:dyDescent="0.25">
      <c r="A60" s="19" t="s">
        <v>2054</v>
      </c>
      <c r="B60" s="44">
        <v>97.66</v>
      </c>
      <c r="C60" s="44">
        <v>200</v>
      </c>
      <c r="D60" s="44">
        <v>72.22</v>
      </c>
      <c r="E60" s="44">
        <v>686.98573324490008</v>
      </c>
      <c r="F60" s="44">
        <v>600</v>
      </c>
      <c r="G60" s="44">
        <v>100</v>
      </c>
      <c r="H60" s="44">
        <v>150</v>
      </c>
      <c r="I60" s="44">
        <v>0</v>
      </c>
    </row>
    <row r="61" spans="1:9" x14ac:dyDescent="0.25">
      <c r="A61" s="19" t="s">
        <v>1400</v>
      </c>
      <c r="B61" s="44">
        <v>164.32</v>
      </c>
      <c r="C61" s="44">
        <v>250</v>
      </c>
      <c r="D61" s="44">
        <v>55.555</v>
      </c>
      <c r="E61" s="44">
        <v>575</v>
      </c>
      <c r="F61" s="44">
        <v>361.36842105260001</v>
      </c>
      <c r="G61" s="44">
        <v>100</v>
      </c>
      <c r="H61" s="44">
        <v>200</v>
      </c>
      <c r="I61" s="44">
        <v>0</v>
      </c>
    </row>
    <row r="62" spans="1:9" x14ac:dyDescent="0.25">
      <c r="A62" s="19" t="s">
        <v>2584</v>
      </c>
      <c r="B62" s="44">
        <v>164.32</v>
      </c>
      <c r="C62" s="44">
        <v>200</v>
      </c>
      <c r="D62" s="44">
        <v>122.2216666667</v>
      </c>
      <c r="E62" s="44">
        <v>350</v>
      </c>
      <c r="F62" s="44">
        <v>350</v>
      </c>
      <c r="G62" s="44">
        <v>150</v>
      </c>
      <c r="H62" s="44">
        <v>50</v>
      </c>
      <c r="I62" s="44">
        <v>50</v>
      </c>
    </row>
    <row r="63" spans="1:9" x14ac:dyDescent="0.25">
      <c r="A63" s="19" t="s">
        <v>1278</v>
      </c>
      <c r="B63" s="44">
        <v>164.32</v>
      </c>
      <c r="C63" s="44">
        <v>200</v>
      </c>
      <c r="D63" s="44">
        <v>55.555</v>
      </c>
      <c r="E63" s="44">
        <v>627.13228383470005</v>
      </c>
      <c r="F63" s="44">
        <v>405.72999412589996</v>
      </c>
      <c r="G63" s="44">
        <v>150</v>
      </c>
      <c r="H63" s="44">
        <v>200</v>
      </c>
      <c r="I63" s="44">
        <v>0</v>
      </c>
    </row>
    <row r="64" spans="1:9" x14ac:dyDescent="0.25">
      <c r="A64" s="19" t="s">
        <v>2543</v>
      </c>
      <c r="B64" s="44">
        <v>288</v>
      </c>
      <c r="C64" s="44">
        <v>500</v>
      </c>
      <c r="D64" s="44">
        <v>233.33333333339999</v>
      </c>
      <c r="E64" s="44">
        <v>791.7663554728</v>
      </c>
      <c r="F64" s="44">
        <v>650.75857146909993</v>
      </c>
      <c r="G64" s="44">
        <v>410.47354345840006</v>
      </c>
      <c r="H64" s="44">
        <v>372.36821744460002</v>
      </c>
      <c r="I64" s="44">
        <v>242.42947610819999</v>
      </c>
    </row>
    <row r="65" spans="1:9" x14ac:dyDescent="0.25">
      <c r="A65" s="19" t="s">
        <v>1359</v>
      </c>
      <c r="B65" s="44">
        <v>163</v>
      </c>
      <c r="C65" s="44">
        <v>200</v>
      </c>
      <c r="D65" s="44">
        <v>55.555</v>
      </c>
      <c r="E65" s="44">
        <v>544.57857811040003</v>
      </c>
      <c r="F65" s="44">
        <v>450.45322731520002</v>
      </c>
      <c r="G65" s="44">
        <v>50</v>
      </c>
      <c r="H65" s="44">
        <v>145</v>
      </c>
      <c r="I65" s="44">
        <v>0</v>
      </c>
    </row>
    <row r="66" spans="1:9" x14ac:dyDescent="0.25">
      <c r="A66" s="19" t="s">
        <v>2176</v>
      </c>
      <c r="B66" s="44">
        <v>100</v>
      </c>
      <c r="C66" s="44">
        <v>150</v>
      </c>
      <c r="D66" s="44">
        <v>61.11</v>
      </c>
      <c r="E66" s="44">
        <v>0</v>
      </c>
      <c r="F66" s="44">
        <v>0</v>
      </c>
      <c r="G66" s="44">
        <v>0</v>
      </c>
      <c r="H66" s="44">
        <v>0</v>
      </c>
      <c r="I66" s="44">
        <v>0</v>
      </c>
    </row>
    <row r="67" spans="1:9" x14ac:dyDescent="0.25">
      <c r="A67" s="19" t="s">
        <v>1032</v>
      </c>
      <c r="B67" s="44">
        <v>98.66</v>
      </c>
      <c r="C67" s="44">
        <v>250</v>
      </c>
      <c r="D67" s="44">
        <v>94.44</v>
      </c>
      <c r="E67" s="44">
        <v>493.14993423929997</v>
      </c>
      <c r="F67" s="44">
        <v>274.99865336840003</v>
      </c>
      <c r="G67" s="44">
        <v>294.84144381120001</v>
      </c>
      <c r="H67" s="44">
        <v>187.91100394559999</v>
      </c>
      <c r="I67" s="44">
        <v>50</v>
      </c>
    </row>
    <row r="68" spans="1:9" x14ac:dyDescent="0.25">
      <c r="A68" s="19" t="s">
        <v>1605</v>
      </c>
      <c r="B68" s="44">
        <v>263.65999999999997</v>
      </c>
      <c r="C68" s="44">
        <v>499.67532467529998</v>
      </c>
      <c r="D68" s="44">
        <v>300</v>
      </c>
      <c r="E68" s="44">
        <v>793.94859173930001</v>
      </c>
      <c r="F68" s="44">
        <v>696.73686207549997</v>
      </c>
      <c r="G68" s="44">
        <v>446.06829573940001</v>
      </c>
      <c r="H68" s="44">
        <v>341.390006707</v>
      </c>
      <c r="I68" s="44">
        <v>235.09990253410001</v>
      </c>
    </row>
    <row r="69" spans="1:9" x14ac:dyDescent="0.25">
      <c r="A69" s="19" t="s">
        <v>2095</v>
      </c>
      <c r="B69" s="44">
        <v>193.99</v>
      </c>
      <c r="C69" s="44">
        <v>250</v>
      </c>
      <c r="D69" s="44">
        <v>251.9108280255</v>
      </c>
      <c r="E69" s="44">
        <v>617.20768256650001</v>
      </c>
      <c r="F69" s="44">
        <v>664.0787252005</v>
      </c>
      <c r="G69" s="44">
        <v>200</v>
      </c>
      <c r="H69" s="44">
        <v>258.57061236750002</v>
      </c>
      <c r="I69" s="44">
        <v>145</v>
      </c>
    </row>
    <row r="70" spans="1:9" x14ac:dyDescent="0.25">
      <c r="A70" s="19" t="s">
        <v>2707</v>
      </c>
      <c r="B70" s="44">
        <v>222.32999999999998</v>
      </c>
      <c r="C70" s="44">
        <v>500</v>
      </c>
      <c r="D70" s="44">
        <v>223.05678162769999</v>
      </c>
      <c r="E70" s="44">
        <v>759.28603807799993</v>
      </c>
      <c r="F70" s="44">
        <v>650.78195829549998</v>
      </c>
      <c r="G70" s="44">
        <v>559.0832919019</v>
      </c>
      <c r="H70" s="44">
        <v>201.6468676337</v>
      </c>
      <c r="I70" s="44">
        <v>228.57660924739997</v>
      </c>
    </row>
    <row r="71" spans="1:9" x14ac:dyDescent="0.25">
      <c r="A71" s="19" t="s">
        <v>2503</v>
      </c>
      <c r="B71" s="44">
        <v>166.66</v>
      </c>
      <c r="C71" s="44">
        <v>250</v>
      </c>
      <c r="D71" s="44">
        <v>72.22</v>
      </c>
      <c r="E71" s="44">
        <v>266.65999999999997</v>
      </c>
      <c r="F71" s="44">
        <v>150</v>
      </c>
      <c r="G71" s="44">
        <v>150</v>
      </c>
      <c r="H71" s="44">
        <v>100</v>
      </c>
      <c r="I71" s="44">
        <v>50</v>
      </c>
    </row>
    <row r="72" spans="1:9" x14ac:dyDescent="0.25">
      <c r="A72" s="19" t="s">
        <v>2989</v>
      </c>
      <c r="B72" s="44">
        <v>61.33</v>
      </c>
      <c r="C72" s="44">
        <v>150</v>
      </c>
      <c r="D72" s="44">
        <v>66.664999999999992</v>
      </c>
      <c r="E72" s="44">
        <v>33.33</v>
      </c>
      <c r="F72" s="44">
        <v>0</v>
      </c>
      <c r="G72" s="44">
        <v>0</v>
      </c>
      <c r="H72" s="44">
        <v>0</v>
      </c>
      <c r="I72" s="44">
        <v>0</v>
      </c>
    </row>
    <row r="73" spans="1:9" x14ac:dyDescent="0.25">
      <c r="A73" s="19" t="s">
        <v>3188</v>
      </c>
      <c r="B73" s="44">
        <v>79.16</v>
      </c>
      <c r="C73" s="44">
        <v>300</v>
      </c>
      <c r="D73" s="44">
        <v>16.664999999999999</v>
      </c>
      <c r="E73" s="44">
        <v>483.25375170540002</v>
      </c>
      <c r="F73" s="44">
        <v>621.41385630289994</v>
      </c>
      <c r="G73" s="44">
        <v>200.5540355677</v>
      </c>
      <c r="H73" s="44">
        <v>170.73187414500001</v>
      </c>
      <c r="I73" s="44">
        <v>51.631326949399998</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J76"/>
  <sheetViews>
    <sheetView workbookViewId="0">
      <pane xSplit="1" ySplit="3" topLeftCell="B4" activePane="bottomRight" state="frozen"/>
      <selection pane="topRight" activeCell="B1" sqref="B1"/>
      <selection pane="bottomLeft" activeCell="A4" sqref="A4"/>
      <selection pane="bottomRight"/>
    </sheetView>
  </sheetViews>
  <sheetFormatPr defaultColWidth="24.5703125" defaultRowHeight="15" x14ac:dyDescent="0.25"/>
  <cols>
    <col min="1" max="1" width="28.28515625" bestFit="1" customWidth="1"/>
  </cols>
  <sheetData>
    <row r="1" spans="1:10" ht="21" x14ac:dyDescent="0.35">
      <c r="A1" s="167" t="s">
        <v>3267</v>
      </c>
    </row>
    <row r="3" spans="1:10" x14ac:dyDescent="0.25">
      <c r="A3" s="48" t="s">
        <v>3083</v>
      </c>
      <c r="B3" s="48" t="s">
        <v>3092</v>
      </c>
      <c r="C3" s="48" t="s">
        <v>3100</v>
      </c>
      <c r="D3" s="48" t="s">
        <v>3101</v>
      </c>
      <c r="E3" s="48" t="s">
        <v>3102</v>
      </c>
      <c r="F3" s="48" t="s">
        <v>3103</v>
      </c>
      <c r="G3" s="48" t="s">
        <v>3104</v>
      </c>
      <c r="H3" s="48" t="s">
        <v>3105</v>
      </c>
      <c r="I3" s="48" t="s">
        <v>3106</v>
      </c>
      <c r="J3" s="78" t="s">
        <v>3097</v>
      </c>
    </row>
    <row r="4" spans="1:10" x14ac:dyDescent="0.25">
      <c r="A4" s="19" t="s">
        <v>2747</v>
      </c>
      <c r="B4" s="44">
        <f>VLOOKUP(A4,'Wtd scores by sub-groups'!$A$5:$J$72,2,FALSE)/10%</f>
        <v>64.598669999999984</v>
      </c>
      <c r="C4" s="44">
        <f>VLOOKUP(A4,'Wtd scores by sub-groups'!$A$5:$J$72,3,FALSE)/12.5%</f>
        <v>99.6</v>
      </c>
      <c r="D4" s="44">
        <f>VLOOKUP(A4,'Wtd scores by sub-groups'!$A$5:$J$72,4,FALSE)/12.5%</f>
        <v>100.08</v>
      </c>
      <c r="E4" s="44">
        <f>VLOOKUP(A4,'Wtd scores by sub-groups'!$A$5:$J$72,5,FALSE)/13%</f>
        <v>92.638322217675466</v>
      </c>
      <c r="F4" s="44">
        <f>VLOOKUP(A4,'Wtd scores by sub-groups'!$A$5:$J$72,6,FALSE)/13%</f>
        <v>92.015451923076768</v>
      </c>
      <c r="G4" s="44">
        <f>VLOOKUP(A4,'Wtd scores by sub-groups'!$A$5:$J$72,7,FALSE)/13%</f>
        <v>44.212689479045537</v>
      </c>
      <c r="H4" s="44">
        <f>VLOOKUP(A4,'Wtd scores by sub-groups'!$A$5:$J$72,8,FALSE)/13%</f>
        <v>49.430312499999992</v>
      </c>
      <c r="I4" s="44">
        <f>VLOOKUP(A4,'Wtd scores by sub-groups'!$A$5:$J$72,9,FALSE)/13%</f>
        <v>53.21216105769215</v>
      </c>
      <c r="J4" s="75" t="str">
        <f>VLOOKUP(A4,'Overall scores and ranking'!$A$3:$D$71,4,FALSE)</f>
        <v>Good</v>
      </c>
    </row>
    <row r="5" spans="1:10" x14ac:dyDescent="0.25">
      <c r="A5" s="19" t="s">
        <v>2381</v>
      </c>
      <c r="B5" s="44">
        <f>VLOOKUP(A5,'Wtd scores by sub-groups'!$A$5:$J$72,2,FALSE)/10%</f>
        <v>85.800780000000003</v>
      </c>
      <c r="C5" s="44">
        <f>VLOOKUP(A5,'Wtd scores by sub-groups'!$A$5:$J$72,3,FALSE)/12.5%</f>
        <v>98.75</v>
      </c>
      <c r="D5" s="44">
        <f>VLOOKUP(A5,'Wtd scores by sub-groups'!$A$5:$J$72,4,FALSE)/12.5%</f>
        <v>100.08</v>
      </c>
      <c r="E5" s="44">
        <f>VLOOKUP(A5,'Wtd scores by sub-groups'!$A$5:$J$72,5,FALSE)/13%</f>
        <v>95.286286019209683</v>
      </c>
      <c r="F5" s="44">
        <f>VLOOKUP(A5,'Wtd scores by sub-groups'!$A$5:$J$72,6,FALSE)/13%</f>
        <v>90.710692882357691</v>
      </c>
      <c r="G5" s="44">
        <f>VLOOKUP(A5,'Wtd scores by sub-groups'!$A$5:$J$72,7,FALSE)/13%</f>
        <v>75.790938938172715</v>
      </c>
      <c r="H5" s="44">
        <f>VLOOKUP(A5,'Wtd scores by sub-groups'!$A$5:$J$72,8,FALSE)/13%</f>
        <v>46.059231590181376</v>
      </c>
      <c r="I5" s="44">
        <f>VLOOKUP(A5,'Wtd scores by sub-groups'!$A$5:$J$72,9,FALSE)/13%</f>
        <v>79.914467203021005</v>
      </c>
      <c r="J5" s="75" t="str">
        <f>VLOOKUP(A5,'Overall scores and ranking'!$A$3:$D$71,4,FALSE)</f>
        <v>Very good</v>
      </c>
    </row>
    <row r="6" spans="1:10" x14ac:dyDescent="0.25">
      <c r="A6" s="19" t="s">
        <v>2299</v>
      </c>
      <c r="B6" s="44">
        <f>VLOOKUP(A6,'Wtd scores by sub-groups'!$A$5:$J$72,2,FALSE)/10%</f>
        <v>34.851779999999998</v>
      </c>
      <c r="C6" s="44">
        <f>VLOOKUP(A6,'Wtd scores by sub-groups'!$A$5:$J$72,3,FALSE)/12.5%</f>
        <v>90</v>
      </c>
      <c r="D6" s="44">
        <f>VLOOKUP(A6,'Wtd scores by sub-groups'!$A$5:$J$72,4,FALSE)/12.5%</f>
        <v>42.626296000000004</v>
      </c>
      <c r="E6" s="44">
        <f>VLOOKUP(A6,'Wtd scores by sub-groups'!$A$5:$J$72,5,FALSE)/13%</f>
        <v>82.607784867210455</v>
      </c>
      <c r="F6" s="44">
        <f>VLOOKUP(A6,'Wtd scores by sub-groups'!$A$5:$J$72,6,FALSE)/13%</f>
        <v>59.132472233930372</v>
      </c>
      <c r="G6" s="44">
        <f>VLOOKUP(A6,'Wtd scores by sub-groups'!$A$5:$J$72,7,FALSE)/13%</f>
        <v>33.38461538461538</v>
      </c>
      <c r="H6" s="44">
        <f>VLOOKUP(A6,'Wtd scores by sub-groups'!$A$5:$J$72,8,FALSE)/13%</f>
        <v>23.71147260273969</v>
      </c>
      <c r="I6" s="44">
        <f>VLOOKUP(A6,'Wtd scores by sub-groups'!$A$5:$J$72,9,FALSE)/13%</f>
        <v>0</v>
      </c>
      <c r="J6" s="75" t="str">
        <f>VLOOKUP(A6,'Overall scores and ranking'!$A$3:$D$71,4,FALSE)</f>
        <v>Fair</v>
      </c>
    </row>
    <row r="7" spans="1:10" x14ac:dyDescent="0.25">
      <c r="A7" s="19" t="s">
        <v>28</v>
      </c>
      <c r="B7" s="44">
        <f>VLOOKUP(A7,'Wtd scores by sub-groups'!$A$5:$J$72,2,FALSE)/10%</f>
        <v>22.197779999999998</v>
      </c>
      <c r="C7" s="44">
        <f>VLOOKUP(A7,'Wtd scores by sub-groups'!$A$5:$J$72,3,FALSE)/12.5%</f>
        <v>50</v>
      </c>
      <c r="D7" s="44">
        <f>VLOOKUP(A7,'Wtd scores by sub-groups'!$A$5:$J$72,4,FALSE)/12.5%</f>
        <v>37.066296000000001</v>
      </c>
      <c r="E7" s="44">
        <f>VLOOKUP(A7,'Wtd scores by sub-groups'!$A$5:$J$72,5,FALSE)/13%</f>
        <v>20.895346153846152</v>
      </c>
      <c r="F7" s="44">
        <f>VLOOKUP(A7,'Wtd scores by sub-groups'!$A$5:$J$72,6,FALSE)/13%</f>
        <v>0</v>
      </c>
      <c r="G7" s="44">
        <f>VLOOKUP(A7,'Wtd scores by sub-groups'!$A$5:$J$72,7,FALSE)/13%</f>
        <v>16.69230769230769</v>
      </c>
      <c r="H7" s="44">
        <f>VLOOKUP(A7,'Wtd scores by sub-groups'!$A$5:$J$72,8,FALSE)/13%</f>
        <v>8.3324999999999214</v>
      </c>
      <c r="I7" s="44">
        <f>VLOOKUP(A7,'Wtd scores by sub-groups'!$A$5:$J$72,9,FALSE)/13%</f>
        <v>0</v>
      </c>
      <c r="J7" s="75" t="str">
        <f>VLOOKUP(A7,'Overall scores and ranking'!$A$3:$D$71,4,FALSE)</f>
        <v>Very Poor</v>
      </c>
    </row>
    <row r="8" spans="1:10" x14ac:dyDescent="0.25">
      <c r="A8" s="19" t="s">
        <v>1931</v>
      </c>
      <c r="B8" s="44">
        <f>VLOOKUP(A8,'Wtd scores by sub-groups'!$A$5:$J$72,2,FALSE)/10%</f>
        <v>41.73489</v>
      </c>
      <c r="C8" s="44">
        <f>VLOOKUP(A8,'Wtd scores by sub-groups'!$A$5:$J$72,3,FALSE)/12.5%</f>
        <v>40</v>
      </c>
      <c r="D8" s="44">
        <f>VLOOKUP(A8,'Wtd scores by sub-groups'!$A$5:$J$72,4,FALSE)/12.5%</f>
        <v>33.36</v>
      </c>
      <c r="E8" s="44">
        <f>VLOOKUP(A8,'Wtd scores by sub-groups'!$A$5:$J$72,5,FALSE)/13%</f>
        <v>12.537207692307691</v>
      </c>
      <c r="F8" s="44">
        <f>VLOOKUP(A8,'Wtd scores by sub-groups'!$A$5:$J$72,6,FALSE)/13%</f>
        <v>4.7687538461538379</v>
      </c>
      <c r="G8" s="44">
        <f>VLOOKUP(A8,'Wtd scores by sub-groups'!$A$5:$J$72,7,FALSE)/13%</f>
        <v>16.69230769230769</v>
      </c>
      <c r="H8" s="44">
        <f>VLOOKUP(A8,'Wtd scores by sub-groups'!$A$5:$J$72,8,FALSE)/13%</f>
        <v>8.3324999999999214</v>
      </c>
      <c r="I8" s="44">
        <f>VLOOKUP(A8,'Wtd scores by sub-groups'!$A$5:$J$72,9,FALSE)/13%</f>
        <v>0</v>
      </c>
      <c r="J8" s="75" t="str">
        <f>VLOOKUP(A8,'Overall scores and ranking'!$A$3:$D$71,4,FALSE)</f>
        <v>Very Poor</v>
      </c>
    </row>
    <row r="9" spans="1:10" x14ac:dyDescent="0.25">
      <c r="A9" s="19" t="s">
        <v>1156</v>
      </c>
      <c r="B9" s="44">
        <f>VLOOKUP(A9,'Wtd scores by sub-groups'!$A$5:$J$72,2,FALSE)/10%</f>
        <v>44.398889999999994</v>
      </c>
      <c r="C9" s="44">
        <f>VLOOKUP(A9,'Wtd scores by sub-groups'!$A$5:$J$72,3,FALSE)/12.5%</f>
        <v>10</v>
      </c>
      <c r="D9" s="44">
        <f>VLOOKUP(A9,'Wtd scores by sub-groups'!$A$5:$J$72,4,FALSE)/12.5%</f>
        <v>0</v>
      </c>
      <c r="E9" s="44">
        <f>VLOOKUP(A9,'Wtd scores by sub-groups'!$A$5:$J$72,5,FALSE)/13%</f>
        <v>20.895346153846152</v>
      </c>
      <c r="F9" s="44">
        <f>VLOOKUP(A9,'Wtd scores by sub-groups'!$A$5:$J$72,6,FALSE)/13%</f>
        <v>9.5375076923076758</v>
      </c>
      <c r="G9" s="44">
        <f>VLOOKUP(A9,'Wtd scores by sub-groups'!$A$5:$J$72,7,FALSE)/13%</f>
        <v>0</v>
      </c>
      <c r="H9" s="44">
        <f>VLOOKUP(A9,'Wtd scores by sub-groups'!$A$5:$J$72,8,FALSE)/13%</f>
        <v>0</v>
      </c>
      <c r="I9" s="44">
        <f>VLOOKUP(A9,'Wtd scores by sub-groups'!$A$5:$J$72,9,FALSE)/13%</f>
        <v>0</v>
      </c>
      <c r="J9" s="75" t="str">
        <f>VLOOKUP(A9,'Overall scores and ranking'!$A$3:$D$71,4,FALSE)</f>
        <v>Very Poor</v>
      </c>
    </row>
    <row r="10" spans="1:10" x14ac:dyDescent="0.25">
      <c r="A10" s="19" t="s">
        <v>1849</v>
      </c>
      <c r="B10" s="44">
        <f>VLOOKUP(A10,'Wtd scores by sub-groups'!$A$5:$J$72,2,FALSE)/10%</f>
        <v>33.299999999999997</v>
      </c>
      <c r="C10" s="44">
        <f>VLOOKUP(A10,'Wtd scores by sub-groups'!$A$5:$J$72,3,FALSE)/12.5%</f>
        <v>30</v>
      </c>
      <c r="D10" s="44">
        <f>VLOOKUP(A10,'Wtd scores by sub-groups'!$A$5:$J$72,4,FALSE)/12.5%</f>
        <v>0</v>
      </c>
      <c r="E10" s="44">
        <f>VLOOKUP(A10,'Wtd scores by sub-groups'!$A$5:$J$72,5,FALSE)/13%</f>
        <v>0</v>
      </c>
      <c r="F10" s="44">
        <f>VLOOKUP(A10,'Wtd scores by sub-groups'!$A$5:$J$72,6,FALSE)/13%</f>
        <v>0</v>
      </c>
      <c r="G10" s="44">
        <f>VLOOKUP(A10,'Wtd scores by sub-groups'!$A$5:$J$72,7,FALSE)/13%</f>
        <v>8.3461538461538449</v>
      </c>
      <c r="H10" s="44">
        <f>VLOOKUP(A10,'Wtd scores by sub-groups'!$A$5:$J$72,8,FALSE)/13%</f>
        <v>0</v>
      </c>
      <c r="I10" s="44">
        <f>VLOOKUP(A10,'Wtd scores by sub-groups'!$A$5:$J$72,9,FALSE)/13%</f>
        <v>0</v>
      </c>
      <c r="J10" s="75" t="str">
        <f>VLOOKUP(A10,'Overall scores and ranking'!$A$3:$D$71,4,FALSE)</f>
        <v>Very Poor</v>
      </c>
    </row>
    <row r="11" spans="1:10" x14ac:dyDescent="0.25">
      <c r="A11" s="19" t="s">
        <v>910</v>
      </c>
      <c r="B11" s="44">
        <f>VLOOKUP(A11,'Wtd scores by sub-groups'!$A$5:$J$72,2,FALSE)/10%</f>
        <v>86.799779999999998</v>
      </c>
      <c r="C11" s="44">
        <f>VLOOKUP(A11,'Wtd scores by sub-groups'!$A$5:$J$72,3,FALSE)/12.5%</f>
        <v>94.054054054054006</v>
      </c>
      <c r="D11" s="44">
        <f>VLOOKUP(A11,'Wtd scores by sub-groups'!$A$5:$J$72,4,FALSE)/12.5%</f>
        <v>100.08</v>
      </c>
      <c r="E11" s="44">
        <f>VLOOKUP(A11,'Wtd scores by sub-groups'!$A$5:$J$72,5,FALSE)/13%</f>
        <v>91.933200959847994</v>
      </c>
      <c r="F11" s="44">
        <f>VLOOKUP(A11,'Wtd scores by sub-groups'!$A$5:$J$72,6,FALSE)/13%</f>
        <v>77.499046153846137</v>
      </c>
      <c r="G11" s="44">
        <f>VLOOKUP(A11,'Wtd scores by sub-groups'!$A$5:$J$72,7,FALSE)/13%</f>
        <v>40.896153846153851</v>
      </c>
      <c r="H11" s="44">
        <f>VLOOKUP(A11,'Wtd scores by sub-groups'!$A$5:$J$72,8,FALSE)/13%</f>
        <v>40.751987632508765</v>
      </c>
      <c r="I11" s="44">
        <f>VLOOKUP(A11,'Wtd scores by sub-groups'!$A$5:$J$72,9,FALSE)/13%</f>
        <v>46.801258956333541</v>
      </c>
      <c r="J11" s="75" t="str">
        <f>VLOOKUP(A11,'Overall scores and ranking'!$A$3:$D$71,4,FALSE)</f>
        <v>Good</v>
      </c>
    </row>
    <row r="12" spans="1:10" x14ac:dyDescent="0.25">
      <c r="A12" s="19" t="s">
        <v>2869</v>
      </c>
      <c r="B12" s="44">
        <f>VLOOKUP(A12,'Wtd scores by sub-groups'!$A$5:$J$72,2,FALSE)/10%</f>
        <v>22.197779999999998</v>
      </c>
      <c r="C12" s="44">
        <f>VLOOKUP(A12,'Wtd scores by sub-groups'!$A$5:$J$72,3,FALSE)/12.5%</f>
        <v>0</v>
      </c>
      <c r="D12" s="44">
        <f>VLOOKUP(A12,'Wtd scores by sub-groups'!$A$5:$J$72,4,FALSE)/12.5%</f>
        <v>0</v>
      </c>
      <c r="E12" s="44">
        <f>VLOOKUP(A12,'Wtd scores by sub-groups'!$A$5:$J$72,5,FALSE)/13%</f>
        <v>0</v>
      </c>
      <c r="F12" s="44">
        <f>VLOOKUP(A12,'Wtd scores by sub-groups'!$A$5:$J$72,6,FALSE)/13%</f>
        <v>0</v>
      </c>
      <c r="G12" s="44">
        <f>VLOOKUP(A12,'Wtd scores by sub-groups'!$A$5:$J$72,7,FALSE)/13%</f>
        <v>0</v>
      </c>
      <c r="H12" s="44">
        <f>VLOOKUP(A12,'Wtd scores by sub-groups'!$A$5:$J$72,8,FALSE)/13%</f>
        <v>0</v>
      </c>
      <c r="I12" s="44">
        <f>VLOOKUP(A12,'Wtd scores by sub-groups'!$A$5:$J$72,9,FALSE)/13%</f>
        <v>0</v>
      </c>
      <c r="J12" s="75" t="str">
        <f>VLOOKUP(A12,'Overall scores and ranking'!$A$3:$D$71,4,FALSE)</f>
        <v>Very Poor</v>
      </c>
    </row>
    <row r="13" spans="1:10" x14ac:dyDescent="0.25">
      <c r="A13" s="19" t="s">
        <v>173</v>
      </c>
      <c r="B13" s="44">
        <f>VLOOKUP(A13,'Wtd scores by sub-groups'!$A$5:$J$72,2,FALSE)/10%</f>
        <v>33.299999999999997</v>
      </c>
      <c r="C13" s="44">
        <f>VLOOKUP(A13,'Wtd scores by sub-groups'!$A$5:$J$72,3,FALSE)/12.5%</f>
        <v>40</v>
      </c>
      <c r="D13" s="44">
        <f>VLOOKUP(A13,'Wtd scores by sub-groups'!$A$5:$J$72,4,FALSE)/12.5%</f>
        <v>5.5594440000000001</v>
      </c>
      <c r="E13" s="44">
        <f>VLOOKUP(A13,'Wtd scores by sub-groups'!$A$5:$J$72,5,FALSE)/13%</f>
        <v>0</v>
      </c>
      <c r="F13" s="44">
        <f>VLOOKUP(A13,'Wtd scores by sub-groups'!$A$5:$J$72,6,FALSE)/13%</f>
        <v>4.7687538461538379</v>
      </c>
      <c r="G13" s="44">
        <f>VLOOKUP(A13,'Wtd scores by sub-groups'!$A$5:$J$72,7,FALSE)/13%</f>
        <v>16.69230769230769</v>
      </c>
      <c r="H13" s="44">
        <f>VLOOKUP(A13,'Wtd scores by sub-groups'!$A$5:$J$72,8,FALSE)/13%</f>
        <v>0</v>
      </c>
      <c r="I13" s="44">
        <f>VLOOKUP(A13,'Wtd scores by sub-groups'!$A$5:$J$72,9,FALSE)/13%</f>
        <v>0</v>
      </c>
      <c r="J13" s="75" t="str">
        <f>VLOOKUP(A13,'Overall scores and ranking'!$A$3:$D$71,4,FALSE)</f>
        <v>Very Poor</v>
      </c>
    </row>
    <row r="14" spans="1:10" x14ac:dyDescent="0.25">
      <c r="A14" s="19" t="s">
        <v>1972</v>
      </c>
      <c r="B14" s="44">
        <f>VLOOKUP(A14,'Wtd scores by sub-groups'!$A$5:$J$72,2,FALSE)/10%</f>
        <v>0</v>
      </c>
      <c r="C14" s="44">
        <f>VLOOKUP(A14,'Wtd scores by sub-groups'!$A$5:$J$72,3,FALSE)/12.5%</f>
        <v>20</v>
      </c>
      <c r="D14" s="44">
        <f>VLOOKUP(A14,'Wtd scores by sub-groups'!$A$5:$J$72,4,FALSE)/12.5%</f>
        <v>0</v>
      </c>
      <c r="E14" s="44">
        <f>VLOOKUP(A14,'Wtd scores by sub-groups'!$A$5:$J$72,5,FALSE)/13%</f>
        <v>8.3581384615384611</v>
      </c>
      <c r="F14" s="44">
        <f>VLOOKUP(A14,'Wtd scores by sub-groups'!$A$5:$J$72,6,FALSE)/13%</f>
        <v>9.5375076923076758</v>
      </c>
      <c r="G14" s="44">
        <f>VLOOKUP(A14,'Wtd scores by sub-groups'!$A$5:$J$72,7,FALSE)/13%</f>
        <v>0</v>
      </c>
      <c r="H14" s="44">
        <f>VLOOKUP(A14,'Wtd scores by sub-groups'!$A$5:$J$72,8,FALSE)/13%</f>
        <v>8.3324999999999214</v>
      </c>
      <c r="I14" s="44">
        <f>VLOOKUP(A14,'Wtd scores by sub-groups'!$A$5:$J$72,9,FALSE)/13%</f>
        <v>0</v>
      </c>
      <c r="J14" s="75" t="str">
        <f>VLOOKUP(A14,'Overall scores and ranking'!$A$3:$D$71,4,FALSE)</f>
        <v>Very Poor</v>
      </c>
    </row>
    <row r="15" spans="1:10" x14ac:dyDescent="0.25">
      <c r="A15" s="19" t="s">
        <v>214</v>
      </c>
      <c r="B15" s="44">
        <f>VLOOKUP(A15,'Wtd scores by sub-groups'!$A$5:$J$72,2,FALSE)/10%</f>
        <v>35.351279999999996</v>
      </c>
      <c r="C15" s="44">
        <f>VLOOKUP(A15,'Wtd scores by sub-groups'!$A$5:$J$72,3,FALSE)/12.5%</f>
        <v>50</v>
      </c>
      <c r="D15" s="44">
        <f>VLOOKUP(A15,'Wtd scores by sub-groups'!$A$5:$J$72,4,FALSE)/12.5%</f>
        <v>50.04</v>
      </c>
      <c r="E15" s="44">
        <f>VLOOKUP(A15,'Wtd scores by sub-groups'!$A$5:$J$72,5,FALSE)/13%</f>
        <v>31.344899999999996</v>
      </c>
      <c r="F15" s="44">
        <f>VLOOKUP(A15,'Wtd scores by sub-groups'!$A$5:$J$72,6,FALSE)/13%</f>
        <v>26.229576923076884</v>
      </c>
      <c r="G15" s="44">
        <f>VLOOKUP(A15,'Wtd scores by sub-groups'!$A$5:$J$72,7,FALSE)/13%</f>
        <v>33.38461538461538</v>
      </c>
      <c r="H15" s="44">
        <f>VLOOKUP(A15,'Wtd scores by sub-groups'!$A$5:$J$72,8,FALSE)/13%</f>
        <v>12.5</v>
      </c>
      <c r="I15" s="44">
        <f>VLOOKUP(A15,'Wtd scores by sub-groups'!$A$5:$J$72,9,FALSE)/13%</f>
        <v>0</v>
      </c>
      <c r="J15" s="75" t="str">
        <f>VLOOKUP(A15,'Overall scores and ranking'!$A$3:$D$71,4,FALSE)</f>
        <v>Poor</v>
      </c>
    </row>
    <row r="16" spans="1:10" x14ac:dyDescent="0.25">
      <c r="A16" s="19" t="s">
        <v>2787</v>
      </c>
      <c r="B16" s="44">
        <f>VLOOKUP(A16,'Wtd scores by sub-groups'!$A$5:$J$72,2,FALSE)/10%</f>
        <v>67.039559999999994</v>
      </c>
      <c r="C16" s="44">
        <f>VLOOKUP(A16,'Wtd scores by sub-groups'!$A$5:$J$72,3,FALSE)/12.5%</f>
        <v>40</v>
      </c>
      <c r="D16" s="44">
        <f>VLOOKUP(A16,'Wtd scores by sub-groups'!$A$5:$J$72,4,FALSE)/12.5%</f>
        <v>38.919443999999999</v>
      </c>
      <c r="E16" s="44">
        <f>VLOOKUP(A16,'Wtd scores by sub-groups'!$A$5:$J$72,5,FALSE)/13%</f>
        <v>77.754724480282349</v>
      </c>
      <c r="F16" s="44">
        <f>VLOOKUP(A16,'Wtd scores by sub-groups'!$A$5:$J$72,6,FALSE)/13%</f>
        <v>79.162182894715215</v>
      </c>
      <c r="G16" s="44">
        <f>VLOOKUP(A16,'Wtd scores by sub-groups'!$A$5:$J$72,7,FALSE)/13%</f>
        <v>41.946388557222001</v>
      </c>
      <c r="H16" s="44">
        <f>VLOOKUP(A16,'Wtd scores by sub-groups'!$A$5:$J$72,8,FALSE)/13%</f>
        <v>38.656442696151302</v>
      </c>
      <c r="I16" s="44">
        <f>VLOOKUP(A16,'Wtd scores by sub-groups'!$A$5:$J$72,9,FALSE)/13%</f>
        <v>16.865781661459923</v>
      </c>
      <c r="J16" s="75" t="str">
        <f>VLOOKUP(A16,'Overall scores and ranking'!$A$3:$D$71,4,FALSE)</f>
        <v>Fair</v>
      </c>
    </row>
    <row r="17" spans="1:10" x14ac:dyDescent="0.25">
      <c r="A17" s="19" t="s">
        <v>255</v>
      </c>
      <c r="B17" s="44">
        <f>VLOOKUP(A17,'Wtd scores by sub-groups'!$A$5:$J$72,2,FALSE)/10%</f>
        <v>22.197779999999998</v>
      </c>
      <c r="C17" s="44">
        <f>VLOOKUP(A17,'Wtd scores by sub-groups'!$A$5:$J$72,3,FALSE)/12.5%</f>
        <v>50</v>
      </c>
      <c r="D17" s="44">
        <f>VLOOKUP(A17,'Wtd scores by sub-groups'!$A$5:$J$72,4,FALSE)/12.5%</f>
        <v>20.386296000000002</v>
      </c>
      <c r="E17" s="44">
        <f>VLOOKUP(A17,'Wtd scores by sub-groups'!$A$5:$J$72,5,FALSE)/13%</f>
        <v>25.074415384615385</v>
      </c>
      <c r="F17" s="44">
        <f>VLOOKUP(A17,'Wtd scores by sub-groups'!$A$5:$J$72,6,FALSE)/13%</f>
        <v>28.614669230769188</v>
      </c>
      <c r="G17" s="44">
        <f>VLOOKUP(A17,'Wtd scores by sub-groups'!$A$5:$J$72,7,FALSE)/13%</f>
        <v>25.038461538461537</v>
      </c>
      <c r="H17" s="44">
        <f>VLOOKUP(A17,'Wtd scores by sub-groups'!$A$5:$J$72,8,FALSE)/13%</f>
        <v>25</v>
      </c>
      <c r="I17" s="44">
        <f>VLOOKUP(A17,'Wtd scores by sub-groups'!$A$5:$J$72,9,FALSE)/13%</f>
        <v>0</v>
      </c>
      <c r="J17" s="75" t="str">
        <f>VLOOKUP(A17,'Overall scores and ranking'!$A$3:$D$71,4,FALSE)</f>
        <v>Poor</v>
      </c>
    </row>
    <row r="18" spans="1:10" x14ac:dyDescent="0.25">
      <c r="A18" s="19" t="s">
        <v>868</v>
      </c>
      <c r="B18" s="44">
        <f>VLOOKUP(A18,'Wtd scores by sub-groups'!$A$5:$J$72,2,FALSE)/10%</f>
        <v>95.570999999999998</v>
      </c>
      <c r="C18" s="44">
        <f>VLOOKUP(A18,'Wtd scores by sub-groups'!$A$5:$J$72,3,FALSE)/12.5%</f>
        <v>93.75</v>
      </c>
      <c r="D18" s="44">
        <f>VLOOKUP(A18,'Wtd scores by sub-groups'!$A$5:$J$72,4,FALSE)/12.5%</f>
        <v>88.96</v>
      </c>
      <c r="E18" s="44">
        <f>VLOOKUP(A18,'Wtd scores by sub-groups'!$A$5:$J$72,5,FALSE)/13%</f>
        <v>92.817806612010543</v>
      </c>
      <c r="F18" s="44">
        <f>VLOOKUP(A18,'Wtd scores by sub-groups'!$A$5:$J$72,6,FALSE)/13%</f>
        <v>93.654870992001378</v>
      </c>
      <c r="G18" s="44">
        <f>VLOOKUP(A18,'Wtd scores by sub-groups'!$A$5:$J$72,7,FALSE)/13%</f>
        <v>25.038461538461537</v>
      </c>
      <c r="H18" s="44">
        <f>VLOOKUP(A18,'Wtd scores by sub-groups'!$A$5:$J$72,8,FALSE)/13%</f>
        <v>64.142720623962461</v>
      </c>
      <c r="I18" s="44">
        <f>VLOOKUP(A18,'Wtd scores by sub-groups'!$A$5:$J$72,9,FALSE)/13%</f>
        <v>0</v>
      </c>
      <c r="J18" s="75" t="str">
        <f>VLOOKUP(A18,'Overall scores and ranking'!$A$3:$D$71,4,FALSE)</f>
        <v>Good</v>
      </c>
    </row>
    <row r="19" spans="1:10" x14ac:dyDescent="0.25">
      <c r="A19" s="19" t="s">
        <v>1685</v>
      </c>
      <c r="B19" s="44">
        <f>VLOOKUP(A19,'Wtd scores by sub-groups'!$A$5:$J$72,2,FALSE)/10%</f>
        <v>86.247</v>
      </c>
      <c r="C19" s="44">
        <f>VLOOKUP(A19,'Wtd scores by sub-groups'!$A$5:$J$72,3,FALSE)/12.5%</f>
        <v>90</v>
      </c>
      <c r="D19" s="44">
        <f>VLOOKUP(A19,'Wtd scores by sub-groups'!$A$5:$J$72,4,FALSE)/12.5%</f>
        <v>88.96</v>
      </c>
      <c r="E19" s="44">
        <f>VLOOKUP(A19,'Wtd scores by sub-groups'!$A$5:$J$72,5,FALSE)/13%</f>
        <v>72.179282013810464</v>
      </c>
      <c r="F19" s="44">
        <f>VLOOKUP(A19,'Wtd scores by sub-groups'!$A$5:$J$72,6,FALSE)/13%</f>
        <v>72.333001445318615</v>
      </c>
      <c r="G19" s="44">
        <f>VLOOKUP(A19,'Wtd scores by sub-groups'!$A$5:$J$72,7,FALSE)/13%</f>
        <v>25.038461538461537</v>
      </c>
      <c r="H19" s="44">
        <f>VLOOKUP(A19,'Wtd scores by sub-groups'!$A$5:$J$72,8,FALSE)/13%</f>
        <v>36.249999999999922</v>
      </c>
      <c r="I19" s="44">
        <f>VLOOKUP(A19,'Wtd scores by sub-groups'!$A$5:$J$72,9,FALSE)/13%</f>
        <v>16.653846153846153</v>
      </c>
      <c r="J19" s="75" t="str">
        <f>VLOOKUP(A19,'Overall scores and ranking'!$A$3:$D$71,4,FALSE)</f>
        <v>Fair</v>
      </c>
    </row>
    <row r="20" spans="1:10" x14ac:dyDescent="0.25">
      <c r="A20" s="19" t="s">
        <v>1482</v>
      </c>
      <c r="B20" s="44">
        <f>VLOOKUP(A20,'Wtd scores by sub-groups'!$A$5:$J$72,2,FALSE)/10%</f>
        <v>92.241</v>
      </c>
      <c r="C20" s="44">
        <f>VLOOKUP(A20,'Wtd scores by sub-groups'!$A$5:$J$72,3,FALSE)/12.5%</f>
        <v>90</v>
      </c>
      <c r="D20" s="44">
        <f>VLOOKUP(A20,'Wtd scores by sub-groups'!$A$5:$J$72,4,FALSE)/12.5%</f>
        <v>66.72</v>
      </c>
      <c r="E20" s="44">
        <f>VLOOKUP(A20,'Wtd scores by sub-groups'!$A$5:$J$72,5,FALSE)/13%</f>
        <v>96.266213259514686</v>
      </c>
      <c r="F20" s="44">
        <f>VLOOKUP(A20,'Wtd scores by sub-groups'!$A$5:$J$72,6,FALSE)/13%</f>
        <v>85.399038461538069</v>
      </c>
      <c r="G20" s="44">
        <f>VLOOKUP(A20,'Wtd scores by sub-groups'!$A$5:$J$72,7,FALSE)/13%</f>
        <v>25.038461538461537</v>
      </c>
      <c r="H20" s="44">
        <f>VLOOKUP(A20,'Wtd scores by sub-groups'!$A$5:$J$72,8,FALSE)/13%</f>
        <v>46.78721910112354</v>
      </c>
      <c r="I20" s="44">
        <f>VLOOKUP(A20,'Wtd scores by sub-groups'!$A$5:$J$72,9,FALSE)/13%</f>
        <v>0</v>
      </c>
      <c r="J20" s="75" t="str">
        <f>VLOOKUP(A20,'Overall scores and ranking'!$A$3:$D$71,4,FALSE)</f>
        <v>Good</v>
      </c>
    </row>
    <row r="21" spans="1:10" x14ac:dyDescent="0.25">
      <c r="A21" s="19" t="s">
        <v>2217</v>
      </c>
      <c r="B21" s="44">
        <f>VLOOKUP(A21,'Wtd scores by sub-groups'!$A$5:$J$72,2,FALSE)/10%</f>
        <v>96.903000000000006</v>
      </c>
      <c r="C21" s="44">
        <f>VLOOKUP(A21,'Wtd scores by sub-groups'!$A$5:$J$72,3,FALSE)/12.5%</f>
        <v>97.333333333333286</v>
      </c>
      <c r="D21" s="44">
        <f>VLOOKUP(A21,'Wtd scores by sub-groups'!$A$5:$J$72,4,FALSE)/12.5%</f>
        <v>88.96</v>
      </c>
      <c r="E21" s="44">
        <f>VLOOKUP(A21,'Wtd scores by sub-groups'!$A$5:$J$72,5,FALSE)/13%</f>
        <v>94.021344184824983</v>
      </c>
      <c r="F21" s="44">
        <f>VLOOKUP(A21,'Wtd scores by sub-groups'!$A$5:$J$72,6,FALSE)/13%</f>
        <v>94.576103973571847</v>
      </c>
      <c r="G21" s="44">
        <f>VLOOKUP(A21,'Wtd scores by sub-groups'!$A$5:$J$72,7,FALSE)/13%</f>
        <v>25.038461538461537</v>
      </c>
      <c r="H21" s="44">
        <f>VLOOKUP(A21,'Wtd scores by sub-groups'!$A$5:$J$72,8,FALSE)/13%</f>
        <v>64.049384281892699</v>
      </c>
      <c r="I21" s="44">
        <f>VLOOKUP(A21,'Wtd scores by sub-groups'!$A$5:$J$72,9,FALSE)/13%</f>
        <v>0</v>
      </c>
      <c r="J21" s="75" t="str">
        <f>VLOOKUP(A21,'Overall scores and ranking'!$A$3:$D$71,4,FALSE)</f>
        <v>Good</v>
      </c>
    </row>
    <row r="22" spans="1:10" x14ac:dyDescent="0.25">
      <c r="A22" s="19" t="s">
        <v>295</v>
      </c>
      <c r="B22" s="44">
        <f>VLOOKUP(A22,'Wtd scores by sub-groups'!$A$5:$J$72,2,FALSE)/10%</f>
        <v>44.395559999999996</v>
      </c>
      <c r="C22" s="44">
        <f>VLOOKUP(A22,'Wtd scores by sub-groups'!$A$5:$J$72,3,FALSE)/12.5%</f>
        <v>40</v>
      </c>
      <c r="D22" s="44">
        <f>VLOOKUP(A22,'Wtd scores by sub-groups'!$A$5:$J$72,4,FALSE)/12.5%</f>
        <v>27.798887999999998</v>
      </c>
      <c r="E22" s="44">
        <f>VLOOKUP(A22,'Wtd scores by sub-groups'!$A$5:$J$72,5,FALSE)/13%</f>
        <v>22.985507692307689</v>
      </c>
      <c r="F22" s="44">
        <f>VLOOKUP(A22,'Wtd scores by sub-groups'!$A$5:$J$72,6,FALSE)/13%</f>
        <v>16.69135384615382</v>
      </c>
      <c r="G22" s="44">
        <f>VLOOKUP(A22,'Wtd scores by sub-groups'!$A$5:$J$72,7,FALSE)/13%</f>
        <v>25.038461538461537</v>
      </c>
      <c r="H22" s="44">
        <f>VLOOKUP(A22,'Wtd scores by sub-groups'!$A$5:$J$72,8,FALSE)/13%</f>
        <v>25</v>
      </c>
      <c r="I22" s="44">
        <f>VLOOKUP(A22,'Wtd scores by sub-groups'!$A$5:$J$72,9,FALSE)/13%</f>
        <v>0</v>
      </c>
      <c r="J22" s="75" t="str">
        <f>VLOOKUP(A22,'Overall scores and ranking'!$A$3:$D$71,4,FALSE)</f>
        <v>Poor</v>
      </c>
    </row>
    <row r="23" spans="1:10" x14ac:dyDescent="0.25">
      <c r="A23" s="19" t="s">
        <v>335</v>
      </c>
      <c r="B23" s="44">
        <f>VLOOKUP(A23,'Wtd scores by sub-groups'!$A$5:$J$72,2,FALSE)/10%</f>
        <v>55.497779999999999</v>
      </c>
      <c r="C23" s="44">
        <f>VLOOKUP(A23,'Wtd scores by sub-groups'!$A$5:$J$72,3,FALSE)/12.5%</f>
        <v>50</v>
      </c>
      <c r="D23" s="44">
        <f>VLOOKUP(A23,'Wtd scores by sub-groups'!$A$5:$J$72,4,FALSE)/12.5%</f>
        <v>3.706296</v>
      </c>
      <c r="E23" s="44">
        <f>VLOOKUP(A23,'Wtd scores by sub-groups'!$A$5:$J$72,5,FALSE)/13%</f>
        <v>41.794453846153836</v>
      </c>
      <c r="F23" s="44">
        <f>VLOOKUP(A23,'Wtd scores by sub-groups'!$A$5:$J$72,6,FALSE)/13%</f>
        <v>30.999046153846116</v>
      </c>
      <c r="G23" s="44">
        <f>VLOOKUP(A23,'Wtd scores by sub-groups'!$A$5:$J$72,7,FALSE)/13%</f>
        <v>25.038461538461537</v>
      </c>
      <c r="H23" s="44">
        <f>VLOOKUP(A23,'Wtd scores by sub-groups'!$A$5:$J$72,8,FALSE)/13%</f>
        <v>25</v>
      </c>
      <c r="I23" s="44">
        <f>VLOOKUP(A23,'Wtd scores by sub-groups'!$A$5:$J$72,9,FALSE)/13%</f>
        <v>0</v>
      </c>
      <c r="J23" s="75" t="str">
        <f>VLOOKUP(A23,'Overall scores and ranking'!$A$3:$D$71,4,FALSE)</f>
        <v>Poor</v>
      </c>
    </row>
    <row r="24" spans="1:10" x14ac:dyDescent="0.25">
      <c r="A24" s="19" t="s">
        <v>991</v>
      </c>
      <c r="B24" s="44">
        <f>VLOOKUP(A24,'Wtd scores by sub-groups'!$A$5:$J$72,2,FALSE)/10%</f>
        <v>40.959000000000003</v>
      </c>
      <c r="C24" s="44">
        <f>VLOOKUP(A24,'Wtd scores by sub-groups'!$A$5:$J$72,3,FALSE)/12.5%</f>
        <v>50</v>
      </c>
      <c r="D24" s="44">
        <f>VLOOKUP(A24,'Wtd scores by sub-groups'!$A$5:$J$72,4,FALSE)/12.5%</f>
        <v>55.6</v>
      </c>
      <c r="E24" s="44">
        <f>VLOOKUP(A24,'Wtd scores by sub-groups'!$A$5:$J$72,5,FALSE)/13%</f>
        <v>60.641861614528544</v>
      </c>
      <c r="F24" s="44">
        <f>VLOOKUP(A24,'Wtd scores by sub-groups'!$A$5:$J$72,6,FALSE)/13%</f>
        <v>81.386716744318676</v>
      </c>
      <c r="G24" s="44">
        <f>VLOOKUP(A24,'Wtd scores by sub-groups'!$A$5:$J$72,7,FALSE)/13%</f>
        <v>25.038461538461537</v>
      </c>
      <c r="H24" s="44">
        <f>VLOOKUP(A24,'Wtd scores by sub-groups'!$A$5:$J$72,8,FALSE)/13%</f>
        <v>55.832499999999918</v>
      </c>
      <c r="I24" s="44">
        <f>VLOOKUP(A24,'Wtd scores by sub-groups'!$A$5:$J$72,9,FALSE)/13%</f>
        <v>0</v>
      </c>
      <c r="J24" s="75" t="str">
        <f>VLOOKUP(A24,'Overall scores and ranking'!$A$3:$D$71,4,FALSE)</f>
        <v>Fair</v>
      </c>
    </row>
    <row r="25" spans="1:10" x14ac:dyDescent="0.25">
      <c r="A25" s="19" t="s">
        <v>2135</v>
      </c>
      <c r="B25" s="44">
        <f>VLOOKUP(A25,'Wtd scores by sub-groups'!$A$5:$J$72,2,FALSE)/10%</f>
        <v>43.619669999999999</v>
      </c>
      <c r="C25" s="44">
        <f>VLOOKUP(A25,'Wtd scores by sub-groups'!$A$5:$J$72,3,FALSE)/12.5%</f>
        <v>50</v>
      </c>
      <c r="D25" s="44">
        <f>VLOOKUP(A25,'Wtd scores by sub-groups'!$A$5:$J$72,4,FALSE)/12.5%</f>
        <v>16.68</v>
      </c>
      <c r="E25" s="44">
        <f>VLOOKUP(A25,'Wtd scores by sub-groups'!$A$5:$J$72,5,FALSE)/13%</f>
        <v>22.984880769230767</v>
      </c>
      <c r="F25" s="44">
        <f>VLOOKUP(A25,'Wtd scores by sub-groups'!$A$5:$J$72,6,FALSE)/13%</f>
        <v>19.075015384615345</v>
      </c>
      <c r="G25" s="44">
        <f>VLOOKUP(A25,'Wtd scores by sub-groups'!$A$5:$J$72,7,FALSE)/13%</f>
        <v>25.038461538461537</v>
      </c>
      <c r="H25" s="44">
        <f>VLOOKUP(A25,'Wtd scores by sub-groups'!$A$5:$J$72,8,FALSE)/13%</f>
        <v>8.3324999999999214</v>
      </c>
      <c r="I25" s="44">
        <f>VLOOKUP(A25,'Wtd scores by sub-groups'!$A$5:$J$72,9,FALSE)/13%</f>
        <v>16.653846153846153</v>
      </c>
      <c r="J25" s="75" t="str">
        <f>VLOOKUP(A25,'Overall scores and ranking'!$A$3:$D$71,4,FALSE)</f>
        <v>Poor</v>
      </c>
    </row>
    <row r="26" spans="1:10" x14ac:dyDescent="0.25">
      <c r="A26" s="19" t="s">
        <v>3190</v>
      </c>
      <c r="B26" s="44">
        <f>VLOOKUP(A26,'Wtd scores by sub-groups'!$A$5:$J$72,2,FALSE)/10%</f>
        <v>26.360279999999996</v>
      </c>
      <c r="C26" s="44">
        <f>VLOOKUP(A26,'Wtd scores by sub-groups'!$A$5:$J$72,3,FALSE)/12.5%</f>
        <v>60</v>
      </c>
      <c r="D26" s="44">
        <f>VLOOKUP(A26,'Wtd scores by sub-groups'!$A$5:$J$72,4,FALSE)/12.5%</f>
        <v>5.5594440000000001</v>
      </c>
      <c r="E26" s="44">
        <f>VLOOKUP(A26,'Wtd scores by sub-groups'!$A$5:$J$72,5,FALSE)/13%</f>
        <v>60.592585790743797</v>
      </c>
      <c r="F26" s="44">
        <f>VLOOKUP(A26,'Wtd scores by sub-groups'!$A$5:$J$72,6,FALSE)/13%</f>
        <v>88.909982517176232</v>
      </c>
      <c r="G26" s="44">
        <f>VLOOKUP(A26,'Wtd scores by sub-groups'!$A$5:$J$72,7,FALSE)/13%</f>
        <v>33.477096706303229</v>
      </c>
      <c r="H26" s="44">
        <f>VLOOKUP(A26,'Wtd scores by sub-groups'!$A$5:$J$72,8,FALSE)/13%</f>
        <v>42.682968536251693</v>
      </c>
      <c r="I26" s="44">
        <f>VLOOKUP(A26,'Wtd scores by sub-groups'!$A$5:$J$72,9,FALSE)/13%</f>
        <v>17.197203514679536</v>
      </c>
      <c r="J26" s="75" t="str">
        <f>VLOOKUP(A26,'Overall scores and ranking'!$A$3:$D$71,4,FALSE)</f>
        <v>Fair</v>
      </c>
    </row>
    <row r="27" spans="1:10" x14ac:dyDescent="0.25">
      <c r="A27" s="19" t="s">
        <v>376</v>
      </c>
      <c r="B27" s="44">
        <f>VLOOKUP(A27,'Wtd scores by sub-groups'!$A$5:$J$72,2,FALSE)/10%</f>
        <v>24.362279999999998</v>
      </c>
      <c r="C27" s="44">
        <f>VLOOKUP(A27,'Wtd scores by sub-groups'!$A$5:$J$72,3,FALSE)/12.5%</f>
        <v>40</v>
      </c>
      <c r="D27" s="44">
        <f>VLOOKUP(A27,'Wtd scores by sub-groups'!$A$5:$J$72,4,FALSE)/12.5%</f>
        <v>5.5594440000000001</v>
      </c>
      <c r="E27" s="44">
        <f>VLOOKUP(A27,'Wtd scores by sub-groups'!$A$5:$J$72,5,FALSE)/13%</f>
        <v>0</v>
      </c>
      <c r="F27" s="44">
        <f>VLOOKUP(A27,'Wtd scores by sub-groups'!$A$5:$J$72,6,FALSE)/13%</f>
        <v>0</v>
      </c>
      <c r="G27" s="44">
        <f>VLOOKUP(A27,'Wtd scores by sub-groups'!$A$5:$J$72,7,FALSE)/13%</f>
        <v>16.69230769230769</v>
      </c>
      <c r="H27" s="44">
        <f>VLOOKUP(A27,'Wtd scores by sub-groups'!$A$5:$J$72,8,FALSE)/13%</f>
        <v>0</v>
      </c>
      <c r="I27" s="44">
        <f>VLOOKUP(A27,'Wtd scores by sub-groups'!$A$5:$J$72,9,FALSE)/13%</f>
        <v>0</v>
      </c>
      <c r="J27" s="75" t="str">
        <f>VLOOKUP(A27,'Overall scores and ranking'!$A$3:$D$71,4,FALSE)</f>
        <v>Very Poor</v>
      </c>
    </row>
    <row r="28" spans="1:10" x14ac:dyDescent="0.25">
      <c r="A28" s="19" t="s">
        <v>1073</v>
      </c>
      <c r="B28" s="44">
        <f>VLOOKUP(A28,'Wtd scores by sub-groups'!$A$5:$J$72,2,FALSE)/10%</f>
        <v>34.352279999999993</v>
      </c>
      <c r="C28" s="44">
        <f>VLOOKUP(A28,'Wtd scores by sub-groups'!$A$5:$J$72,3,FALSE)/12.5%</f>
        <v>90</v>
      </c>
      <c r="D28" s="44">
        <f>VLOOKUP(A28,'Wtd scores by sub-groups'!$A$5:$J$72,4,FALSE)/12.5%</f>
        <v>33.36</v>
      </c>
      <c r="E28" s="44">
        <f>VLOOKUP(A28,'Wtd scores by sub-groups'!$A$5:$J$72,5,FALSE)/13%</f>
        <v>65.643130423963314</v>
      </c>
      <c r="F28" s="44">
        <f>VLOOKUP(A28,'Wtd scores by sub-groups'!$A$5:$J$72,6,FALSE)/13%</f>
        <v>71.538461538461078</v>
      </c>
      <c r="G28" s="44">
        <f>VLOOKUP(A28,'Wtd scores by sub-groups'!$A$5:$J$72,7,FALSE)/13%</f>
        <v>8.3461538461538449</v>
      </c>
      <c r="H28" s="44">
        <f>VLOOKUP(A28,'Wtd scores by sub-groups'!$A$5:$J$72,8,FALSE)/13%</f>
        <v>67.52193913388092</v>
      </c>
      <c r="I28" s="44">
        <f>VLOOKUP(A28,'Wtd scores by sub-groups'!$A$5:$J$72,9,FALSE)/13%</f>
        <v>0</v>
      </c>
      <c r="J28" s="75" t="str">
        <f>VLOOKUP(A28,'Overall scores and ranking'!$A$3:$D$71,4,FALSE)</f>
        <v>Fair</v>
      </c>
    </row>
    <row r="29" spans="1:10" x14ac:dyDescent="0.25">
      <c r="A29" s="19" t="s">
        <v>1319</v>
      </c>
      <c r="B29" s="44">
        <f>VLOOKUP(A29,'Wtd scores by sub-groups'!$A$5:$J$72,2,FALSE)/10%</f>
        <v>43.732889999999998</v>
      </c>
      <c r="C29" s="44">
        <f>VLOOKUP(A29,'Wtd scores by sub-groups'!$A$5:$J$72,3,FALSE)/12.5%</f>
        <v>100</v>
      </c>
      <c r="D29" s="44">
        <f>VLOOKUP(A29,'Wtd scores by sub-groups'!$A$5:$J$72,4,FALSE)/12.5%</f>
        <v>100.08</v>
      </c>
      <c r="E29" s="44">
        <f>VLOOKUP(A29,'Wtd scores by sub-groups'!$A$5:$J$72,5,FALSE)/13%</f>
        <v>100.30769230769222</v>
      </c>
      <c r="F29" s="44">
        <f>VLOOKUP(A29,'Wtd scores by sub-groups'!$A$5:$J$72,6,FALSE)/13%</f>
        <v>100.15384615384563</v>
      </c>
      <c r="G29" s="44">
        <f>VLOOKUP(A29,'Wtd scores by sub-groups'!$A$5:$J$72,7,FALSE)/13%</f>
        <v>82.983705226071621</v>
      </c>
      <c r="H29" s="44">
        <f>VLOOKUP(A29,'Wtd scores by sub-groups'!$A$5:$J$72,8,FALSE)/13%</f>
        <v>91.188857897827305</v>
      </c>
      <c r="I29" s="44">
        <f>VLOOKUP(A29,'Wtd scores by sub-groups'!$A$5:$J$72,9,FALSE)/13%</f>
        <v>66.615384615384613</v>
      </c>
      <c r="J29" s="75" t="str">
        <f>VLOOKUP(A29,'Overall scores and ranking'!$A$3:$D$71,4,FALSE)</f>
        <v>Very good</v>
      </c>
    </row>
    <row r="30" spans="1:10" x14ac:dyDescent="0.25">
      <c r="A30" s="19" t="s">
        <v>2421</v>
      </c>
      <c r="B30" s="44">
        <f>VLOOKUP(A30,'Wtd scores by sub-groups'!$A$5:$J$72,2,FALSE)/10%</f>
        <v>42.620669999999997</v>
      </c>
      <c r="C30" s="44">
        <f>VLOOKUP(A30,'Wtd scores by sub-groups'!$A$5:$J$72,3,FALSE)/12.5%</f>
        <v>80.403225806451601</v>
      </c>
      <c r="D30" s="44">
        <f>VLOOKUP(A30,'Wtd scores by sub-groups'!$A$5:$J$72,4,FALSE)/12.5%</f>
        <v>55.599443999999998</v>
      </c>
      <c r="E30" s="44">
        <f>VLOOKUP(A30,'Wtd scores by sub-groups'!$A$5:$J$72,5,FALSE)/13%</f>
        <v>86.974266455193927</v>
      </c>
      <c r="F30" s="44">
        <f>VLOOKUP(A30,'Wtd scores by sub-groups'!$A$5:$J$72,6,FALSE)/13%</f>
        <v>75.015820777160911</v>
      </c>
      <c r="G30" s="44">
        <f>VLOOKUP(A30,'Wtd scores by sub-groups'!$A$5:$J$72,7,FALSE)/13%</f>
        <v>25.038461538461537</v>
      </c>
      <c r="H30" s="44">
        <f>VLOOKUP(A30,'Wtd scores by sub-groups'!$A$5:$J$72,8,FALSE)/13%</f>
        <v>47.5</v>
      </c>
      <c r="I30" s="44">
        <f>VLOOKUP(A30,'Wtd scores by sub-groups'!$A$5:$J$72,9,FALSE)/13%</f>
        <v>16.702133723235459</v>
      </c>
      <c r="J30" s="75" t="str">
        <f>VLOOKUP(A30,'Overall scores and ranking'!$A$3:$D$71,4,FALSE)</f>
        <v>Fair</v>
      </c>
    </row>
    <row r="31" spans="1:10" x14ac:dyDescent="0.25">
      <c r="A31" s="19" t="s">
        <v>2462</v>
      </c>
      <c r="B31" s="44">
        <f>VLOOKUP(A31,'Wtd scores by sub-groups'!$A$5:$J$72,2,FALSE)/10%</f>
        <v>31.521779999999996</v>
      </c>
      <c r="C31" s="44">
        <f>VLOOKUP(A31,'Wtd scores by sub-groups'!$A$5:$J$72,3,FALSE)/12.5%</f>
        <v>80.403225806451601</v>
      </c>
      <c r="D31" s="44">
        <f>VLOOKUP(A31,'Wtd scores by sub-groups'!$A$5:$J$72,4,FALSE)/12.5%</f>
        <v>55.599443999999998</v>
      </c>
      <c r="E31" s="44">
        <f>VLOOKUP(A31,'Wtd scores by sub-groups'!$A$5:$J$72,5,FALSE)/13%</f>
        <v>85.930916825837457</v>
      </c>
      <c r="F31" s="44">
        <f>VLOOKUP(A31,'Wtd scores by sub-groups'!$A$5:$J$72,6,FALSE)/13%</f>
        <v>69.125078433755831</v>
      </c>
      <c r="G31" s="44">
        <f>VLOOKUP(A31,'Wtd scores by sub-groups'!$A$5:$J$72,7,FALSE)/13%</f>
        <v>16.69230769230769</v>
      </c>
      <c r="H31" s="44">
        <f>VLOOKUP(A31,'Wtd scores by sub-groups'!$A$5:$J$72,8,FALSE)/13%</f>
        <v>47.5</v>
      </c>
      <c r="I31" s="44">
        <f>VLOOKUP(A31,'Wtd scores by sub-groups'!$A$5:$J$72,9,FALSE)/13%</f>
        <v>16.68768015280423</v>
      </c>
      <c r="J31" s="75" t="str">
        <f>VLOOKUP(A31,'Overall scores and ranking'!$A$3:$D$71,4,FALSE)</f>
        <v>Fair</v>
      </c>
    </row>
    <row r="32" spans="1:10" x14ac:dyDescent="0.25">
      <c r="A32" s="19" t="s">
        <v>2989</v>
      </c>
      <c r="B32" s="44">
        <f>VLOOKUP(A32,'Wtd scores by sub-groups'!$A$5:$J$72,2,FALSE)/10%</f>
        <v>20.422889999999995</v>
      </c>
      <c r="C32" s="44">
        <f>VLOOKUP(A32,'Wtd scores by sub-groups'!$A$5:$J$72,3,FALSE)/12.5%</f>
        <v>30</v>
      </c>
      <c r="D32" s="44">
        <f>VLOOKUP(A32,'Wtd scores by sub-groups'!$A$5:$J$72,4,FALSE)/12.5%</f>
        <v>22.239443999999999</v>
      </c>
      <c r="E32" s="44">
        <f>VLOOKUP(A32,'Wtd scores by sub-groups'!$A$5:$J$72,5,FALSE)/13%</f>
        <v>4.1790692307692305</v>
      </c>
      <c r="F32" s="44">
        <f>VLOOKUP(A32,'Wtd scores by sub-groups'!$A$5:$J$72,6,FALSE)/13%</f>
        <v>0</v>
      </c>
      <c r="G32" s="44">
        <f>VLOOKUP(A32,'Wtd scores by sub-groups'!$A$5:$J$72,7,FALSE)/13%</f>
        <v>0</v>
      </c>
      <c r="H32" s="44">
        <f>VLOOKUP(A32,'Wtd scores by sub-groups'!$A$5:$J$72,8,FALSE)/13%</f>
        <v>0</v>
      </c>
      <c r="I32" s="44">
        <f>VLOOKUP(A32,'Wtd scores by sub-groups'!$A$5:$J$72,9,FALSE)/13%</f>
        <v>0</v>
      </c>
      <c r="J32" s="75" t="str">
        <f>VLOOKUP(A32,'Overall scores and ranking'!$A$3:$D$71,4,FALSE)</f>
        <v>Very Poor</v>
      </c>
    </row>
    <row r="33" spans="1:10" x14ac:dyDescent="0.25">
      <c r="A33" s="19" t="s">
        <v>1238</v>
      </c>
      <c r="B33" s="44">
        <f>VLOOKUP(A33,'Wtd scores by sub-groups'!$A$5:$J$72,2,FALSE)/10%</f>
        <v>56.939669999999992</v>
      </c>
      <c r="C33" s="44">
        <f>VLOOKUP(A33,'Wtd scores by sub-groups'!$A$5:$J$72,3,FALSE)/12.5%</f>
        <v>70</v>
      </c>
      <c r="D33" s="44">
        <f>VLOOKUP(A33,'Wtd scores by sub-groups'!$A$5:$J$72,4,FALSE)/12.5%</f>
        <v>44.480000000000004</v>
      </c>
      <c r="E33" s="44">
        <f>VLOOKUP(A33,'Wtd scores by sub-groups'!$A$5:$J$72,5,FALSE)/13%</f>
        <v>98.946403430180311</v>
      </c>
      <c r="F33" s="44">
        <f>VLOOKUP(A33,'Wtd scores by sub-groups'!$A$5:$J$72,6,FALSE)/13%</f>
        <v>85.846153846153399</v>
      </c>
      <c r="G33" s="44">
        <f>VLOOKUP(A33,'Wtd scores by sub-groups'!$A$5:$J$72,7,FALSE)/13%</f>
        <v>89.022373470058611</v>
      </c>
      <c r="H33" s="44">
        <f>VLOOKUP(A33,'Wtd scores by sub-groups'!$A$5:$J$72,8,FALSE)/13%</f>
        <v>54.10385399334438</v>
      </c>
      <c r="I33" s="44">
        <f>VLOOKUP(A33,'Wtd scores by sub-groups'!$A$5:$J$72,9,FALSE)/13%</f>
        <v>82.036125687955902</v>
      </c>
      <c r="J33" s="75" t="str">
        <f>VLOOKUP(A33,'Overall scores and ranking'!$A$3:$D$71,4,FALSE)</f>
        <v>Good</v>
      </c>
    </row>
    <row r="34" spans="1:10" x14ac:dyDescent="0.25">
      <c r="A34" s="19" t="s">
        <v>417</v>
      </c>
      <c r="B34" s="44">
        <f>VLOOKUP(A34,'Wtd scores by sub-groups'!$A$5:$J$72,2,FALSE)/10%</f>
        <v>22.197779999999998</v>
      </c>
      <c r="C34" s="44">
        <f>VLOOKUP(A34,'Wtd scores by sub-groups'!$A$5:$J$72,3,FALSE)/12.5%</f>
        <v>20</v>
      </c>
      <c r="D34" s="44">
        <f>VLOOKUP(A34,'Wtd scores by sub-groups'!$A$5:$J$72,4,FALSE)/12.5%</f>
        <v>0</v>
      </c>
      <c r="E34" s="44">
        <f>VLOOKUP(A34,'Wtd scores by sub-groups'!$A$5:$J$72,5,FALSE)/13%</f>
        <v>0</v>
      </c>
      <c r="F34" s="44">
        <f>VLOOKUP(A34,'Wtd scores by sub-groups'!$A$5:$J$72,6,FALSE)/13%</f>
        <v>0</v>
      </c>
      <c r="G34" s="44">
        <f>VLOOKUP(A34,'Wtd scores by sub-groups'!$A$5:$J$72,7,FALSE)/13%</f>
        <v>0</v>
      </c>
      <c r="H34" s="44">
        <f>VLOOKUP(A34,'Wtd scores by sub-groups'!$A$5:$J$72,8,FALSE)/13%</f>
        <v>0</v>
      </c>
      <c r="I34" s="44">
        <f>VLOOKUP(A34,'Wtd scores by sub-groups'!$A$5:$J$72,9,FALSE)/13%</f>
        <v>0</v>
      </c>
      <c r="J34" s="75" t="str">
        <f>VLOOKUP(A34,'Overall scores and ranking'!$A$3:$D$71,4,FALSE)</f>
        <v>Very Poor</v>
      </c>
    </row>
    <row r="35" spans="1:10" x14ac:dyDescent="0.25">
      <c r="A35" s="19" t="s">
        <v>458</v>
      </c>
      <c r="B35" s="44">
        <f>VLOOKUP(A35,'Wtd scores by sub-groups'!$A$5:$J$72,2,FALSE)/10%</f>
        <v>22.197779999999998</v>
      </c>
      <c r="C35" s="44">
        <f>VLOOKUP(A35,'Wtd scores by sub-groups'!$A$5:$J$72,3,FALSE)/12.5%</f>
        <v>40</v>
      </c>
      <c r="D35" s="44">
        <f>VLOOKUP(A35,'Wtd scores by sub-groups'!$A$5:$J$72,4,FALSE)/12.5%</f>
        <v>0</v>
      </c>
      <c r="E35" s="44">
        <f>VLOOKUP(A35,'Wtd scores by sub-groups'!$A$5:$J$72,5,FALSE)/13%</f>
        <v>0</v>
      </c>
      <c r="F35" s="44">
        <f>VLOOKUP(A35,'Wtd scores by sub-groups'!$A$5:$J$72,6,FALSE)/13%</f>
        <v>0</v>
      </c>
      <c r="G35" s="44">
        <f>VLOOKUP(A35,'Wtd scores by sub-groups'!$A$5:$J$72,7,FALSE)/13%</f>
        <v>8.3461538461538449</v>
      </c>
      <c r="H35" s="44">
        <f>VLOOKUP(A35,'Wtd scores by sub-groups'!$A$5:$J$72,8,FALSE)/13%</f>
        <v>0</v>
      </c>
      <c r="I35" s="44">
        <f>VLOOKUP(A35,'Wtd scores by sub-groups'!$A$5:$J$72,9,FALSE)/13%</f>
        <v>0</v>
      </c>
      <c r="J35" s="75" t="str">
        <f>VLOOKUP(A35,'Overall scores and ranking'!$A$3:$D$71,4,FALSE)</f>
        <v>Very Poor</v>
      </c>
    </row>
    <row r="36" spans="1:10" x14ac:dyDescent="0.25">
      <c r="A36" s="19" t="s">
        <v>951</v>
      </c>
      <c r="B36" s="44">
        <f>VLOOKUP(A36,'Wtd scores by sub-groups'!$A$5:$J$72,2,FALSE)/10%</f>
        <v>57.938669999999995</v>
      </c>
      <c r="C36" s="44">
        <f>VLOOKUP(A36,'Wtd scores by sub-groups'!$A$5:$J$72,3,FALSE)/12.5%</f>
        <v>100</v>
      </c>
      <c r="D36" s="44">
        <f>VLOOKUP(A36,'Wtd scores by sub-groups'!$A$5:$J$72,4,FALSE)/12.5%</f>
        <v>40.773147999999999</v>
      </c>
      <c r="E36" s="44">
        <f>VLOOKUP(A36,'Wtd scores by sub-groups'!$A$5:$J$72,5,FALSE)/13%</f>
        <v>92.106395546729757</v>
      </c>
      <c r="F36" s="44">
        <f>VLOOKUP(A36,'Wtd scores by sub-groups'!$A$5:$J$72,6,FALSE)/13%</f>
        <v>81.40955296635353</v>
      </c>
      <c r="G36" s="44">
        <f>VLOOKUP(A36,'Wtd scores by sub-groups'!$A$5:$J$72,7,FALSE)/13%</f>
        <v>82.305529663535609</v>
      </c>
      <c r="H36" s="44">
        <f>VLOOKUP(A36,'Wtd scores by sub-groups'!$A$5:$J$72,8,FALSE)/13%</f>
        <v>46.38717156105092</v>
      </c>
      <c r="I36" s="44">
        <f>VLOOKUP(A36,'Wtd scores by sub-groups'!$A$5:$J$72,9,FALSE)/13%</f>
        <v>86.459716442753376</v>
      </c>
      <c r="J36" s="75" t="str">
        <f>VLOOKUP(A36,'Overall scores and ranking'!$A$3:$D$71,4,FALSE)</f>
        <v>Good</v>
      </c>
    </row>
    <row r="37" spans="1:10" x14ac:dyDescent="0.25">
      <c r="A37" s="19" t="s">
        <v>499</v>
      </c>
      <c r="B37" s="44">
        <f>VLOOKUP(A37,'Wtd scores by sub-groups'!$A$5:$J$72,2,FALSE)/10%</f>
        <v>33.296669999999992</v>
      </c>
      <c r="C37" s="44">
        <f>VLOOKUP(A37,'Wtd scores by sub-groups'!$A$5:$J$72,3,FALSE)/12.5%</f>
        <v>50</v>
      </c>
      <c r="D37" s="44">
        <f>VLOOKUP(A37,'Wtd scores by sub-groups'!$A$5:$J$72,4,FALSE)/12.5%</f>
        <v>22.239443999999999</v>
      </c>
      <c r="E37" s="44">
        <f>VLOOKUP(A37,'Wtd scores by sub-groups'!$A$5:$J$72,5,FALSE)/13%</f>
        <v>33.435061538461539</v>
      </c>
      <c r="F37" s="44">
        <f>VLOOKUP(A37,'Wtd scores by sub-groups'!$A$5:$J$72,6,FALSE)/13%</f>
        <v>21.460823076923049</v>
      </c>
      <c r="G37" s="44">
        <f>VLOOKUP(A37,'Wtd scores by sub-groups'!$A$5:$J$72,7,FALSE)/13%</f>
        <v>33.38461538461538</v>
      </c>
      <c r="H37" s="44">
        <f>VLOOKUP(A37,'Wtd scores by sub-groups'!$A$5:$J$72,8,FALSE)/13%</f>
        <v>20.832499999999982</v>
      </c>
      <c r="I37" s="44">
        <f>VLOOKUP(A37,'Wtd scores by sub-groups'!$A$5:$J$72,9,FALSE)/13%</f>
        <v>38.858419230769222</v>
      </c>
      <c r="J37" s="75" t="str">
        <f>VLOOKUP(A37,'Overall scores and ranking'!$A$3:$D$71,4,FALSE)</f>
        <v>Poor</v>
      </c>
    </row>
    <row r="38" spans="1:10" x14ac:dyDescent="0.25">
      <c r="A38" s="19" t="s">
        <v>1441</v>
      </c>
      <c r="B38" s="44">
        <f>VLOOKUP(A38,'Wtd scores by sub-groups'!$A$5:$J$72,2,FALSE)/10%</f>
        <v>52.946999999999996</v>
      </c>
      <c r="C38" s="44">
        <f>VLOOKUP(A38,'Wtd scores by sub-groups'!$A$5:$J$72,3,FALSE)/12.5%</f>
        <v>60</v>
      </c>
      <c r="D38" s="44">
        <f>VLOOKUP(A38,'Wtd scores by sub-groups'!$A$5:$J$72,4,FALSE)/12.5%</f>
        <v>61.16</v>
      </c>
      <c r="E38" s="44">
        <f>VLOOKUP(A38,'Wtd scores by sub-groups'!$A$5:$J$72,5,FALSE)/13%</f>
        <v>57.987961154584227</v>
      </c>
      <c r="F38" s="44">
        <f>VLOOKUP(A38,'Wtd scores by sub-groups'!$A$5:$J$72,6,FALSE)/13%</f>
        <v>63.203750184555915</v>
      </c>
      <c r="G38" s="44">
        <f>VLOOKUP(A38,'Wtd scores by sub-groups'!$A$5:$J$72,7,FALSE)/13%</f>
        <v>16.69230769230769</v>
      </c>
      <c r="H38" s="44">
        <f>VLOOKUP(A38,'Wtd scores by sub-groups'!$A$5:$J$72,8,FALSE)/13%</f>
        <v>31.564978852784769</v>
      </c>
      <c r="I38" s="44">
        <f>VLOOKUP(A38,'Wtd scores by sub-groups'!$A$5:$J$72,9,FALSE)/13%</f>
        <v>0</v>
      </c>
      <c r="J38" s="75" t="str">
        <f>VLOOKUP(A38,'Overall scores and ranking'!$A$3:$D$71,4,FALSE)</f>
        <v>Fair</v>
      </c>
    </row>
    <row r="39" spans="1:10" x14ac:dyDescent="0.25">
      <c r="A39" s="19" t="s">
        <v>2340</v>
      </c>
      <c r="B39" s="44">
        <f>VLOOKUP(A39,'Wtd scores by sub-groups'!$A$5:$J$72,2,FALSE)/10%</f>
        <v>11.098889999999999</v>
      </c>
      <c r="C39" s="44">
        <f>VLOOKUP(A39,'Wtd scores by sub-groups'!$A$5:$J$72,3,FALSE)/12.5%</f>
        <v>50</v>
      </c>
      <c r="D39" s="44">
        <f>VLOOKUP(A39,'Wtd scores by sub-groups'!$A$5:$J$72,4,FALSE)/12.5%</f>
        <v>16.68</v>
      </c>
      <c r="E39" s="44">
        <f>VLOOKUP(A39,'Wtd scores by sub-groups'!$A$5:$J$72,5,FALSE)/13%</f>
        <v>16.716276923076922</v>
      </c>
      <c r="F39" s="44">
        <f>VLOOKUP(A39,'Wtd scores by sub-groups'!$A$5:$J$72,6,FALSE)/13%</f>
        <v>14.306261538461515</v>
      </c>
      <c r="G39" s="44">
        <f>VLOOKUP(A39,'Wtd scores by sub-groups'!$A$5:$J$72,7,FALSE)/13%</f>
        <v>8.3461538461538449</v>
      </c>
      <c r="H39" s="44">
        <f>VLOOKUP(A39,'Wtd scores by sub-groups'!$A$5:$J$72,8,FALSE)/13%</f>
        <v>8.3324999999999214</v>
      </c>
      <c r="I39" s="44">
        <f>VLOOKUP(A39,'Wtd scores by sub-groups'!$A$5:$J$72,9,FALSE)/13%</f>
        <v>0</v>
      </c>
      <c r="J39" s="75" t="str">
        <f>VLOOKUP(A39,'Overall scores and ranking'!$A$3:$D$71,4,FALSE)</f>
        <v>Very Poor</v>
      </c>
    </row>
    <row r="40" spans="1:10" x14ac:dyDescent="0.25">
      <c r="A40" s="19" t="s">
        <v>539</v>
      </c>
      <c r="B40" s="44">
        <f>VLOOKUP(A40,'Wtd scores by sub-groups'!$A$5:$J$72,2,FALSE)/10%</f>
        <v>33.296669999999992</v>
      </c>
      <c r="C40" s="44">
        <f>VLOOKUP(A40,'Wtd scores by sub-groups'!$A$5:$J$72,3,FALSE)/12.5%</f>
        <v>90</v>
      </c>
      <c r="D40" s="44">
        <f>VLOOKUP(A40,'Wtd scores by sub-groups'!$A$5:$J$72,4,FALSE)/12.5%</f>
        <v>55.599999999999994</v>
      </c>
      <c r="E40" s="44">
        <f>VLOOKUP(A40,'Wtd scores by sub-groups'!$A$5:$J$72,5,FALSE)/13%</f>
        <v>52.69055604395593</v>
      </c>
      <c r="F40" s="44">
        <f>VLOOKUP(A40,'Wtd scores by sub-groups'!$A$5:$J$72,6,FALSE)/13%</f>
        <v>34.574538461538346</v>
      </c>
      <c r="G40" s="44">
        <f>VLOOKUP(A40,'Wtd scores by sub-groups'!$A$5:$J$72,7,FALSE)/13%</f>
        <v>33.38461538461538</v>
      </c>
      <c r="H40" s="44">
        <f>VLOOKUP(A40,'Wtd scores by sub-groups'!$A$5:$J$72,8,FALSE)/13%</f>
        <v>0</v>
      </c>
      <c r="I40" s="44">
        <f>VLOOKUP(A40,'Wtd scores by sub-groups'!$A$5:$J$72,9,FALSE)/13%</f>
        <v>0</v>
      </c>
      <c r="J40" s="75" t="str">
        <f>VLOOKUP(A40,'Overall scores and ranking'!$A$3:$D$71,4,FALSE)</f>
        <v>Poor</v>
      </c>
    </row>
    <row r="41" spans="1:10" x14ac:dyDescent="0.25">
      <c r="A41" s="19" t="s">
        <v>581</v>
      </c>
      <c r="B41" s="44">
        <f>VLOOKUP(A41,'Wtd scores by sub-groups'!$A$5:$J$72,2,FALSE)/10%</f>
        <v>33.296669999999992</v>
      </c>
      <c r="C41" s="44">
        <f>VLOOKUP(A41,'Wtd scores by sub-groups'!$A$5:$J$72,3,FALSE)/12.5%</f>
        <v>50</v>
      </c>
      <c r="D41" s="44">
        <f>VLOOKUP(A41,'Wtd scores by sub-groups'!$A$5:$J$72,4,FALSE)/12.5%</f>
        <v>16.68</v>
      </c>
      <c r="E41" s="44">
        <f>VLOOKUP(A41,'Wtd scores by sub-groups'!$A$5:$J$72,5,FALSE)/13%</f>
        <v>12.537207692307691</v>
      </c>
      <c r="F41" s="44">
        <f>VLOOKUP(A41,'Wtd scores by sub-groups'!$A$5:$J$72,6,FALSE)/13%</f>
        <v>11.921884615384592</v>
      </c>
      <c r="G41" s="44">
        <f>VLOOKUP(A41,'Wtd scores by sub-groups'!$A$5:$J$72,7,FALSE)/13%</f>
        <v>8.3461538461538449</v>
      </c>
      <c r="H41" s="44">
        <f>VLOOKUP(A41,'Wtd scores by sub-groups'!$A$5:$J$72,8,FALSE)/13%</f>
        <v>8.3324999999999214</v>
      </c>
      <c r="I41" s="44">
        <f>VLOOKUP(A41,'Wtd scores by sub-groups'!$A$5:$J$72,9,FALSE)/13%</f>
        <v>0</v>
      </c>
      <c r="J41" s="75" t="str">
        <f>VLOOKUP(A41,'Overall scores and ranking'!$A$3:$D$71,4,FALSE)</f>
        <v>Very Poor</v>
      </c>
    </row>
    <row r="42" spans="1:10" x14ac:dyDescent="0.25">
      <c r="A42" s="19" t="s">
        <v>622</v>
      </c>
      <c r="B42" s="44">
        <f>VLOOKUP(A42,'Wtd scores by sub-groups'!$A$5:$J$72,2,FALSE)/10%</f>
        <v>35.351279999999996</v>
      </c>
      <c r="C42" s="44">
        <f>VLOOKUP(A42,'Wtd scores by sub-groups'!$A$5:$J$72,3,FALSE)/12.5%</f>
        <v>50</v>
      </c>
      <c r="D42" s="44">
        <f>VLOOKUP(A42,'Wtd scores by sub-groups'!$A$5:$J$72,4,FALSE)/12.5%</f>
        <v>38.92</v>
      </c>
      <c r="E42" s="44">
        <f>VLOOKUP(A42,'Wtd scores by sub-groups'!$A$5:$J$72,5,FALSE)/13%</f>
        <v>27.165830769230769</v>
      </c>
      <c r="F42" s="44">
        <f>VLOOKUP(A42,'Wtd scores by sub-groups'!$A$5:$J$72,6,FALSE)/13%</f>
        <v>45.306738461538416</v>
      </c>
      <c r="G42" s="44">
        <f>VLOOKUP(A42,'Wtd scores by sub-groups'!$A$5:$J$72,7,FALSE)/13%</f>
        <v>41.730769230769226</v>
      </c>
      <c r="H42" s="44">
        <f>VLOOKUP(A42,'Wtd scores by sub-groups'!$A$5:$J$72,8,FALSE)/13%</f>
        <v>12.5</v>
      </c>
      <c r="I42" s="44">
        <f>VLOOKUP(A42,'Wtd scores by sub-groups'!$A$5:$J$72,9,FALSE)/13%</f>
        <v>44.409146153846073</v>
      </c>
      <c r="J42" s="75" t="str">
        <f>VLOOKUP(A42,'Overall scores and ranking'!$A$3:$D$71,4,FALSE)</f>
        <v>Poor</v>
      </c>
    </row>
    <row r="43" spans="1:10" x14ac:dyDescent="0.25">
      <c r="A43" s="19" t="s">
        <v>663</v>
      </c>
      <c r="B43" s="44">
        <f>VLOOKUP(A43,'Wtd scores by sub-groups'!$A$5:$J$72,2,FALSE)/10%</f>
        <v>22.197779999999998</v>
      </c>
      <c r="C43" s="44">
        <f>VLOOKUP(A43,'Wtd scores by sub-groups'!$A$5:$J$72,3,FALSE)/12.5%</f>
        <v>40</v>
      </c>
      <c r="D43" s="44">
        <f>VLOOKUP(A43,'Wtd scores by sub-groups'!$A$5:$J$72,4,FALSE)/12.5%</f>
        <v>22.239444000000002</v>
      </c>
      <c r="E43" s="44">
        <f>VLOOKUP(A43,'Wtd scores by sub-groups'!$A$5:$J$72,5,FALSE)/13%</f>
        <v>35.524596153846154</v>
      </c>
      <c r="F43" s="44">
        <f>VLOOKUP(A43,'Wtd scores by sub-groups'!$A$5:$J$72,6,FALSE)/13%</f>
        <v>21.461538461538442</v>
      </c>
      <c r="G43" s="44">
        <f>VLOOKUP(A43,'Wtd scores by sub-groups'!$A$5:$J$72,7,FALSE)/13%</f>
        <v>0</v>
      </c>
      <c r="H43" s="44">
        <f>VLOOKUP(A43,'Wtd scores by sub-groups'!$A$5:$J$72,8,FALSE)/13%</f>
        <v>12.5</v>
      </c>
      <c r="I43" s="44">
        <f>VLOOKUP(A43,'Wtd scores by sub-groups'!$A$5:$J$72,9,FALSE)/13%</f>
        <v>0</v>
      </c>
      <c r="J43" s="75" t="str">
        <f>VLOOKUP(A43,'Overall scores and ranking'!$A$3:$D$71,4,FALSE)</f>
        <v>Very Poor</v>
      </c>
    </row>
    <row r="44" spans="1:10" x14ac:dyDescent="0.25">
      <c r="A44" s="19" t="s">
        <v>2013</v>
      </c>
      <c r="B44" s="44">
        <f>VLOOKUP(A44,'Wtd scores by sub-groups'!$A$5:$J$72,2,FALSE)/10%</f>
        <v>22.197779999999998</v>
      </c>
      <c r="C44" s="44">
        <f>VLOOKUP(A44,'Wtd scores by sub-groups'!$A$5:$J$72,3,FALSE)/12.5%</f>
        <v>30</v>
      </c>
      <c r="D44" s="44">
        <f>VLOOKUP(A44,'Wtd scores by sub-groups'!$A$5:$J$72,4,FALSE)/12.5%</f>
        <v>0</v>
      </c>
      <c r="E44" s="44">
        <f>VLOOKUP(A44,'Wtd scores by sub-groups'!$A$5:$J$72,5,FALSE)/13%</f>
        <v>4.1790692307692305</v>
      </c>
      <c r="F44" s="44">
        <f>VLOOKUP(A44,'Wtd scores by sub-groups'!$A$5:$J$72,6,FALSE)/13%</f>
        <v>0</v>
      </c>
      <c r="G44" s="44">
        <f>VLOOKUP(A44,'Wtd scores by sub-groups'!$A$5:$J$72,7,FALSE)/13%</f>
        <v>0</v>
      </c>
      <c r="H44" s="44">
        <f>VLOOKUP(A44,'Wtd scores by sub-groups'!$A$5:$J$72,8,FALSE)/13%</f>
        <v>0</v>
      </c>
      <c r="I44" s="44">
        <f>VLOOKUP(A44,'Wtd scores by sub-groups'!$A$5:$J$72,9,FALSE)/13%</f>
        <v>0</v>
      </c>
      <c r="J44" s="75" t="str">
        <f>VLOOKUP(A44,'Overall scores and ranking'!$A$3:$D$71,4,FALSE)</f>
        <v>Very Poor</v>
      </c>
    </row>
    <row r="45" spans="1:10" x14ac:dyDescent="0.25">
      <c r="A45" s="19" t="s">
        <v>1808</v>
      </c>
      <c r="B45" s="44">
        <f>VLOOKUP(A45,'Wtd scores by sub-groups'!$A$5:$J$72,2,FALSE)/10%</f>
        <v>11.098889999999999</v>
      </c>
      <c r="C45" s="44">
        <f>VLOOKUP(A45,'Wtd scores by sub-groups'!$A$5:$J$72,3,FALSE)/12.5%</f>
        <v>40</v>
      </c>
      <c r="D45" s="44">
        <f>VLOOKUP(A45,'Wtd scores by sub-groups'!$A$5:$J$72,4,FALSE)/12.5%</f>
        <v>22.24</v>
      </c>
      <c r="E45" s="44">
        <f>VLOOKUP(A45,'Wtd scores by sub-groups'!$A$5:$J$72,5,FALSE)/13%</f>
        <v>25.074415384615385</v>
      </c>
      <c r="F45" s="44">
        <f>VLOOKUP(A45,'Wtd scores by sub-groups'!$A$5:$J$72,6,FALSE)/13%</f>
        <v>9.5375076923076758</v>
      </c>
      <c r="G45" s="44">
        <f>VLOOKUP(A45,'Wtd scores by sub-groups'!$A$5:$J$72,7,FALSE)/13%</f>
        <v>33.38461538461538</v>
      </c>
      <c r="H45" s="44">
        <f>VLOOKUP(A45,'Wtd scores by sub-groups'!$A$5:$J$72,8,FALSE)/13%</f>
        <v>8.3324999999999214</v>
      </c>
      <c r="I45" s="44">
        <f>VLOOKUP(A45,'Wtd scores by sub-groups'!$A$5:$J$72,9,FALSE)/13%</f>
        <v>0</v>
      </c>
      <c r="J45" s="75" t="str">
        <f>VLOOKUP(A45,'Overall scores and ranking'!$A$3:$D$71,4,FALSE)</f>
        <v>Very Poor</v>
      </c>
    </row>
    <row r="46" spans="1:10" x14ac:dyDescent="0.25">
      <c r="A46" s="19" t="s">
        <v>2258</v>
      </c>
      <c r="B46" s="44">
        <f>VLOOKUP(A46,'Wtd scores by sub-groups'!$A$5:$J$72,2,FALSE)/10%</f>
        <v>22.197779999999998</v>
      </c>
      <c r="C46" s="44">
        <f>VLOOKUP(A46,'Wtd scores by sub-groups'!$A$5:$J$72,3,FALSE)/12.5%</f>
        <v>30</v>
      </c>
      <c r="D46" s="44">
        <f>VLOOKUP(A46,'Wtd scores by sub-groups'!$A$5:$J$72,4,FALSE)/12.5%</f>
        <v>0</v>
      </c>
      <c r="E46" s="44">
        <f>VLOOKUP(A46,'Wtd scores by sub-groups'!$A$5:$J$72,5,FALSE)/13%</f>
        <v>0</v>
      </c>
      <c r="F46" s="44">
        <f>VLOOKUP(A46,'Wtd scores by sub-groups'!$A$5:$J$72,6,FALSE)/13%</f>
        <v>4.7687538461538308</v>
      </c>
      <c r="G46" s="44">
        <f>VLOOKUP(A46,'Wtd scores by sub-groups'!$A$5:$J$72,7,FALSE)/13%</f>
        <v>0</v>
      </c>
      <c r="H46" s="44">
        <f>VLOOKUP(A46,'Wtd scores by sub-groups'!$A$5:$J$72,8,FALSE)/13%</f>
        <v>0</v>
      </c>
      <c r="I46" s="44">
        <f>VLOOKUP(A46,'Wtd scores by sub-groups'!$A$5:$J$72,9,FALSE)/13%</f>
        <v>0</v>
      </c>
      <c r="J46" s="75" t="str">
        <f>VLOOKUP(A46,'Overall scores and ranking'!$A$3:$D$71,4,FALSE)</f>
        <v>Very Poor</v>
      </c>
    </row>
    <row r="47" spans="1:10" x14ac:dyDescent="0.25">
      <c r="A47" s="19" t="s">
        <v>1767</v>
      </c>
      <c r="B47" s="44">
        <f>VLOOKUP(A47,'Wtd scores by sub-groups'!$A$5:$J$72,2,FALSE)/10%</f>
        <v>69.703559999999996</v>
      </c>
      <c r="C47" s="44">
        <f>VLOOKUP(A47,'Wtd scores by sub-groups'!$A$5:$J$72,3,FALSE)/12.5%</f>
        <v>50</v>
      </c>
      <c r="D47" s="44">
        <f>VLOOKUP(A47,'Wtd scores by sub-groups'!$A$5:$J$72,4,FALSE)/12.5%</f>
        <v>44.027468106832238</v>
      </c>
      <c r="E47" s="44">
        <f>VLOOKUP(A47,'Wtd scores by sub-groups'!$A$5:$J$72,5,FALSE)/13%</f>
        <v>90.658007265671131</v>
      </c>
      <c r="F47" s="44">
        <f>VLOOKUP(A47,'Wtd scores by sub-groups'!$A$5:$J$72,6,FALSE)/13%</f>
        <v>93.759263004705829</v>
      </c>
      <c r="G47" s="44">
        <f>VLOOKUP(A47,'Wtd scores by sub-groups'!$A$5:$J$72,7,FALSE)/13%</f>
        <v>16.69230769230769</v>
      </c>
      <c r="H47" s="44">
        <f>VLOOKUP(A47,'Wtd scores by sub-groups'!$A$5:$J$72,8,FALSE)/13%</f>
        <v>68.432592716338078</v>
      </c>
      <c r="I47" s="44">
        <f>VLOOKUP(A47,'Wtd scores by sub-groups'!$A$5:$J$72,9,FALSE)/13%</f>
        <v>0</v>
      </c>
      <c r="J47" s="75" t="str">
        <f>VLOOKUP(A47,'Overall scores and ranking'!$A$3:$D$71,4,FALSE)</f>
        <v>Fair</v>
      </c>
    </row>
    <row r="48" spans="1:10" x14ac:dyDescent="0.25">
      <c r="A48" s="19" t="s">
        <v>1523</v>
      </c>
      <c r="B48" s="44">
        <f>VLOOKUP(A48,'Wtd scores by sub-groups'!$A$5:$J$72,2,FALSE)/10%</f>
        <v>51.281999999999996</v>
      </c>
      <c r="C48" s="44">
        <f>VLOOKUP(A48,'Wtd scores by sub-groups'!$A$5:$J$72,3,FALSE)/12.5%</f>
        <v>50</v>
      </c>
      <c r="D48" s="44">
        <f>VLOOKUP(A48,'Wtd scores by sub-groups'!$A$5:$J$72,4,FALSE)/12.5%</f>
        <v>24.092592000000003</v>
      </c>
      <c r="E48" s="44">
        <f>VLOOKUP(A48,'Wtd scores by sub-groups'!$A$5:$J$72,5,FALSE)/13%</f>
        <v>83.325866536158003</v>
      </c>
      <c r="F48" s="44">
        <f>VLOOKUP(A48,'Wtd scores by sub-groups'!$A$5:$J$72,6,FALSE)/13%</f>
        <v>72.407405389221523</v>
      </c>
      <c r="G48" s="44">
        <f>VLOOKUP(A48,'Wtd scores by sub-groups'!$A$5:$J$72,7,FALSE)/13%</f>
        <v>41.730769230769226</v>
      </c>
      <c r="H48" s="44">
        <f>VLOOKUP(A48,'Wtd scores by sub-groups'!$A$5:$J$72,8,FALSE)/13%</f>
        <v>38.934214071856225</v>
      </c>
      <c r="I48" s="44">
        <f>VLOOKUP(A48,'Wtd scores by sub-groups'!$A$5:$J$72,9,FALSE)/13%</f>
        <v>0</v>
      </c>
      <c r="J48" s="75" t="str">
        <f>VLOOKUP(A48,'Overall scores and ranking'!$A$3:$D$71,4,FALSE)</f>
        <v>Fair</v>
      </c>
    </row>
    <row r="49" spans="1:10" x14ac:dyDescent="0.25">
      <c r="A49" s="19" t="s">
        <v>1726</v>
      </c>
      <c r="B49" s="44">
        <f>VLOOKUP(A49,'Wtd scores by sub-groups'!$A$5:$J$72,2,FALSE)/10%</f>
        <v>66.819779999999994</v>
      </c>
      <c r="C49" s="44">
        <f>VLOOKUP(A49,'Wtd scores by sub-groups'!$A$5:$J$72,3,FALSE)/12.5%</f>
        <v>50</v>
      </c>
      <c r="D49" s="44">
        <f>VLOOKUP(A49,'Wtd scores by sub-groups'!$A$5:$J$72,4,FALSE)/12.5%</f>
        <v>20.386296000000002</v>
      </c>
      <c r="E49" s="44">
        <f>VLOOKUP(A49,'Wtd scores by sub-groups'!$A$5:$J$72,5,FALSE)/13%</f>
        <v>29.255992307692306</v>
      </c>
      <c r="F49" s="44">
        <f>VLOOKUP(A49,'Wtd scores by sub-groups'!$A$5:$J$72,6,FALSE)/13%</f>
        <v>14.307692307692292</v>
      </c>
      <c r="G49" s="44">
        <f>VLOOKUP(A49,'Wtd scores by sub-groups'!$A$5:$J$72,7,FALSE)/13%</f>
        <v>25.038461538461537</v>
      </c>
      <c r="H49" s="44">
        <f>VLOOKUP(A49,'Wtd scores by sub-groups'!$A$5:$J$72,8,FALSE)/13%</f>
        <v>25</v>
      </c>
      <c r="I49" s="44">
        <f>VLOOKUP(A49,'Wtd scores by sub-groups'!$A$5:$J$72,9,FALSE)/13%</f>
        <v>0</v>
      </c>
      <c r="J49" s="75" t="str">
        <f>VLOOKUP(A49,'Overall scores and ranking'!$A$3:$D$71,4,FALSE)</f>
        <v>Poor</v>
      </c>
    </row>
    <row r="50" spans="1:10" x14ac:dyDescent="0.25">
      <c r="A50" s="19" t="s">
        <v>1564</v>
      </c>
      <c r="B50" s="44">
        <f>VLOOKUP(A50,'Wtd scores by sub-groups'!$A$5:$J$72,2,FALSE)/10%</f>
        <v>22.197779999999998</v>
      </c>
      <c r="C50" s="44">
        <f>VLOOKUP(A50,'Wtd scores by sub-groups'!$A$5:$J$72,3,FALSE)/12.5%</f>
        <v>50</v>
      </c>
      <c r="D50" s="44">
        <f>VLOOKUP(A50,'Wtd scores by sub-groups'!$A$5:$J$72,4,FALSE)/12.5%</f>
        <v>3.706296</v>
      </c>
      <c r="E50" s="44">
        <f>VLOOKUP(A50,'Wtd scores by sub-groups'!$A$5:$J$72,5,FALSE)/13%</f>
        <v>16.716276923076922</v>
      </c>
      <c r="F50" s="44">
        <f>VLOOKUP(A50,'Wtd scores by sub-groups'!$A$5:$J$72,6,FALSE)/13%</f>
        <v>0</v>
      </c>
      <c r="G50" s="44">
        <f>VLOOKUP(A50,'Wtd scores by sub-groups'!$A$5:$J$72,7,FALSE)/13%</f>
        <v>16.69230769230769</v>
      </c>
      <c r="H50" s="44">
        <f>VLOOKUP(A50,'Wtd scores by sub-groups'!$A$5:$J$72,8,FALSE)/13%</f>
        <v>8.3324999999999214</v>
      </c>
      <c r="I50" s="44">
        <f>VLOOKUP(A50,'Wtd scores by sub-groups'!$A$5:$J$72,9,FALSE)/13%</f>
        <v>0</v>
      </c>
      <c r="J50" s="75" t="str">
        <f>VLOOKUP(A50,'Overall scores and ranking'!$A$3:$D$71,4,FALSE)</f>
        <v>Very Poor</v>
      </c>
    </row>
    <row r="51" spans="1:10" x14ac:dyDescent="0.25">
      <c r="A51" s="19" t="s">
        <v>704</v>
      </c>
      <c r="B51" s="44">
        <f>VLOOKUP(A51,'Wtd scores by sub-groups'!$A$5:$J$72,2,FALSE)/10%</f>
        <v>22.197779999999998</v>
      </c>
      <c r="C51" s="44">
        <f>VLOOKUP(A51,'Wtd scores by sub-groups'!$A$5:$J$72,3,FALSE)/12.5%</f>
        <v>40</v>
      </c>
      <c r="D51" s="44">
        <f>VLOOKUP(A51,'Wtd scores by sub-groups'!$A$5:$J$72,4,FALSE)/12.5%</f>
        <v>35.213148000000004</v>
      </c>
      <c r="E51" s="44">
        <f>VLOOKUP(A51,'Wtd scores by sub-groups'!$A$5:$J$72,5,FALSE)/13%</f>
        <v>35.523969230769225</v>
      </c>
      <c r="F51" s="44">
        <f>VLOOKUP(A51,'Wtd scores by sub-groups'!$A$5:$J$72,6,FALSE)/13%</f>
        <v>50.076923076923016</v>
      </c>
      <c r="G51" s="44">
        <f>VLOOKUP(A51,'Wtd scores by sub-groups'!$A$5:$J$72,7,FALSE)/13%</f>
        <v>16.69230769230769</v>
      </c>
      <c r="H51" s="44">
        <f>VLOOKUP(A51,'Wtd scores by sub-groups'!$A$5:$J$72,8,FALSE)/13%</f>
        <v>12.5</v>
      </c>
      <c r="I51" s="44">
        <f>VLOOKUP(A51,'Wtd scores by sub-groups'!$A$5:$J$72,9,FALSE)/13%</f>
        <v>0</v>
      </c>
      <c r="J51" s="75" t="str">
        <f>VLOOKUP(A51,'Overall scores and ranking'!$A$3:$D$71,4,FALSE)</f>
        <v>Poor</v>
      </c>
    </row>
    <row r="52" spans="1:10" x14ac:dyDescent="0.25">
      <c r="A52" s="19" t="s">
        <v>745</v>
      </c>
      <c r="B52" s="44">
        <f>VLOOKUP(A52,'Wtd scores by sub-groups'!$A$5:$J$72,2,FALSE)/10%</f>
        <v>22.197779999999998</v>
      </c>
      <c r="C52" s="44">
        <f>VLOOKUP(A52,'Wtd scores by sub-groups'!$A$5:$J$72,3,FALSE)/12.5%</f>
        <v>40</v>
      </c>
      <c r="D52" s="44">
        <f>VLOOKUP(A52,'Wtd scores by sub-groups'!$A$5:$J$72,4,FALSE)/12.5%</f>
        <v>3.706296</v>
      </c>
      <c r="E52" s="44">
        <f>VLOOKUP(A52,'Wtd scores by sub-groups'!$A$5:$J$72,5,FALSE)/13%</f>
        <v>8.3581384615384611</v>
      </c>
      <c r="F52" s="44">
        <f>VLOOKUP(A52,'Wtd scores by sub-groups'!$A$5:$J$72,6,FALSE)/13%</f>
        <v>9.5375076923076705</v>
      </c>
      <c r="G52" s="44">
        <f>VLOOKUP(A52,'Wtd scores by sub-groups'!$A$5:$J$72,7,FALSE)/13%</f>
        <v>0</v>
      </c>
      <c r="H52" s="44">
        <f>VLOOKUP(A52,'Wtd scores by sub-groups'!$A$5:$J$72,8,FALSE)/13%</f>
        <v>4.1662499999999927</v>
      </c>
      <c r="I52" s="44">
        <f>VLOOKUP(A52,'Wtd scores by sub-groups'!$A$5:$J$72,9,FALSE)/13%</f>
        <v>0</v>
      </c>
      <c r="J52" s="75" t="str">
        <f>VLOOKUP(A52,'Overall scores and ranking'!$A$3:$D$71,4,FALSE)</f>
        <v>Very Poor</v>
      </c>
    </row>
    <row r="53" spans="1:10" x14ac:dyDescent="0.25">
      <c r="A53" s="19" t="s">
        <v>786</v>
      </c>
      <c r="B53" s="44">
        <f>VLOOKUP(A53,'Wtd scores by sub-groups'!$A$5:$J$72,2,FALSE)/10%</f>
        <v>33.296669999999992</v>
      </c>
      <c r="C53" s="44">
        <f>VLOOKUP(A53,'Wtd scores by sub-groups'!$A$5:$J$72,3,FALSE)/12.5%</f>
        <v>40</v>
      </c>
      <c r="D53" s="44">
        <f>VLOOKUP(A53,'Wtd scores by sub-groups'!$A$5:$J$72,4,FALSE)/12.5%</f>
        <v>3.706296</v>
      </c>
      <c r="E53" s="44">
        <f>VLOOKUP(A53,'Wtd scores by sub-groups'!$A$5:$J$72,5,FALSE)/13%</f>
        <v>25.074415384615385</v>
      </c>
      <c r="F53" s="44">
        <f>VLOOKUP(A53,'Wtd scores by sub-groups'!$A$5:$J$72,6,FALSE)/13%</f>
        <v>14.306261538461515</v>
      </c>
      <c r="G53" s="44">
        <f>VLOOKUP(A53,'Wtd scores by sub-groups'!$A$5:$J$72,7,FALSE)/13%</f>
        <v>25.038461538461537</v>
      </c>
      <c r="H53" s="44">
        <f>VLOOKUP(A53,'Wtd scores by sub-groups'!$A$5:$J$72,8,FALSE)/13%</f>
        <v>8.3324999999999214</v>
      </c>
      <c r="I53" s="44">
        <f>VLOOKUP(A53,'Wtd scores by sub-groups'!$A$5:$J$72,9,FALSE)/13%</f>
        <v>0</v>
      </c>
      <c r="J53" s="75" t="str">
        <f>VLOOKUP(A53,'Overall scores and ranking'!$A$3:$D$71,4,FALSE)</f>
        <v>Very Poor</v>
      </c>
    </row>
    <row r="54" spans="1:10" x14ac:dyDescent="0.25">
      <c r="A54" s="19" t="s">
        <v>827</v>
      </c>
      <c r="B54" s="44">
        <f>VLOOKUP(A54,'Wtd scores by sub-groups'!$A$5:$J$72,2,FALSE)/10%</f>
        <v>33.299999999999997</v>
      </c>
      <c r="C54" s="44">
        <f>VLOOKUP(A54,'Wtd scores by sub-groups'!$A$5:$J$72,3,FALSE)/12.5%</f>
        <v>40</v>
      </c>
      <c r="D54" s="44">
        <f>VLOOKUP(A54,'Wtd scores by sub-groups'!$A$5:$J$72,4,FALSE)/12.5%</f>
        <v>7.4125920000000001</v>
      </c>
      <c r="E54" s="44">
        <f>VLOOKUP(A54,'Wtd scores by sub-groups'!$A$5:$J$72,5,FALSE)/13%</f>
        <v>25.074415384615385</v>
      </c>
      <c r="F54" s="44">
        <f>VLOOKUP(A54,'Wtd scores by sub-groups'!$A$5:$J$72,6,FALSE)/13%</f>
        <v>23.84376923076919</v>
      </c>
      <c r="G54" s="44">
        <f>VLOOKUP(A54,'Wtd scores by sub-groups'!$A$5:$J$72,7,FALSE)/13%</f>
        <v>8.3461538461538449</v>
      </c>
      <c r="H54" s="44">
        <f>VLOOKUP(A54,'Wtd scores by sub-groups'!$A$5:$J$72,8,FALSE)/13%</f>
        <v>8.3324999999999214</v>
      </c>
      <c r="I54" s="44">
        <f>VLOOKUP(A54,'Wtd scores by sub-groups'!$A$5:$J$72,9,FALSE)/13%</f>
        <v>0</v>
      </c>
      <c r="J54" s="75" t="str">
        <f>VLOOKUP(A54,'Overall scores and ranking'!$A$3:$D$71,4,FALSE)</f>
        <v>Very Poor</v>
      </c>
    </row>
    <row r="55" spans="1:10" x14ac:dyDescent="0.25">
      <c r="A55" s="19" t="s">
        <v>1890</v>
      </c>
      <c r="B55" s="44">
        <f>VLOOKUP(A55,'Wtd scores by sub-groups'!$A$5:$J$72,2,FALSE)/10%</f>
        <v>42.177779999999998</v>
      </c>
      <c r="C55" s="44">
        <f>VLOOKUP(A55,'Wtd scores by sub-groups'!$A$5:$J$72,3,FALSE)/12.5%</f>
        <v>92.448979591836718</v>
      </c>
      <c r="D55" s="44">
        <f>VLOOKUP(A55,'Wtd scores by sub-groups'!$A$5:$J$72,4,FALSE)/12.5%</f>
        <v>44.48</v>
      </c>
      <c r="E55" s="44">
        <f>VLOOKUP(A55,'Wtd scores by sub-groups'!$A$5:$J$72,5,FALSE)/13%</f>
        <v>75.029975362715447</v>
      </c>
      <c r="F55" s="44">
        <f>VLOOKUP(A55,'Wtd scores by sub-groups'!$A$5:$J$72,6,FALSE)/13%</f>
        <v>77.294048206923932</v>
      </c>
      <c r="G55" s="44">
        <f>VLOOKUP(A55,'Wtd scores by sub-groups'!$A$5:$J$72,7,FALSE)/13%</f>
        <v>8.3461538461538449</v>
      </c>
      <c r="H55" s="44">
        <f>VLOOKUP(A55,'Wtd scores by sub-groups'!$A$5:$J$72,8,FALSE)/13%</f>
        <v>64.439915458937151</v>
      </c>
      <c r="I55" s="44">
        <f>VLOOKUP(A55,'Wtd scores by sub-groups'!$A$5:$J$72,9,FALSE)/13%</f>
        <v>0</v>
      </c>
      <c r="J55" s="75" t="str">
        <f>VLOOKUP(A55,'Overall scores and ranking'!$A$3:$D$71,4,FALSE)</f>
        <v>Fair</v>
      </c>
    </row>
    <row r="56" spans="1:10" x14ac:dyDescent="0.25">
      <c r="A56" s="19" t="s">
        <v>1115</v>
      </c>
      <c r="B56" s="44">
        <f>VLOOKUP(A56,'Wtd scores by sub-groups'!$A$5:$J$72,2,FALSE)/10%</f>
        <v>98.234999999999985</v>
      </c>
      <c r="C56" s="44">
        <f>VLOOKUP(A56,'Wtd scores by sub-groups'!$A$5:$J$72,3,FALSE)/12.5%</f>
        <v>99.4444444444444</v>
      </c>
      <c r="D56" s="44">
        <f>VLOOKUP(A56,'Wtd scores by sub-groups'!$A$5:$J$72,4,FALSE)/12.5%</f>
        <v>99.114696738772153</v>
      </c>
      <c r="E56" s="44">
        <f>VLOOKUP(A56,'Wtd scores by sub-groups'!$A$5:$J$72,5,FALSE)/13%</f>
        <v>92.393419512527984</v>
      </c>
      <c r="F56" s="44">
        <f>VLOOKUP(A56,'Wtd scores by sub-groups'!$A$5:$J$72,6,FALSE)/13%</f>
        <v>92.722901013826075</v>
      </c>
      <c r="G56" s="44">
        <f>VLOOKUP(A56,'Wtd scores by sub-groups'!$A$5:$J$72,7,FALSE)/13%</f>
        <v>52.463935445468223</v>
      </c>
      <c r="H56" s="44">
        <f>VLOOKUP(A56,'Wtd scores by sub-groups'!$A$5:$J$72,8,FALSE)/13%</f>
        <v>76.603241156390695</v>
      </c>
      <c r="I56" s="44">
        <f>VLOOKUP(A56,'Wtd scores by sub-groups'!$A$5:$J$72,9,FALSE)/13%</f>
        <v>59.898172957871537</v>
      </c>
      <c r="J56" s="75" t="str">
        <f>VLOOKUP(A56,'Overall scores and ranking'!$A$3:$D$71,4,FALSE)</f>
        <v>Very good</v>
      </c>
    </row>
    <row r="57" spans="1:10" x14ac:dyDescent="0.25">
      <c r="A57" s="19" t="s">
        <v>1197</v>
      </c>
      <c r="B57" s="44">
        <f>VLOOKUP(A57,'Wtd scores by sub-groups'!$A$5:$J$72,2,FALSE)/10%</f>
        <v>49.946669999999997</v>
      </c>
      <c r="C57" s="44">
        <f>VLOOKUP(A57,'Wtd scores by sub-groups'!$A$5:$J$72,3,FALSE)/12.5%</f>
        <v>70</v>
      </c>
      <c r="D57" s="44">
        <f>VLOOKUP(A57,'Wtd scores by sub-groups'!$A$5:$J$72,4,FALSE)/12.5%</f>
        <v>44.478887999999998</v>
      </c>
      <c r="E57" s="44">
        <f>VLOOKUP(A57,'Wtd scores by sub-groups'!$A$5:$J$72,5,FALSE)/13%</f>
        <v>90.91149155722276</v>
      </c>
      <c r="F57" s="44">
        <f>VLOOKUP(A57,'Wtd scores by sub-groups'!$A$5:$J$72,6,FALSE)/13%</f>
        <v>81.553846153846138</v>
      </c>
      <c r="G57" s="44">
        <f>VLOOKUP(A57,'Wtd scores by sub-groups'!$A$5:$J$72,7,FALSE)/13%</f>
        <v>25.038461538461537</v>
      </c>
      <c r="H57" s="44">
        <f>VLOOKUP(A57,'Wtd scores by sub-groups'!$A$5:$J$72,8,FALSE)/13%</f>
        <v>43.546286031042072</v>
      </c>
      <c r="I57" s="44">
        <f>VLOOKUP(A57,'Wtd scores by sub-groups'!$A$5:$J$72,9,FALSE)/13%</f>
        <v>24.148076923076843</v>
      </c>
      <c r="J57" s="75" t="str">
        <f>VLOOKUP(A57,'Overall scores and ranking'!$A$3:$D$71,4,FALSE)</f>
        <v>Fair</v>
      </c>
    </row>
    <row r="58" spans="1:10" x14ac:dyDescent="0.25">
      <c r="A58" s="19" t="s">
        <v>2666</v>
      </c>
      <c r="B58" s="44">
        <f>VLOOKUP(A58,'Wtd scores by sub-groups'!$A$5:$J$72,2,FALSE)/10%</f>
        <v>32.520779999999995</v>
      </c>
      <c r="C58" s="44">
        <f>VLOOKUP(A58,'Wtd scores by sub-groups'!$A$5:$J$72,3,FALSE)/12.5%</f>
        <v>40</v>
      </c>
      <c r="D58" s="44">
        <f>VLOOKUP(A58,'Wtd scores by sub-groups'!$A$5:$J$72,4,FALSE)/12.5%</f>
        <v>22.239443999999999</v>
      </c>
      <c r="E58" s="44">
        <f>VLOOKUP(A58,'Wtd scores by sub-groups'!$A$5:$J$72,5,FALSE)/13%</f>
        <v>47.019230769230766</v>
      </c>
      <c r="F58" s="44">
        <f>VLOOKUP(A58,'Wtd scores by sub-groups'!$A$5:$J$72,6,FALSE)/13%</f>
        <v>38.013858611024382</v>
      </c>
      <c r="G58" s="44">
        <f>VLOOKUP(A58,'Wtd scores by sub-groups'!$A$5:$J$72,7,FALSE)/13%</f>
        <v>16.69230769230769</v>
      </c>
      <c r="H58" s="44">
        <f>VLOOKUP(A58,'Wtd scores by sub-groups'!$A$5:$J$72,8,FALSE)/13%</f>
        <v>50</v>
      </c>
      <c r="I58" s="44">
        <f>VLOOKUP(A58,'Wtd scores by sub-groups'!$A$5:$J$72,9,FALSE)/13%</f>
        <v>0</v>
      </c>
      <c r="J58" s="75" t="str">
        <f>VLOOKUP(A58,'Overall scores and ranking'!$A$3:$D$71,4,FALSE)</f>
        <v>Poor</v>
      </c>
    </row>
    <row r="59" spans="1:10" x14ac:dyDescent="0.25">
      <c r="A59" s="19" t="s">
        <v>2625</v>
      </c>
      <c r="B59" s="44">
        <f>VLOOKUP(A59,'Wtd scores by sub-groups'!$A$5:$J$72,2,FALSE)/10%</f>
        <v>80.47278</v>
      </c>
      <c r="C59" s="44">
        <f>VLOOKUP(A59,'Wtd scores by sub-groups'!$A$5:$J$72,3,FALSE)/12.5%</f>
        <v>99.090909090909037</v>
      </c>
      <c r="D59" s="44">
        <f>VLOOKUP(A59,'Wtd scores by sub-groups'!$A$5:$J$72,4,FALSE)/12.5%</f>
        <v>88.96</v>
      </c>
      <c r="E59" s="44">
        <f>VLOOKUP(A59,'Wtd scores by sub-groups'!$A$5:$J$72,5,FALSE)/13%</f>
        <v>100.28648859595867</v>
      </c>
      <c r="F59" s="44">
        <f>VLOOKUP(A59,'Wtd scores by sub-groups'!$A$5:$J$72,6,FALSE)/13%</f>
        <v>64.582258792502117</v>
      </c>
      <c r="G59" s="44">
        <f>VLOOKUP(A59,'Wtd scores by sub-groups'!$A$5:$J$72,7,FALSE)/13%</f>
        <v>76.50641025641022</v>
      </c>
      <c r="H59" s="44">
        <f>VLOOKUP(A59,'Wtd scores by sub-groups'!$A$5:$J$72,8,FALSE)/13%</f>
        <v>93.055555555555529</v>
      </c>
      <c r="I59" s="44">
        <f>VLOOKUP(A59,'Wtd scores by sub-groups'!$A$5:$J$72,9,FALSE)/13%</f>
        <v>91.269138667845468</v>
      </c>
      <c r="J59" s="75" t="str">
        <f>VLOOKUP(A59,'Overall scores and ranking'!$A$3:$D$71,4,FALSE)</f>
        <v>Very good</v>
      </c>
    </row>
    <row r="60" spans="1:10" x14ac:dyDescent="0.25">
      <c r="A60" s="19" t="s">
        <v>2054</v>
      </c>
      <c r="B60" s="44">
        <f>VLOOKUP(A60,'Wtd scores by sub-groups'!$A$5:$J$72,2,FALSE)/10%</f>
        <v>32.520779999999995</v>
      </c>
      <c r="C60" s="44">
        <f>VLOOKUP(A60,'Wtd scores by sub-groups'!$A$5:$J$72,3,FALSE)/12.5%</f>
        <v>40</v>
      </c>
      <c r="D60" s="44">
        <f>VLOOKUP(A60,'Wtd scores by sub-groups'!$A$5:$J$72,4,FALSE)/12.5%</f>
        <v>24.092592</v>
      </c>
      <c r="E60" s="44">
        <f>VLOOKUP(A60,'Wtd scores by sub-groups'!$A$5:$J$72,5,FALSE)/13%</f>
        <v>86.137441937624303</v>
      </c>
      <c r="F60" s="44">
        <f>VLOOKUP(A60,'Wtd scores by sub-groups'!$A$5:$J$72,6,FALSE)/13%</f>
        <v>85.846153846153399</v>
      </c>
      <c r="G60" s="44">
        <f>VLOOKUP(A60,'Wtd scores by sub-groups'!$A$5:$J$72,7,FALSE)/13%</f>
        <v>16.69230769230769</v>
      </c>
      <c r="H60" s="44">
        <f>VLOOKUP(A60,'Wtd scores by sub-groups'!$A$5:$J$72,8,FALSE)/13%</f>
        <v>37.5</v>
      </c>
      <c r="I60" s="44">
        <f>VLOOKUP(A60,'Wtd scores by sub-groups'!$A$5:$J$72,9,FALSE)/13%</f>
        <v>0</v>
      </c>
      <c r="J60" s="75" t="str">
        <f>VLOOKUP(A60,'Overall scores and ranking'!$A$3:$D$71,4,FALSE)</f>
        <v>Fair</v>
      </c>
    </row>
    <row r="61" spans="1:10" x14ac:dyDescent="0.25">
      <c r="A61" s="19" t="s">
        <v>1400</v>
      </c>
      <c r="B61" s="44">
        <f>VLOOKUP(A61,'Wtd scores by sub-groups'!$A$5:$J$72,2,FALSE)/10%</f>
        <v>54.718559999999997</v>
      </c>
      <c r="C61" s="44">
        <f>VLOOKUP(A61,'Wtd scores by sub-groups'!$A$5:$J$72,3,FALSE)/12.5%</f>
        <v>50</v>
      </c>
      <c r="D61" s="44">
        <f>VLOOKUP(A61,'Wtd scores by sub-groups'!$A$5:$J$72,4,FALSE)/12.5%</f>
        <v>18.533148000000001</v>
      </c>
      <c r="E61" s="44">
        <f>VLOOKUP(A61,'Wtd scores by sub-groups'!$A$5:$J$72,5,FALSE)/13%</f>
        <v>72.09615384615384</v>
      </c>
      <c r="F61" s="44">
        <f>VLOOKUP(A61,'Wtd scores by sub-groups'!$A$5:$J$72,6,FALSE)/13%</f>
        <v>51.70348178137629</v>
      </c>
      <c r="G61" s="44">
        <f>VLOOKUP(A61,'Wtd scores by sub-groups'!$A$5:$J$72,7,FALSE)/13%</f>
        <v>16.69230769230769</v>
      </c>
      <c r="H61" s="44">
        <f>VLOOKUP(A61,'Wtd scores by sub-groups'!$A$5:$J$72,8,FALSE)/13%</f>
        <v>50</v>
      </c>
      <c r="I61" s="44">
        <f>VLOOKUP(A61,'Wtd scores by sub-groups'!$A$5:$J$72,9,FALSE)/13%</f>
        <v>0</v>
      </c>
      <c r="J61" s="75" t="str">
        <f>VLOOKUP(A61,'Overall scores and ranking'!$A$3:$D$71,4,FALSE)</f>
        <v>Poor</v>
      </c>
    </row>
    <row r="62" spans="1:10" x14ac:dyDescent="0.25">
      <c r="A62" s="19" t="s">
        <v>2584</v>
      </c>
      <c r="B62" s="44">
        <f>VLOOKUP(A62,'Wtd scores by sub-groups'!$A$5:$J$72,2,FALSE)/10%</f>
        <v>54.718559999999997</v>
      </c>
      <c r="C62" s="44">
        <f>VLOOKUP(A62,'Wtd scores by sub-groups'!$A$5:$J$72,3,FALSE)/12.5%</f>
        <v>40</v>
      </c>
      <c r="D62" s="44">
        <f>VLOOKUP(A62,'Wtd scores by sub-groups'!$A$5:$J$72,4,FALSE)/12.5%</f>
        <v>40.773147999999999</v>
      </c>
      <c r="E62" s="44">
        <f>VLOOKUP(A62,'Wtd scores by sub-groups'!$A$5:$J$72,5,FALSE)/13%</f>
        <v>43.884615384615373</v>
      </c>
      <c r="F62" s="44">
        <f>VLOOKUP(A62,'Wtd scores by sub-groups'!$A$5:$J$72,6,FALSE)/13%</f>
        <v>50.076923076923016</v>
      </c>
      <c r="G62" s="44">
        <f>VLOOKUP(A62,'Wtd scores by sub-groups'!$A$5:$J$72,7,FALSE)/13%</f>
        <v>25.038461538461537</v>
      </c>
      <c r="H62" s="44">
        <f>VLOOKUP(A62,'Wtd scores by sub-groups'!$A$5:$J$72,8,FALSE)/13%</f>
        <v>12.5</v>
      </c>
      <c r="I62" s="44">
        <f>VLOOKUP(A62,'Wtd scores by sub-groups'!$A$5:$J$72,9,FALSE)/13%</f>
        <v>16.653846153846153</v>
      </c>
      <c r="J62" s="75" t="str">
        <f>VLOOKUP(A62,'Overall scores and ranking'!$A$3:$D$71,4,FALSE)</f>
        <v>Poor</v>
      </c>
    </row>
    <row r="63" spans="1:10" x14ac:dyDescent="0.25">
      <c r="A63" s="19" t="s">
        <v>1278</v>
      </c>
      <c r="B63" s="44">
        <f>VLOOKUP(A63,'Wtd scores by sub-groups'!$A$5:$J$72,2,FALSE)/10%</f>
        <v>54.718559999999997</v>
      </c>
      <c r="C63" s="44">
        <f>VLOOKUP(A63,'Wtd scores by sub-groups'!$A$5:$J$72,3,FALSE)/12.5%</f>
        <v>40</v>
      </c>
      <c r="D63" s="44">
        <f>VLOOKUP(A63,'Wtd scores by sub-groups'!$A$5:$J$72,4,FALSE)/12.5%</f>
        <v>18.533148000000001</v>
      </c>
      <c r="E63" s="44">
        <f>VLOOKUP(A63,'Wtd scores by sub-groups'!$A$5:$J$72,5,FALSE)/13%</f>
        <v>78.632740203874832</v>
      </c>
      <c r="F63" s="44">
        <f>VLOOKUP(A63,'Wtd scores by sub-groups'!$A$5:$J$72,6,FALSE)/13%</f>
        <v>58.050599159557358</v>
      </c>
      <c r="G63" s="44">
        <f>VLOOKUP(A63,'Wtd scores by sub-groups'!$A$5:$J$72,7,FALSE)/13%</f>
        <v>25.038461538461537</v>
      </c>
      <c r="H63" s="44">
        <f>VLOOKUP(A63,'Wtd scores by sub-groups'!$A$5:$J$72,8,FALSE)/13%</f>
        <v>50</v>
      </c>
      <c r="I63" s="44">
        <f>VLOOKUP(A63,'Wtd scores by sub-groups'!$A$5:$J$72,9,FALSE)/13%</f>
        <v>0</v>
      </c>
      <c r="J63" s="75" t="str">
        <f>VLOOKUP(A63,'Overall scores and ranking'!$A$3:$D$71,4,FALSE)</f>
        <v>Fair</v>
      </c>
    </row>
    <row r="64" spans="1:10" x14ac:dyDescent="0.25">
      <c r="A64" s="19" t="s">
        <v>2543</v>
      </c>
      <c r="B64" s="44">
        <f>VLOOKUP(A64,'Wtd scores by sub-groups'!$A$5:$J$72,2,FALSE)/10%</f>
        <v>95.903999999999996</v>
      </c>
      <c r="C64" s="44">
        <f>VLOOKUP(A64,'Wtd scores by sub-groups'!$A$5:$J$72,3,FALSE)/12.5%</f>
        <v>100</v>
      </c>
      <c r="D64" s="44">
        <f>VLOOKUP(A64,'Wtd scores by sub-groups'!$A$5:$J$72,4,FALSE)/12.5%</f>
        <v>77.839999999999989</v>
      </c>
      <c r="E64" s="44">
        <f>VLOOKUP(A64,'Wtd scores by sub-groups'!$A$5:$J$72,5,FALSE)/13%</f>
        <v>99.275319955433233</v>
      </c>
      <c r="F64" s="44">
        <f>VLOOKUP(A64,'Wtd scores by sub-groups'!$A$5:$J$72,6,FALSE)/13%</f>
        <v>93.108534071734766</v>
      </c>
      <c r="G64" s="44">
        <f>VLOOKUP(A64,'Wtd scores by sub-groups'!$A$5:$J$72,7,FALSE)/13%</f>
        <v>68.517506869585077</v>
      </c>
      <c r="H64" s="44">
        <f>VLOOKUP(A64,'Wtd scores by sub-groups'!$A$5:$J$72,8,FALSE)/13%</f>
        <v>93.092054361156769</v>
      </c>
      <c r="I64" s="44">
        <f>VLOOKUP(A64,'Wtd scores by sub-groups'!$A$5:$J$72,9,FALSE)/13%</f>
        <v>80.747663965280381</v>
      </c>
      <c r="J64" s="75" t="str">
        <f>VLOOKUP(A64,'Overall scores and ranking'!$A$3:$D$71,4,FALSE)</f>
        <v>Very good</v>
      </c>
    </row>
    <row r="65" spans="1:10" x14ac:dyDescent="0.25">
      <c r="A65" s="19" t="s">
        <v>1359</v>
      </c>
      <c r="B65" s="44">
        <f>VLOOKUP(A65,'Wtd scores by sub-groups'!$A$5:$J$72,2,FALSE)/10%</f>
        <v>54.278999999999996</v>
      </c>
      <c r="C65" s="44">
        <f>VLOOKUP(A65,'Wtd scores by sub-groups'!$A$5:$J$72,3,FALSE)/12.5%</f>
        <v>40</v>
      </c>
      <c r="D65" s="44">
        <f>VLOOKUP(A65,'Wtd scores by sub-groups'!$A$5:$J$72,4,FALSE)/12.5%</f>
        <v>18.533148000000001</v>
      </c>
      <c r="E65" s="44">
        <f>VLOOKUP(A65,'Wtd scores by sub-groups'!$A$5:$J$72,5,FALSE)/13%</f>
        <v>68.281775563070767</v>
      </c>
      <c r="F65" s="44">
        <f>VLOOKUP(A65,'Wtd scores by sub-groups'!$A$5:$J$72,6,FALSE)/13%</f>
        <v>64.44946175433536</v>
      </c>
      <c r="G65" s="44">
        <f>VLOOKUP(A65,'Wtd scores by sub-groups'!$A$5:$J$72,7,FALSE)/13%</f>
        <v>8.3461538461538449</v>
      </c>
      <c r="H65" s="44">
        <f>VLOOKUP(A65,'Wtd scores by sub-groups'!$A$5:$J$72,8,FALSE)/13%</f>
        <v>36.25</v>
      </c>
      <c r="I65" s="44">
        <f>VLOOKUP(A65,'Wtd scores by sub-groups'!$A$5:$J$72,9,FALSE)/13%</f>
        <v>0</v>
      </c>
      <c r="J65" s="75" t="str">
        <f>VLOOKUP(A65,'Overall scores and ranking'!$A$3:$D$71,4,FALSE)</f>
        <v>Poor</v>
      </c>
    </row>
    <row r="66" spans="1:10" x14ac:dyDescent="0.25">
      <c r="A66" s="19" t="s">
        <v>2176</v>
      </c>
      <c r="B66" s="44">
        <f>VLOOKUP(A66,'Wtd scores by sub-groups'!$A$5:$J$72,2,FALSE)/10%</f>
        <v>33.299999999999997</v>
      </c>
      <c r="C66" s="44">
        <f>VLOOKUP(A66,'Wtd scores by sub-groups'!$A$5:$J$72,3,FALSE)/12.5%</f>
        <v>30</v>
      </c>
      <c r="D66" s="44">
        <f>VLOOKUP(A66,'Wtd scores by sub-groups'!$A$5:$J$72,4,FALSE)/12.5%</f>
        <v>20.386296000000002</v>
      </c>
      <c r="E66" s="44">
        <f>VLOOKUP(A66,'Wtd scores by sub-groups'!$A$5:$J$72,5,FALSE)/13%</f>
        <v>0</v>
      </c>
      <c r="F66" s="44">
        <f>VLOOKUP(A66,'Wtd scores by sub-groups'!$A$5:$J$72,6,FALSE)/13%</f>
        <v>0</v>
      </c>
      <c r="G66" s="44">
        <f>VLOOKUP(A66,'Wtd scores by sub-groups'!$A$5:$J$72,7,FALSE)/13%</f>
        <v>0</v>
      </c>
      <c r="H66" s="44">
        <f>VLOOKUP(A66,'Wtd scores by sub-groups'!$A$5:$J$72,8,FALSE)/13%</f>
        <v>0</v>
      </c>
      <c r="I66" s="44">
        <f>VLOOKUP(A66,'Wtd scores by sub-groups'!$A$5:$J$72,9,FALSE)/13%</f>
        <v>0</v>
      </c>
      <c r="J66" s="75" t="str">
        <f>VLOOKUP(A66,'Overall scores and ranking'!$A$3:$D$71,4,FALSE)</f>
        <v>Very Poor</v>
      </c>
    </row>
    <row r="67" spans="1:10" x14ac:dyDescent="0.25">
      <c r="A67" s="19" t="s">
        <v>1032</v>
      </c>
      <c r="B67" s="44">
        <f>VLOOKUP(A67,'Wtd scores by sub-groups'!$A$5:$J$72,2,FALSE)/10%</f>
        <v>32.853779999999993</v>
      </c>
      <c r="C67" s="44">
        <f>VLOOKUP(A67,'Wtd scores by sub-groups'!$A$5:$J$72,3,FALSE)/12.5%</f>
        <v>50</v>
      </c>
      <c r="D67" s="44">
        <f>VLOOKUP(A67,'Wtd scores by sub-groups'!$A$5:$J$72,4,FALSE)/12.5%</f>
        <v>31.505184</v>
      </c>
      <c r="E67" s="44">
        <f>VLOOKUP(A67,'Wtd scores by sub-groups'!$A$5:$J$72,5,FALSE)/13%</f>
        <v>61.833414831551451</v>
      </c>
      <c r="F67" s="44">
        <f>VLOOKUP(A67,'Wtd scores by sub-groups'!$A$5:$J$72,6,FALSE)/13%</f>
        <v>39.345961174248664</v>
      </c>
      <c r="G67" s="44">
        <f>VLOOKUP(A67,'Wtd scores by sub-groups'!$A$5:$J$72,7,FALSE)/13%</f>
        <v>49.215841005406922</v>
      </c>
      <c r="H67" s="44">
        <f>VLOOKUP(A67,'Wtd scores by sub-groups'!$A$5:$J$72,8,FALSE)/13%</f>
        <v>46.97775098640939</v>
      </c>
      <c r="I67" s="44">
        <f>VLOOKUP(A67,'Wtd scores by sub-groups'!$A$5:$J$72,9,FALSE)/13%</f>
        <v>16.653846153846153</v>
      </c>
      <c r="J67" s="75" t="str">
        <f>VLOOKUP(A67,'Overall scores and ranking'!$A$3:$D$71,4,FALSE)</f>
        <v>Fair</v>
      </c>
    </row>
    <row r="68" spans="1:10" x14ac:dyDescent="0.25">
      <c r="A68" s="19" t="s">
        <v>1605</v>
      </c>
      <c r="B68" s="44">
        <f>VLOOKUP(A68,'Wtd scores by sub-groups'!$A$5:$J$72,2,FALSE)/10%</f>
        <v>87.798779999999994</v>
      </c>
      <c r="C68" s="44">
        <f>VLOOKUP(A68,'Wtd scores by sub-groups'!$A$5:$J$72,3,FALSE)/12.5%</f>
        <v>99.935064935064872</v>
      </c>
      <c r="D68" s="44">
        <f>VLOOKUP(A68,'Wtd scores by sub-groups'!$A$5:$J$72,4,FALSE)/12.5%</f>
        <v>100.08</v>
      </c>
      <c r="E68" s="44">
        <f>VLOOKUP(A68,'Wtd scores by sub-groups'!$A$5:$J$72,5,FALSE)/13%</f>
        <v>99.548938810385607</v>
      </c>
      <c r="F68" s="44">
        <f>VLOOKUP(A68,'Wtd scores by sub-groups'!$A$5:$J$72,6,FALSE)/13%</f>
        <v>99.686966420033627</v>
      </c>
      <c r="G68" s="44">
        <f>VLOOKUP(A68,'Wtd scores by sub-groups'!$A$5:$J$72,7,FALSE)/13%</f>
        <v>74.459092442644931</v>
      </c>
      <c r="H68" s="44">
        <f>VLOOKUP(A68,'Wtd scores by sub-groups'!$A$5:$J$72,8,FALSE)/13%</f>
        <v>85.347501676726992</v>
      </c>
      <c r="I68" s="44">
        <f>VLOOKUP(A68,'Wtd scores by sub-groups'!$A$5:$J$72,9,FALSE)/13%</f>
        <v>78.306352151746765</v>
      </c>
      <c r="J68" s="75" t="str">
        <f>VLOOKUP(A68,'Overall scores and ranking'!$A$3:$D$71,4,FALSE)</f>
        <v>Very good</v>
      </c>
    </row>
    <row r="69" spans="1:10" x14ac:dyDescent="0.25">
      <c r="A69" s="19" t="s">
        <v>2095</v>
      </c>
      <c r="B69" s="44">
        <f>VLOOKUP(A69,'Wtd scores by sub-groups'!$A$5:$J$72,2,FALSE)/10%</f>
        <v>64.598669999999984</v>
      </c>
      <c r="C69" s="44">
        <f>VLOOKUP(A69,'Wtd scores by sub-groups'!$A$5:$J$72,3,FALSE)/12.5%</f>
        <v>50</v>
      </c>
      <c r="D69" s="44">
        <f>VLOOKUP(A69,'Wtd scores by sub-groups'!$A$5:$J$72,4,FALSE)/12.5%</f>
        <v>84.037452229299362</v>
      </c>
      <c r="E69" s="44">
        <f>VLOOKUP(A69,'Wtd scores by sub-groups'!$A$5:$J$72,5,FALSE)/13%</f>
        <v>77.38834789102799</v>
      </c>
      <c r="F69" s="44">
        <f>VLOOKUP(A69,'Wtd scores by sub-groups'!$A$5:$J$72,6,FALSE)/13%</f>
        <v>95.014340682533984</v>
      </c>
      <c r="G69" s="44">
        <f>VLOOKUP(A69,'Wtd scores by sub-groups'!$A$5:$J$72,7,FALSE)/13%</f>
        <v>33.38461538461538</v>
      </c>
      <c r="H69" s="44">
        <f>VLOOKUP(A69,'Wtd scores by sub-groups'!$A$5:$J$72,8,FALSE)/13%</f>
        <v>64.642653091886842</v>
      </c>
      <c r="I69" s="44">
        <f>VLOOKUP(A69,'Wtd scores by sub-groups'!$A$5:$J$72,9,FALSE)/13%</f>
        <v>48.296153846153686</v>
      </c>
      <c r="J69" s="75" t="str">
        <f>VLOOKUP(A69,'Overall scores and ranking'!$A$3:$D$71,4,FALSE)</f>
        <v>Good</v>
      </c>
    </row>
    <row r="70" spans="1:10" x14ac:dyDescent="0.25">
      <c r="A70" s="19" t="s">
        <v>2707</v>
      </c>
      <c r="B70" s="44">
        <f>VLOOKUP(A70,'Wtd scores by sub-groups'!$A$5:$J$72,2,FALSE)/10%</f>
        <v>74.035889999999995</v>
      </c>
      <c r="C70" s="44">
        <f>VLOOKUP(A70,'Wtd scores by sub-groups'!$A$5:$J$72,3,FALSE)/12.5%</f>
        <v>100</v>
      </c>
      <c r="D70" s="44">
        <f>VLOOKUP(A70,'Wtd scores by sub-groups'!$A$5:$J$72,4,FALSE)/12.5%</f>
        <v>74.411742350977988</v>
      </c>
      <c r="E70" s="44">
        <f>VLOOKUP(A70,'Wtd scores by sub-groups'!$A$5:$J$72,5,FALSE)/13%</f>
        <v>95.202787851314071</v>
      </c>
      <c r="F70" s="44">
        <f>VLOOKUP(A70,'Wtd scores by sub-groups'!$A$5:$J$72,6,FALSE)/13%</f>
        <v>93.111880186902752</v>
      </c>
      <c r="G70" s="44">
        <f>VLOOKUP(A70,'Wtd scores by sub-groups'!$A$5:$J$72,7,FALSE)/13%</f>
        <v>93.323903340539701</v>
      </c>
      <c r="H70" s="44">
        <f>VLOOKUP(A70,'Wtd scores by sub-groups'!$A$5:$J$72,8,FALSE)/13%</f>
        <v>50.411716908431536</v>
      </c>
      <c r="I70" s="44">
        <f>VLOOKUP(A70,'Wtd scores by sub-groups'!$A$5:$J$72,9,FALSE)/13%</f>
        <v>76.133593695515614</v>
      </c>
      <c r="J70" s="75" t="str">
        <f>VLOOKUP(A70,'Overall scores and ranking'!$A$3:$D$71,4,FALSE)</f>
        <v>Very good</v>
      </c>
    </row>
    <row r="71" spans="1:10" x14ac:dyDescent="0.25">
      <c r="A71" s="19" t="s">
        <v>2503</v>
      </c>
      <c r="B71" s="44">
        <f>VLOOKUP(A71,'Wtd scores by sub-groups'!$A$5:$J$72,2,FALSE)/10%</f>
        <v>55.497779999999999</v>
      </c>
      <c r="C71" s="44">
        <f>VLOOKUP(A71,'Wtd scores by sub-groups'!$A$5:$J$72,3,FALSE)/12.5%</f>
        <v>50</v>
      </c>
      <c r="D71" s="44">
        <f>VLOOKUP(A71,'Wtd scores by sub-groups'!$A$5:$J$72,4,FALSE)/12.5%</f>
        <v>24.092592000000003</v>
      </c>
      <c r="E71" s="44">
        <f>VLOOKUP(A71,'Wtd scores by sub-groups'!$A$5:$J$72,5,FALSE)/13%</f>
        <v>33.435061538461539</v>
      </c>
      <c r="F71" s="44">
        <f>VLOOKUP(A71,'Wtd scores by sub-groups'!$A$5:$J$72,6,FALSE)/13%</f>
        <v>21.461538461538442</v>
      </c>
      <c r="G71" s="44">
        <f>VLOOKUP(A71,'Wtd scores by sub-groups'!$A$5:$J$72,7,FALSE)/13%</f>
        <v>25.038461538461537</v>
      </c>
      <c r="H71" s="44">
        <f>VLOOKUP(A71,'Wtd scores by sub-groups'!$A$5:$J$72,8,FALSE)/13%</f>
        <v>25</v>
      </c>
      <c r="I71" s="44">
        <f>VLOOKUP(A71,'Wtd scores by sub-groups'!$A$5:$J$72,9,FALSE)/13%</f>
        <v>16.653846153846153</v>
      </c>
      <c r="J71" s="75" t="str">
        <f>VLOOKUP(A71,'Overall scores and ranking'!$A$3:$D$71,4,FALSE)</f>
        <v>Poor</v>
      </c>
    </row>
    <row r="72" spans="1:10" x14ac:dyDescent="0.25">
      <c r="A72" s="47" t="s">
        <v>3107</v>
      </c>
      <c r="B72" s="67">
        <f>SUBTOTAL(1,B4:B71)</f>
        <v>46.001795294117642</v>
      </c>
      <c r="C72" s="67">
        <f t="shared" ref="C72:I72" si="0">SUBTOTAL(1,C4:C71)</f>
        <v>57.723724074449201</v>
      </c>
      <c r="D72" s="67">
        <f t="shared" si="0"/>
        <v>37.631392344498273</v>
      </c>
      <c r="E72" s="67">
        <f t="shared" si="0"/>
        <v>50.858128564559188</v>
      </c>
      <c r="F72" s="67">
        <f t="shared" si="0"/>
        <v>46.454323978307499</v>
      </c>
      <c r="G72" s="67">
        <f t="shared" si="0"/>
        <v>27.302692701590527</v>
      </c>
      <c r="H72" s="67">
        <f t="shared" si="0"/>
        <v>31.45850401497691</v>
      </c>
      <c r="I72" s="67">
        <f t="shared" si="0"/>
        <v>16.291586196715535</v>
      </c>
    </row>
    <row r="74" spans="1:10" x14ac:dyDescent="0.25">
      <c r="A74" s="52" t="s">
        <v>3075</v>
      </c>
      <c r="B74" s="79">
        <f>COUNTIF(B4:B71, "&gt;0")</f>
        <v>67</v>
      </c>
      <c r="C74" s="79">
        <f t="shared" ref="C74:I74" si="1">COUNTIF(C4:C71, "&gt;0")</f>
        <v>67</v>
      </c>
      <c r="D74" s="79">
        <f t="shared" si="1"/>
        <v>60</v>
      </c>
      <c r="E74" s="79">
        <f t="shared" si="1"/>
        <v>60</v>
      </c>
      <c r="F74" s="79">
        <f t="shared" si="1"/>
        <v>58</v>
      </c>
      <c r="G74" s="79">
        <f t="shared" si="1"/>
        <v>58</v>
      </c>
      <c r="H74" s="79">
        <f t="shared" si="1"/>
        <v>56</v>
      </c>
      <c r="I74" s="79">
        <f t="shared" si="1"/>
        <v>24</v>
      </c>
    </row>
    <row r="75" spans="1:10" x14ac:dyDescent="0.25">
      <c r="A75" s="46" t="s">
        <v>3111</v>
      </c>
      <c r="B75" s="80">
        <f>COUNTIF(B4:B71, "=0")</f>
        <v>1</v>
      </c>
      <c r="C75" s="80">
        <f t="shared" ref="C75:I75" si="2">COUNTIF(C4:C71, "=0")</f>
        <v>1</v>
      </c>
      <c r="D75" s="80">
        <f t="shared" si="2"/>
        <v>8</v>
      </c>
      <c r="E75" s="80">
        <f t="shared" si="2"/>
        <v>8</v>
      </c>
      <c r="F75" s="80">
        <f t="shared" si="2"/>
        <v>10</v>
      </c>
      <c r="G75" s="80">
        <f t="shared" si="2"/>
        <v>10</v>
      </c>
      <c r="H75" s="80">
        <f t="shared" si="2"/>
        <v>12</v>
      </c>
      <c r="I75" s="80">
        <f t="shared" si="2"/>
        <v>44</v>
      </c>
    </row>
    <row r="76" spans="1:10" x14ac:dyDescent="0.25">
      <c r="A76" s="19" t="s">
        <v>3108</v>
      </c>
      <c r="B76">
        <f>68-SUM(B74:B75)</f>
        <v>0</v>
      </c>
      <c r="C76">
        <f t="shared" ref="C76:I76" si="3">68-SUM(C74:C75)</f>
        <v>0</v>
      </c>
      <c r="D76">
        <f t="shared" si="3"/>
        <v>0</v>
      </c>
      <c r="E76">
        <f t="shared" si="3"/>
        <v>0</v>
      </c>
      <c r="F76">
        <f t="shared" si="3"/>
        <v>0</v>
      </c>
      <c r="G76">
        <f t="shared" si="3"/>
        <v>0</v>
      </c>
      <c r="H76">
        <f t="shared" si="3"/>
        <v>0</v>
      </c>
      <c r="I76">
        <f t="shared" si="3"/>
        <v>0</v>
      </c>
    </row>
  </sheetData>
  <autoFilter ref="A3:J71"/>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I29"/>
  <sheetViews>
    <sheetView workbookViewId="0">
      <selection sqref="A1:XFD1"/>
    </sheetView>
  </sheetViews>
  <sheetFormatPr defaultRowHeight="15" x14ac:dyDescent="0.25"/>
  <cols>
    <col min="1" max="1" width="13.140625" bestFit="1" customWidth="1"/>
    <col min="2" max="2" width="23.140625" bestFit="1" customWidth="1"/>
    <col min="3" max="3" width="32.28515625" bestFit="1" customWidth="1"/>
    <col min="4" max="4" width="32.42578125" bestFit="1" customWidth="1"/>
    <col min="5" max="5" width="35.5703125" bestFit="1" customWidth="1"/>
    <col min="6" max="6" width="32.28515625" bestFit="1" customWidth="1"/>
    <col min="7" max="7" width="36.85546875" bestFit="1" customWidth="1"/>
    <col min="8" max="8" width="27.42578125" bestFit="1" customWidth="1"/>
    <col min="9" max="9" width="31.42578125" bestFit="1" customWidth="1"/>
  </cols>
  <sheetData>
    <row r="1" spans="1:9" s="168" customFormat="1" ht="21" x14ac:dyDescent="0.35">
      <c r="A1" s="167" t="s">
        <v>3268</v>
      </c>
    </row>
    <row r="3" spans="1:9" x14ac:dyDescent="0.25">
      <c r="A3" s="18" t="s">
        <v>3042</v>
      </c>
      <c r="B3" t="s">
        <v>3114</v>
      </c>
      <c r="C3" t="s">
        <v>3115</v>
      </c>
      <c r="D3" t="s">
        <v>3116</v>
      </c>
      <c r="E3" t="s">
        <v>3117</v>
      </c>
      <c r="F3" t="s">
        <v>3118</v>
      </c>
      <c r="G3" t="s">
        <v>3119</v>
      </c>
      <c r="H3" t="s">
        <v>3120</v>
      </c>
      <c r="I3" t="s">
        <v>3121</v>
      </c>
    </row>
    <row r="4" spans="1:9" x14ac:dyDescent="0.25">
      <c r="A4" s="19" t="s">
        <v>3049</v>
      </c>
      <c r="B4" s="22">
        <v>80.854302857142855</v>
      </c>
      <c r="C4" s="22">
        <v>99.602916924345465</v>
      </c>
      <c r="D4" s="22">
        <v>91.509491298535735</v>
      </c>
      <c r="E4" s="22">
        <v>97.471561864645921</v>
      </c>
      <c r="F4" s="22">
        <v>90.582439931600376</v>
      </c>
      <c r="G4" s="22">
        <v>74.863641788413219</v>
      </c>
      <c r="H4" s="22">
        <v>76.536879878038604</v>
      </c>
      <c r="I4" s="22">
        <v>76.12639617952361</v>
      </c>
    </row>
    <row r="5" spans="1:9" x14ac:dyDescent="0.25">
      <c r="A5" s="19" t="s">
        <v>3050</v>
      </c>
      <c r="B5" s="22">
        <v>76.948807499999987</v>
      </c>
      <c r="C5" s="22">
        <v>86.842173423423404</v>
      </c>
      <c r="D5" s="22">
        <v>76.761325028662426</v>
      </c>
      <c r="E5" s="22">
        <v>92.014754262726484</v>
      </c>
      <c r="F5" s="22">
        <v>88.176819874884387</v>
      </c>
      <c r="G5" s="22">
        <v>45.617093307349194</v>
      </c>
      <c r="H5" s="22">
        <v>53.786912848221206</v>
      </c>
      <c r="I5" s="22">
        <v>39.600676998861083</v>
      </c>
    </row>
    <row r="6" spans="1:9" x14ac:dyDescent="0.25">
      <c r="A6" s="19" t="s">
        <v>3051</v>
      </c>
      <c r="B6" s="22">
        <v>46.881405000000001</v>
      </c>
      <c r="C6" s="22">
        <v>64.578464450296252</v>
      </c>
      <c r="D6" s="22">
        <v>41.787121506677018</v>
      </c>
      <c r="E6" s="22">
        <v>76.052590707560768</v>
      </c>
      <c r="F6" s="22">
        <v>73.00404648150311</v>
      </c>
      <c r="G6" s="22">
        <v>25.525534814885177</v>
      </c>
      <c r="H6" s="22">
        <v>46.31569131789945</v>
      </c>
      <c r="I6" s="22">
        <v>7.8067855176842684</v>
      </c>
    </row>
    <row r="7" spans="1:9" x14ac:dyDescent="0.25">
      <c r="A7" s="19" t="s">
        <v>3112</v>
      </c>
      <c r="B7" s="22">
        <v>42.917262000000008</v>
      </c>
      <c r="C7" s="22">
        <v>49.333333333333336</v>
      </c>
      <c r="D7" s="22">
        <v>27.676123199999999</v>
      </c>
      <c r="E7" s="22">
        <v>39.131493645596649</v>
      </c>
      <c r="F7" s="22">
        <v>34.202776040551598</v>
      </c>
      <c r="G7" s="22">
        <v>25.038461538461537</v>
      </c>
      <c r="H7" s="22">
        <v>22.694333333333326</v>
      </c>
      <c r="I7" s="22">
        <v>8.8819402564102514</v>
      </c>
    </row>
    <row r="8" spans="1:9" x14ac:dyDescent="0.25">
      <c r="A8" s="19" t="s">
        <v>3113</v>
      </c>
      <c r="B8" s="22">
        <v>25.12227681818182</v>
      </c>
      <c r="C8" s="22">
        <v>34.545454545454547</v>
      </c>
      <c r="D8" s="22">
        <v>10.024629454545455</v>
      </c>
      <c r="E8" s="22">
        <v>10.7327236013986</v>
      </c>
      <c r="F8" s="22">
        <v>6.2861821678321572</v>
      </c>
      <c r="G8" s="22">
        <v>8.3461538461538449</v>
      </c>
      <c r="H8" s="22">
        <v>4.1663068181817868</v>
      </c>
      <c r="I8" s="22">
        <v>0</v>
      </c>
    </row>
    <row r="9" spans="1:9" x14ac:dyDescent="0.25">
      <c r="B9" s="22">
        <f t="shared" ref="B9:I9" si="0">AVERAGE(B4:B8)</f>
        <v>54.544810835064936</v>
      </c>
      <c r="C9" s="22">
        <f t="shared" si="0"/>
        <v>66.980468535370605</v>
      </c>
      <c r="D9" s="22">
        <f t="shared" si="0"/>
        <v>49.551738097684122</v>
      </c>
      <c r="E9" s="22">
        <f t="shared" si="0"/>
        <v>63.080624816385694</v>
      </c>
      <c r="F9" s="22">
        <f t="shared" si="0"/>
        <v>58.450452899274332</v>
      </c>
      <c r="G9" s="22">
        <f t="shared" si="0"/>
        <v>35.878177059052589</v>
      </c>
      <c r="H9" s="22">
        <f t="shared" si="0"/>
        <v>40.700024839134876</v>
      </c>
      <c r="I9" s="22">
        <f t="shared" si="0"/>
        <v>26.48315979049584</v>
      </c>
    </row>
    <row r="14" spans="1:9" x14ac:dyDescent="0.25">
      <c r="B14" s="19"/>
      <c r="C14" s="22"/>
      <c r="D14" s="22"/>
      <c r="E14" s="22"/>
    </row>
    <row r="15" spans="1:9" x14ac:dyDescent="0.25">
      <c r="B15" s="19"/>
      <c r="C15" s="22"/>
      <c r="D15" s="22"/>
      <c r="E15" s="22"/>
    </row>
    <row r="16" spans="1:9" x14ac:dyDescent="0.25">
      <c r="B16" s="19"/>
      <c r="C16" s="22"/>
      <c r="D16" s="22" t="s">
        <v>3097</v>
      </c>
      <c r="E16" t="s">
        <v>3246</v>
      </c>
      <c r="F16" t="s">
        <v>3247</v>
      </c>
      <c r="G16" t="s">
        <v>3104</v>
      </c>
      <c r="H16" t="s">
        <v>3249</v>
      </c>
      <c r="I16" t="s">
        <v>3248</v>
      </c>
    </row>
    <row r="17" spans="2:9" x14ac:dyDescent="0.25">
      <c r="B17" s="19"/>
      <c r="C17" s="22"/>
      <c r="D17" s="116" t="s">
        <v>3049</v>
      </c>
      <c r="E17" s="116">
        <v>97.471561864645921</v>
      </c>
      <c r="F17" s="116">
        <v>90.582439931600376</v>
      </c>
      <c r="G17" s="116">
        <v>74.863641788413219</v>
      </c>
      <c r="H17" s="116">
        <v>76.536879878038604</v>
      </c>
      <c r="I17" s="116">
        <v>76.12639617952361</v>
      </c>
    </row>
    <row r="18" spans="2:9" x14ac:dyDescent="0.25">
      <c r="B18" s="19"/>
      <c r="C18" s="22"/>
      <c r="D18" s="116" t="s">
        <v>3050</v>
      </c>
      <c r="E18" s="116">
        <v>92.014754262726484</v>
      </c>
      <c r="F18" s="116">
        <v>88.176819874884387</v>
      </c>
      <c r="G18" s="116">
        <v>45.617093307349194</v>
      </c>
      <c r="H18" s="116">
        <v>53.786912848221206</v>
      </c>
      <c r="I18" s="116">
        <v>39.600676998861083</v>
      </c>
    </row>
    <row r="19" spans="2:9" x14ac:dyDescent="0.25">
      <c r="D19" s="116" t="s">
        <v>3051</v>
      </c>
      <c r="E19" s="116">
        <v>76.052590707560768</v>
      </c>
      <c r="F19" s="116">
        <v>73.00404648150311</v>
      </c>
      <c r="G19" s="116">
        <v>25.525534814885177</v>
      </c>
      <c r="H19" s="116">
        <v>46.31569131789945</v>
      </c>
      <c r="I19" s="116">
        <v>7.8067855176842684</v>
      </c>
    </row>
    <row r="20" spans="2:9" x14ac:dyDescent="0.25">
      <c r="D20" s="116" t="s">
        <v>3112</v>
      </c>
      <c r="E20" s="116">
        <v>39.131493645596649</v>
      </c>
      <c r="F20" s="116">
        <v>34.202776040551598</v>
      </c>
      <c r="G20" s="116">
        <v>25.038461538461537</v>
      </c>
      <c r="H20" s="116">
        <v>22.694333333333326</v>
      </c>
      <c r="I20" s="116">
        <v>8.8819402564102514</v>
      </c>
    </row>
    <row r="21" spans="2:9" x14ac:dyDescent="0.25">
      <c r="D21" s="116" t="s">
        <v>3113</v>
      </c>
      <c r="E21" s="116">
        <v>10.7327236013986</v>
      </c>
      <c r="F21" s="116">
        <v>6.2861821678321572</v>
      </c>
      <c r="G21" s="116">
        <v>8.3461538461538449</v>
      </c>
      <c r="H21" s="116">
        <v>4.1663068181817868</v>
      </c>
      <c r="I21" s="116">
        <v>0</v>
      </c>
    </row>
    <row r="24" spans="2:9" x14ac:dyDescent="0.25">
      <c r="D24" s="22" t="s">
        <v>3097</v>
      </c>
      <c r="E24" t="s">
        <v>3250</v>
      </c>
      <c r="F24" t="s">
        <v>3249</v>
      </c>
    </row>
    <row r="25" spans="2:9" x14ac:dyDescent="0.25">
      <c r="D25" s="116" t="s">
        <v>3049</v>
      </c>
      <c r="E25" s="22">
        <v>99.602916924345465</v>
      </c>
      <c r="F25" s="22">
        <v>91.509491298535735</v>
      </c>
    </row>
    <row r="26" spans="2:9" x14ac:dyDescent="0.25">
      <c r="D26" s="116" t="s">
        <v>3050</v>
      </c>
      <c r="E26" s="22">
        <v>86.842173423423404</v>
      </c>
      <c r="F26" s="22">
        <v>76.761325028662426</v>
      </c>
    </row>
    <row r="27" spans="2:9" x14ac:dyDescent="0.25">
      <c r="D27" s="116" t="s">
        <v>3051</v>
      </c>
      <c r="E27" s="22">
        <v>64.578464450296252</v>
      </c>
      <c r="F27" s="22">
        <v>41.787121506677018</v>
      </c>
    </row>
    <row r="28" spans="2:9" x14ac:dyDescent="0.25">
      <c r="D28" s="116" t="s">
        <v>3112</v>
      </c>
      <c r="E28" s="22">
        <v>49.333333333333336</v>
      </c>
      <c r="F28" s="22">
        <v>27.676123199999999</v>
      </c>
    </row>
    <row r="29" spans="2:9" x14ac:dyDescent="0.25">
      <c r="D29" s="116" t="s">
        <v>3113</v>
      </c>
      <c r="E29" s="22">
        <v>34.545454545454547</v>
      </c>
      <c r="F29" s="22">
        <v>10.024629454545455</v>
      </c>
    </row>
  </sheetData>
  <pageMargins left="0.7" right="0.7" top="0.75" bottom="0.75" header="0.3" footer="0.3"/>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AO143"/>
  <sheetViews>
    <sheetView workbookViewId="0">
      <pane xSplit="1" ySplit="6" topLeftCell="B7" activePane="bottomRight" state="frozen"/>
      <selection pane="topRight" activeCell="B1" sqref="B1"/>
      <selection pane="bottomLeft" activeCell="A7" sqref="A7"/>
      <selection pane="bottomRight" activeCell="A2" sqref="A2"/>
    </sheetView>
  </sheetViews>
  <sheetFormatPr defaultRowHeight="15" x14ac:dyDescent="0.25"/>
  <cols>
    <col min="1" max="1" width="39.7109375" customWidth="1"/>
    <col min="2" max="2" width="16.28515625" customWidth="1"/>
    <col min="3" max="3" width="25.140625" customWidth="1"/>
    <col min="4" max="4" width="12" customWidth="1"/>
    <col min="5" max="5" width="20.140625" customWidth="1"/>
    <col min="6" max="6" width="13.42578125" customWidth="1"/>
    <col min="7" max="7" width="15.85546875" customWidth="1"/>
    <col min="8" max="8" width="18.5703125" customWidth="1"/>
    <col min="9" max="9" width="15.7109375" customWidth="1"/>
    <col min="10" max="10" width="12.140625" customWidth="1"/>
    <col min="11" max="11" width="21.5703125" customWidth="1"/>
    <col min="12" max="12" width="5.85546875" customWidth="1"/>
    <col min="13" max="13" width="12.7109375" customWidth="1"/>
    <col min="14" max="14" width="9.85546875" customWidth="1"/>
    <col min="15" max="15" width="5" customWidth="1"/>
    <col min="16" max="16" width="11.140625" bestFit="1" customWidth="1"/>
    <col min="17" max="17" width="13.7109375" bestFit="1" customWidth="1"/>
    <col min="18" max="18" width="11.85546875" bestFit="1" customWidth="1"/>
    <col min="19" max="19" width="13.7109375" bestFit="1" customWidth="1"/>
    <col min="20" max="20" width="14.28515625" bestFit="1" customWidth="1"/>
    <col min="21" max="21" width="18" bestFit="1" customWidth="1"/>
    <col min="22" max="22" width="10" bestFit="1" customWidth="1"/>
    <col min="23" max="23" width="8.7109375" bestFit="1" customWidth="1"/>
    <col min="24" max="24" width="12.5703125" bestFit="1" customWidth="1"/>
    <col min="25" max="25" width="6.5703125" bestFit="1" customWidth="1"/>
    <col min="26" max="26" width="20.140625" customWidth="1"/>
    <col min="27" max="27" width="14.28515625" customWidth="1"/>
    <col min="28" max="28" width="20.140625" bestFit="1" customWidth="1"/>
    <col min="29" max="29" width="11.140625" bestFit="1" customWidth="1"/>
    <col min="30" max="30" width="10.42578125" bestFit="1" customWidth="1"/>
    <col min="31" max="31" width="11.85546875" bestFit="1" customWidth="1"/>
    <col min="32" max="32" width="9.28515625" bestFit="1" customWidth="1"/>
    <col min="33" max="33" width="8.140625" bestFit="1" customWidth="1"/>
    <col min="34" max="34" width="10.42578125" bestFit="1" customWidth="1"/>
    <col min="35" max="35" width="13.7109375" bestFit="1" customWidth="1"/>
    <col min="36" max="36" width="18.28515625" bestFit="1" customWidth="1"/>
    <col min="37" max="37" width="16.28515625" bestFit="1" customWidth="1"/>
    <col min="38" max="38" width="14.28515625" bestFit="1" customWidth="1"/>
    <col min="39" max="39" width="16.7109375" bestFit="1" customWidth="1"/>
    <col min="40" max="40" width="10.5703125" bestFit="1" customWidth="1"/>
    <col min="41" max="41" width="21" bestFit="1" customWidth="1"/>
    <col min="42" max="42" width="8.140625" bestFit="1" customWidth="1"/>
    <col min="43" max="43" width="12.28515625" customWidth="1"/>
    <col min="44" max="44" width="20.140625" bestFit="1" customWidth="1"/>
    <col min="45" max="45" width="9.28515625" bestFit="1" customWidth="1"/>
    <col min="46" max="46" width="11.140625" bestFit="1" customWidth="1"/>
    <col min="47" max="47" width="5.42578125" customWidth="1"/>
    <col min="48" max="48" width="10.42578125" bestFit="1" customWidth="1"/>
    <col min="49" max="49" width="8.140625" bestFit="1" customWidth="1"/>
    <col min="50" max="50" width="23.28515625" bestFit="1" customWidth="1"/>
    <col min="51" max="51" width="12.28515625" bestFit="1" customWidth="1"/>
    <col min="52" max="52" width="11.28515625" bestFit="1" customWidth="1"/>
    <col min="53" max="53" width="23.42578125" bestFit="1" customWidth="1"/>
    <col min="54" max="54" width="17" bestFit="1" customWidth="1"/>
    <col min="55" max="55" width="26.5703125" bestFit="1" customWidth="1"/>
    <col min="56" max="56" width="32" bestFit="1" customWidth="1"/>
    <col min="57" max="57" width="12.28515625" bestFit="1" customWidth="1"/>
    <col min="58" max="58" width="35.140625" bestFit="1" customWidth="1"/>
    <col min="59" max="59" width="18.28515625" bestFit="1" customWidth="1"/>
    <col min="60" max="60" width="12.28515625" bestFit="1" customWidth="1"/>
    <col min="61" max="61" width="16.140625" bestFit="1" customWidth="1"/>
    <col min="62" max="62" width="14.42578125" bestFit="1" customWidth="1"/>
    <col min="63" max="63" width="12.28515625" bestFit="1" customWidth="1"/>
    <col min="64" max="64" width="17.7109375" bestFit="1" customWidth="1"/>
    <col min="65" max="65" width="13.42578125" bestFit="1" customWidth="1"/>
    <col min="66" max="66" width="12.28515625" bestFit="1" customWidth="1"/>
    <col min="67" max="67" width="15" bestFit="1" customWidth="1"/>
    <col min="68" max="68" width="14.28515625" bestFit="1" customWidth="1"/>
    <col min="69" max="69" width="17.5703125" bestFit="1" customWidth="1"/>
    <col min="70" max="70" width="10.140625" bestFit="1" customWidth="1"/>
    <col min="71" max="71" width="18.5703125" bestFit="1" customWidth="1"/>
    <col min="72" max="72" width="12.28515625" bestFit="1" customWidth="1"/>
    <col min="73" max="73" width="21.85546875" bestFit="1" customWidth="1"/>
    <col min="74" max="74" width="27" bestFit="1" customWidth="1"/>
    <col min="75" max="75" width="17.5703125" bestFit="1" customWidth="1"/>
    <col min="76" max="76" width="30.28515625" bestFit="1" customWidth="1"/>
    <col min="77" max="77" width="14.5703125" bestFit="1" customWidth="1"/>
    <col min="78" max="78" width="12.28515625" bestFit="1" customWidth="1"/>
    <col min="79" max="79" width="17.85546875" bestFit="1" customWidth="1"/>
    <col min="80" max="80" width="18.28515625" bestFit="1" customWidth="1"/>
    <col min="81" max="81" width="12.28515625" bestFit="1" customWidth="1"/>
    <col min="82" max="82" width="10.28515625" bestFit="1" customWidth="1"/>
    <col min="83" max="83" width="18.28515625" bestFit="1" customWidth="1"/>
    <col min="84" max="84" width="12.28515625" bestFit="1" customWidth="1"/>
    <col min="85" max="85" width="15.42578125" bestFit="1" customWidth="1"/>
    <col min="86" max="86" width="22" bestFit="1" customWidth="1"/>
    <col min="87" max="87" width="17" bestFit="1" customWidth="1"/>
    <col min="88" max="88" width="25.140625" bestFit="1" customWidth="1"/>
    <col min="89" max="89" width="15.5703125" bestFit="1" customWidth="1"/>
    <col min="90" max="90" width="12.28515625" bestFit="1" customWidth="1"/>
    <col min="91" max="91" width="18.7109375" bestFit="1" customWidth="1"/>
    <col min="92" max="92" width="20.42578125" bestFit="1" customWidth="1"/>
    <col min="93" max="93" width="17" bestFit="1" customWidth="1"/>
    <col min="94" max="94" width="23.5703125" bestFit="1" customWidth="1"/>
    <col min="95" max="95" width="12.42578125" bestFit="1" customWidth="1"/>
    <col min="96" max="97" width="12.28515625" bestFit="1" customWidth="1"/>
    <col min="98" max="98" width="13.42578125" bestFit="1" customWidth="1"/>
    <col min="99" max="99" width="12.28515625" bestFit="1" customWidth="1"/>
    <col min="100" max="100" width="11.42578125" bestFit="1" customWidth="1"/>
    <col min="101" max="101" width="22" bestFit="1" customWidth="1"/>
    <col min="102" max="102" width="12.28515625" bestFit="1" customWidth="1"/>
    <col min="103" max="103" width="25.140625" bestFit="1" customWidth="1"/>
    <col min="104" max="104" width="18.28515625" bestFit="1" customWidth="1"/>
    <col min="105" max="105" width="12.28515625" bestFit="1" customWidth="1"/>
    <col min="106" max="106" width="13.140625" bestFit="1" customWidth="1"/>
    <col min="107" max="107" width="16.140625" bestFit="1" customWidth="1"/>
    <col min="108" max="108" width="12.28515625" bestFit="1" customWidth="1"/>
    <col min="109" max="109" width="19.28515625" bestFit="1" customWidth="1"/>
    <col min="110" max="110" width="9.28515625" bestFit="1" customWidth="1"/>
    <col min="111" max="111" width="12.28515625" bestFit="1" customWidth="1"/>
    <col min="112" max="112" width="9.85546875" bestFit="1" customWidth="1"/>
    <col min="113" max="113" width="14" bestFit="1" customWidth="1"/>
    <col min="114" max="114" width="17" bestFit="1" customWidth="1"/>
    <col min="115" max="115" width="17.28515625" bestFit="1" customWidth="1"/>
    <col min="116" max="116" width="11.7109375" bestFit="1" customWidth="1"/>
    <col min="117" max="117" width="12.28515625" bestFit="1" customWidth="1"/>
    <col min="118" max="118" width="14.85546875" bestFit="1" customWidth="1"/>
    <col min="119" max="119" width="11.28515625" bestFit="1" customWidth="1"/>
  </cols>
  <sheetData>
    <row r="1" spans="1:41" ht="21" x14ac:dyDescent="0.35">
      <c r="A1" s="167" t="s">
        <v>3269</v>
      </c>
    </row>
    <row r="2" spans="1:41" x14ac:dyDescent="0.25">
      <c r="B2">
        <v>2</v>
      </c>
      <c r="C2">
        <v>3</v>
      </c>
      <c r="D2">
        <v>4</v>
      </c>
      <c r="E2">
        <v>5</v>
      </c>
      <c r="F2">
        <v>6</v>
      </c>
      <c r="G2">
        <v>7</v>
      </c>
      <c r="H2">
        <v>8</v>
      </c>
      <c r="I2">
        <v>9</v>
      </c>
      <c r="J2">
        <v>10</v>
      </c>
      <c r="K2">
        <v>11</v>
      </c>
      <c r="L2">
        <v>12</v>
      </c>
      <c r="M2">
        <v>13</v>
      </c>
      <c r="N2">
        <v>14</v>
      </c>
      <c r="O2">
        <v>15</v>
      </c>
      <c r="P2">
        <v>16</v>
      </c>
      <c r="Q2">
        <v>17</v>
      </c>
      <c r="R2">
        <v>18</v>
      </c>
      <c r="S2">
        <v>19</v>
      </c>
      <c r="T2">
        <v>20</v>
      </c>
      <c r="U2">
        <v>21</v>
      </c>
      <c r="V2">
        <v>22</v>
      </c>
      <c r="W2">
        <v>23</v>
      </c>
      <c r="X2">
        <v>24</v>
      </c>
      <c r="Y2">
        <v>25</v>
      </c>
      <c r="Z2">
        <v>26</v>
      </c>
      <c r="AA2">
        <v>27</v>
      </c>
      <c r="AB2">
        <v>28</v>
      </c>
      <c r="AC2">
        <v>29</v>
      </c>
      <c r="AD2">
        <v>30</v>
      </c>
      <c r="AE2">
        <v>31</v>
      </c>
      <c r="AF2">
        <v>32</v>
      </c>
      <c r="AG2">
        <v>33</v>
      </c>
      <c r="AH2">
        <v>34</v>
      </c>
      <c r="AI2">
        <v>35</v>
      </c>
      <c r="AJ2">
        <v>36</v>
      </c>
      <c r="AK2">
        <v>37</v>
      </c>
      <c r="AL2">
        <v>38</v>
      </c>
      <c r="AM2">
        <v>39</v>
      </c>
      <c r="AN2">
        <v>40</v>
      </c>
    </row>
    <row r="3" spans="1:41" x14ac:dyDescent="0.25">
      <c r="A3" s="18" t="s">
        <v>3044</v>
      </c>
      <c r="B3" s="18" t="s">
        <v>3043</v>
      </c>
      <c r="AO3" s="41"/>
    </row>
    <row r="4" spans="1:41" x14ac:dyDescent="0.25">
      <c r="B4" t="s">
        <v>163</v>
      </c>
      <c r="E4" t="s">
        <v>134</v>
      </c>
      <c r="M4" t="s">
        <v>32</v>
      </c>
      <c r="AO4" s="41"/>
    </row>
    <row r="5" spans="1:41" x14ac:dyDescent="0.25">
      <c r="B5" t="s">
        <v>3059</v>
      </c>
      <c r="E5" t="s">
        <v>146</v>
      </c>
      <c r="J5" t="s">
        <v>87</v>
      </c>
      <c r="M5" t="s">
        <v>33</v>
      </c>
      <c r="U5" t="s">
        <v>63</v>
      </c>
      <c r="AB5" t="s">
        <v>114</v>
      </c>
      <c r="AH5" t="s">
        <v>87</v>
      </c>
      <c r="AL5" t="s">
        <v>101</v>
      </c>
      <c r="AO5" s="41"/>
    </row>
    <row r="6" spans="1:41" ht="30" x14ac:dyDescent="0.25">
      <c r="A6" s="18" t="s">
        <v>3042</v>
      </c>
      <c r="B6" t="s">
        <v>162</v>
      </c>
      <c r="C6" t="s">
        <v>171</v>
      </c>
      <c r="D6" t="s">
        <v>168</v>
      </c>
      <c r="E6" t="s">
        <v>145</v>
      </c>
      <c r="F6" t="s">
        <v>150</v>
      </c>
      <c r="G6" t="s">
        <v>153</v>
      </c>
      <c r="H6" t="s">
        <v>156</v>
      </c>
      <c r="I6" t="s">
        <v>159</v>
      </c>
      <c r="J6" t="s">
        <v>138</v>
      </c>
      <c r="K6" t="s">
        <v>141</v>
      </c>
      <c r="L6" t="s">
        <v>133</v>
      </c>
      <c r="M6" t="s">
        <v>50</v>
      </c>
      <c r="N6" t="s">
        <v>59</v>
      </c>
      <c r="O6" t="s">
        <v>56</v>
      </c>
      <c r="P6" t="s">
        <v>47</v>
      </c>
      <c r="Q6" t="s">
        <v>53</v>
      </c>
      <c r="R6" t="s">
        <v>31</v>
      </c>
      <c r="S6" t="s">
        <v>44</v>
      </c>
      <c r="T6" t="s">
        <v>39</v>
      </c>
      <c r="U6" t="s">
        <v>67</v>
      </c>
      <c r="V6" t="s">
        <v>73</v>
      </c>
      <c r="W6" t="s">
        <v>62</v>
      </c>
      <c r="X6" t="s">
        <v>70</v>
      </c>
      <c r="Y6" t="s">
        <v>76</v>
      </c>
      <c r="Z6" t="s">
        <v>79</v>
      </c>
      <c r="AA6" t="s">
        <v>83</v>
      </c>
      <c r="AB6" t="s">
        <v>124</v>
      </c>
      <c r="AC6" t="s">
        <v>121</v>
      </c>
      <c r="AD6" t="s">
        <v>127</v>
      </c>
      <c r="AE6" t="s">
        <v>113</v>
      </c>
      <c r="AF6" t="s">
        <v>118</v>
      </c>
      <c r="AG6" t="s">
        <v>130</v>
      </c>
      <c r="AH6" t="s">
        <v>91</v>
      </c>
      <c r="AI6" t="s">
        <v>94</v>
      </c>
      <c r="AJ6" s="17" t="s">
        <v>86</v>
      </c>
      <c r="AK6" t="s">
        <v>97</v>
      </c>
      <c r="AL6" t="s">
        <v>109</v>
      </c>
      <c r="AM6" t="s">
        <v>106</v>
      </c>
      <c r="AN6" t="s">
        <v>100</v>
      </c>
      <c r="AO6" s="42" t="s">
        <v>3109</v>
      </c>
    </row>
    <row r="7" spans="1:41" x14ac:dyDescent="0.25">
      <c r="A7" s="19" t="s">
        <v>2747</v>
      </c>
      <c r="B7" s="22">
        <v>2.2197779999999998</v>
      </c>
      <c r="C7" s="22">
        <v>3.1301999999999999</v>
      </c>
      <c r="D7" s="22">
        <v>1.1098889999999999</v>
      </c>
      <c r="E7" s="22">
        <v>2.5</v>
      </c>
      <c r="F7" s="22">
        <v>2.5</v>
      </c>
      <c r="G7" s="22">
        <v>2.5</v>
      </c>
      <c r="H7" s="22">
        <v>2.5</v>
      </c>
      <c r="I7" s="22">
        <v>2.4500000000000002</v>
      </c>
      <c r="J7" s="22">
        <v>4.17</v>
      </c>
      <c r="K7" s="22">
        <v>4.17</v>
      </c>
      <c r="L7" s="22">
        <v>4.17</v>
      </c>
      <c r="M7" s="22">
        <v>1.5274118750000001</v>
      </c>
      <c r="N7" s="22">
        <v>1.54849999999999</v>
      </c>
      <c r="O7" s="22">
        <v>1.5452909374999899</v>
      </c>
      <c r="P7" s="22">
        <v>1.3536640624999901</v>
      </c>
      <c r="Q7" s="22">
        <v>1.54299874999999</v>
      </c>
      <c r="R7" s="22">
        <v>1.4281162632978699</v>
      </c>
      <c r="S7" s="22">
        <v>1.54849999999999</v>
      </c>
      <c r="T7" s="22">
        <v>1.54849999999999</v>
      </c>
      <c r="U7" s="22">
        <v>1.7669999999999999</v>
      </c>
      <c r="V7" s="22">
        <v>1.7669999999999999</v>
      </c>
      <c r="W7" s="22">
        <v>1.75444499999999</v>
      </c>
      <c r="X7" s="22">
        <v>1.75444499999999</v>
      </c>
      <c r="Y7" s="22">
        <v>1.7669999999999999</v>
      </c>
      <c r="Z7" s="22">
        <v>1.38511875</v>
      </c>
      <c r="AA7" s="22">
        <v>1.7669999999999999</v>
      </c>
      <c r="AB7" s="22">
        <v>0</v>
      </c>
      <c r="AC7" s="22">
        <v>1.1784946808510599</v>
      </c>
      <c r="AD7" s="22">
        <v>1.183870625</v>
      </c>
      <c r="AE7" s="22">
        <v>1.17860233160621</v>
      </c>
      <c r="AF7" s="22">
        <v>1.085</v>
      </c>
      <c r="AG7" s="22">
        <v>1.1216819948186501</v>
      </c>
      <c r="AH7" s="22">
        <v>0.54161249999999905</v>
      </c>
      <c r="AI7" s="22">
        <v>3.0874999999999999</v>
      </c>
      <c r="AJ7" s="43">
        <v>2.7968281250000002</v>
      </c>
      <c r="AK7" s="22">
        <v>0</v>
      </c>
      <c r="AL7" s="22">
        <v>2.2916524999999899</v>
      </c>
      <c r="AM7" s="22">
        <v>2.36228562499999</v>
      </c>
      <c r="AN7" s="22">
        <v>2.2636428125000001</v>
      </c>
      <c r="AO7" s="75" t="str">
        <f>VLOOKUP(A7,'Overall scores and ranking'!$A$3:$D$71,4,FALSE)</f>
        <v>Good</v>
      </c>
    </row>
    <row r="8" spans="1:41" x14ac:dyDescent="0.25">
      <c r="A8" s="19" t="s">
        <v>2381</v>
      </c>
      <c r="B8" s="22">
        <v>2.2197779999999998</v>
      </c>
      <c r="C8" s="22">
        <v>3.0303</v>
      </c>
      <c r="D8" s="22">
        <v>3.33</v>
      </c>
      <c r="E8" s="22">
        <v>2.5</v>
      </c>
      <c r="F8" s="22">
        <v>2.5</v>
      </c>
      <c r="G8" s="22">
        <v>2.5</v>
      </c>
      <c r="H8" s="22">
        <v>2.5</v>
      </c>
      <c r="I8" s="22">
        <v>2.34375</v>
      </c>
      <c r="J8" s="22">
        <v>4.17</v>
      </c>
      <c r="K8" s="22">
        <v>4.17</v>
      </c>
      <c r="L8" s="22">
        <v>4.17</v>
      </c>
      <c r="M8" s="22">
        <v>1.54849999999999</v>
      </c>
      <c r="N8" s="22">
        <v>1.54849999999999</v>
      </c>
      <c r="O8" s="22">
        <v>1.54849999999999</v>
      </c>
      <c r="P8" s="22">
        <v>1.5477171824973299</v>
      </c>
      <c r="Q8" s="22">
        <v>1.54849999999999</v>
      </c>
      <c r="R8" s="22">
        <v>1.54849999999999</v>
      </c>
      <c r="S8" s="22">
        <v>1.54849999999999</v>
      </c>
      <c r="T8" s="22">
        <v>1.54849999999999</v>
      </c>
      <c r="U8" s="22">
        <v>1.7669999999999999</v>
      </c>
      <c r="V8" s="22">
        <v>1.7669999999999999</v>
      </c>
      <c r="W8" s="22">
        <v>1.7669999999999999</v>
      </c>
      <c r="X8" s="22">
        <v>1.7669999999999999</v>
      </c>
      <c r="Y8" s="22">
        <v>1.34849999999999</v>
      </c>
      <c r="Z8" s="22">
        <v>1.60889007470651</v>
      </c>
      <c r="AA8" s="22">
        <v>1.7669999999999999</v>
      </c>
      <c r="AB8" s="22">
        <v>2.0583735325506902</v>
      </c>
      <c r="AC8" s="22">
        <v>1.5014485294117601</v>
      </c>
      <c r="AD8" s="22">
        <v>2.0615000000000001</v>
      </c>
      <c r="AE8" s="22">
        <v>2.0615000000000001</v>
      </c>
      <c r="AF8" s="22">
        <v>1.085</v>
      </c>
      <c r="AG8" s="22">
        <v>1.085</v>
      </c>
      <c r="AH8" s="22">
        <v>0</v>
      </c>
      <c r="AI8" s="22">
        <v>3.0874999999999999</v>
      </c>
      <c r="AJ8" s="43">
        <v>2.9002001067235801</v>
      </c>
      <c r="AK8" s="22">
        <v>0</v>
      </c>
      <c r="AL8" s="22">
        <v>3.1392499999999899</v>
      </c>
      <c r="AM8" s="22">
        <v>4.1135000000000002</v>
      </c>
      <c r="AN8" s="22">
        <v>3.1361307363927402</v>
      </c>
      <c r="AO8" s="75" t="str">
        <f>VLOOKUP(A8,'Overall scores and ranking'!$A$3:$D$71,4,FALSE)</f>
        <v>Very good</v>
      </c>
    </row>
    <row r="9" spans="1:41" x14ac:dyDescent="0.25">
      <c r="A9" s="19" t="s">
        <v>2299</v>
      </c>
      <c r="B9" s="22">
        <v>2.2197779999999998</v>
      </c>
      <c r="C9" s="22">
        <v>1.2654000000000001</v>
      </c>
      <c r="D9" s="22">
        <v>0</v>
      </c>
      <c r="E9" s="22">
        <v>2.5</v>
      </c>
      <c r="F9" s="22">
        <v>2.5</v>
      </c>
      <c r="G9" s="22">
        <v>2.5</v>
      </c>
      <c r="H9" s="22">
        <v>2.5</v>
      </c>
      <c r="I9" s="22">
        <v>1.25</v>
      </c>
      <c r="J9" s="22">
        <v>2.78</v>
      </c>
      <c r="K9" s="22">
        <v>0.463287</v>
      </c>
      <c r="L9" s="22">
        <v>2.085</v>
      </c>
      <c r="M9" s="22">
        <v>0</v>
      </c>
      <c r="N9" s="22">
        <v>1.54849999999999</v>
      </c>
      <c r="O9" s="22">
        <v>1.54586241438356</v>
      </c>
      <c r="P9" s="22">
        <v>1.5476208047945199</v>
      </c>
      <c r="Q9" s="22">
        <v>1.54849999999999</v>
      </c>
      <c r="R9" s="22">
        <v>1.4515288135593201</v>
      </c>
      <c r="S9" s="22">
        <v>1.54849999999999</v>
      </c>
      <c r="T9" s="22">
        <v>1.54849999999999</v>
      </c>
      <c r="U9" s="22">
        <v>0</v>
      </c>
      <c r="V9" s="22">
        <v>1.7669999999999999</v>
      </c>
      <c r="W9" s="22">
        <v>1.7669999999999999</v>
      </c>
      <c r="X9" s="22">
        <v>1.7669999999999999</v>
      </c>
      <c r="Y9" s="22">
        <v>1.7662833904109501</v>
      </c>
      <c r="Z9" s="22">
        <v>0</v>
      </c>
      <c r="AA9" s="22">
        <v>0.61993799999999899</v>
      </c>
      <c r="AB9" s="22">
        <v>1.085</v>
      </c>
      <c r="AC9" s="22">
        <v>1.085</v>
      </c>
      <c r="AD9" s="22">
        <v>0</v>
      </c>
      <c r="AE9" s="22">
        <v>0</v>
      </c>
      <c r="AF9" s="22">
        <v>1.085</v>
      </c>
      <c r="AG9" s="22">
        <v>1.085</v>
      </c>
      <c r="AH9" s="22">
        <v>0</v>
      </c>
      <c r="AI9" s="22">
        <v>0</v>
      </c>
      <c r="AJ9" s="43">
        <v>3.0824914383561599</v>
      </c>
      <c r="AK9" s="22">
        <v>0</v>
      </c>
      <c r="AL9" s="22">
        <v>0</v>
      </c>
      <c r="AM9" s="22">
        <v>0</v>
      </c>
      <c r="AN9" s="22">
        <v>0</v>
      </c>
      <c r="AO9" s="75" t="str">
        <f>VLOOKUP(A9,'Overall scores and ranking'!$A$3:$D$71,4,FALSE)</f>
        <v>Fair</v>
      </c>
    </row>
    <row r="10" spans="1:41" x14ac:dyDescent="0.25">
      <c r="A10" s="19" t="s">
        <v>28</v>
      </c>
      <c r="B10" s="22">
        <v>1.1098889999999999</v>
      </c>
      <c r="C10" s="22">
        <v>0</v>
      </c>
      <c r="D10" s="22">
        <v>1.1098889999999999</v>
      </c>
      <c r="E10" s="22">
        <v>1.25</v>
      </c>
      <c r="F10" s="22">
        <v>1.25</v>
      </c>
      <c r="G10" s="22">
        <v>1.25</v>
      </c>
      <c r="H10" s="22">
        <v>1.25</v>
      </c>
      <c r="I10" s="22">
        <v>1.25</v>
      </c>
      <c r="J10" s="22">
        <v>0.463287</v>
      </c>
      <c r="K10" s="22">
        <v>2.085</v>
      </c>
      <c r="L10" s="22">
        <v>2.085</v>
      </c>
      <c r="M10" s="22">
        <v>0.54327899999999996</v>
      </c>
      <c r="N10" s="22">
        <v>0.54327899999999996</v>
      </c>
      <c r="O10" s="22">
        <v>0.54327899999999996</v>
      </c>
      <c r="P10" s="22">
        <v>0.54327899999999996</v>
      </c>
      <c r="Q10" s="22">
        <v>0</v>
      </c>
      <c r="R10" s="22">
        <v>0</v>
      </c>
      <c r="S10" s="22">
        <v>0</v>
      </c>
      <c r="T10" s="22">
        <v>0.54327899999999996</v>
      </c>
      <c r="U10" s="22">
        <v>0</v>
      </c>
      <c r="V10" s="22">
        <v>0</v>
      </c>
      <c r="W10" s="22">
        <v>0</v>
      </c>
      <c r="X10" s="22">
        <v>0</v>
      </c>
      <c r="Y10" s="22">
        <v>0</v>
      </c>
      <c r="Z10" s="22">
        <v>0</v>
      </c>
      <c r="AA10" s="22">
        <v>0</v>
      </c>
      <c r="AB10" s="22">
        <v>0</v>
      </c>
      <c r="AC10" s="22">
        <v>1.085</v>
      </c>
      <c r="AD10" s="22">
        <v>0</v>
      </c>
      <c r="AE10" s="22">
        <v>0</v>
      </c>
      <c r="AF10" s="22">
        <v>0</v>
      </c>
      <c r="AG10" s="22">
        <v>1.085</v>
      </c>
      <c r="AH10" s="22">
        <v>0</v>
      </c>
      <c r="AI10" s="22">
        <v>1.0832249999999899</v>
      </c>
      <c r="AJ10" s="43">
        <v>0</v>
      </c>
      <c r="AK10" s="22">
        <v>0</v>
      </c>
      <c r="AL10" s="22">
        <v>0</v>
      </c>
      <c r="AM10" s="22">
        <v>0</v>
      </c>
      <c r="AN10" s="22">
        <v>0</v>
      </c>
      <c r="AO10" s="75" t="str">
        <f>VLOOKUP(A10,'Overall scores and ranking'!$A$3:$D$71,4,FALSE)</f>
        <v>Very Poor</v>
      </c>
    </row>
    <row r="11" spans="1:41" x14ac:dyDescent="0.25">
      <c r="A11" s="19" t="s">
        <v>1931</v>
      </c>
      <c r="B11" s="22">
        <v>1.1098889999999999</v>
      </c>
      <c r="C11" s="22">
        <v>3.0636000000000001</v>
      </c>
      <c r="D11" s="22">
        <v>0</v>
      </c>
      <c r="E11" s="22">
        <v>1.25</v>
      </c>
      <c r="F11" s="22">
        <v>1.25</v>
      </c>
      <c r="G11" s="22">
        <v>1.25</v>
      </c>
      <c r="H11" s="22">
        <v>1.25</v>
      </c>
      <c r="I11" s="22">
        <v>0</v>
      </c>
      <c r="J11" s="22">
        <v>0</v>
      </c>
      <c r="K11" s="22">
        <v>2.085</v>
      </c>
      <c r="L11" s="22">
        <v>2.085</v>
      </c>
      <c r="M11" s="22">
        <v>0</v>
      </c>
      <c r="N11" s="22">
        <v>0</v>
      </c>
      <c r="O11" s="22">
        <v>0.54327899999999996</v>
      </c>
      <c r="P11" s="22">
        <v>0.54327899999999996</v>
      </c>
      <c r="Q11" s="22">
        <v>0</v>
      </c>
      <c r="R11" s="22">
        <v>0</v>
      </c>
      <c r="S11" s="22">
        <v>0</v>
      </c>
      <c r="T11" s="22">
        <v>0.54327899999999996</v>
      </c>
      <c r="U11" s="22">
        <v>0</v>
      </c>
      <c r="V11" s="22">
        <v>0</v>
      </c>
      <c r="W11" s="22">
        <v>0</v>
      </c>
      <c r="X11" s="22">
        <v>0</v>
      </c>
      <c r="Y11" s="22">
        <v>0.61993799999999899</v>
      </c>
      <c r="Z11" s="22">
        <v>0</v>
      </c>
      <c r="AA11" s="22">
        <v>0</v>
      </c>
      <c r="AB11" s="22">
        <v>0</v>
      </c>
      <c r="AC11" s="22">
        <v>0</v>
      </c>
      <c r="AD11" s="22">
        <v>1.085</v>
      </c>
      <c r="AE11" s="22">
        <v>0</v>
      </c>
      <c r="AF11" s="22">
        <v>0</v>
      </c>
      <c r="AG11" s="22">
        <v>1.085</v>
      </c>
      <c r="AH11" s="22">
        <v>0</v>
      </c>
      <c r="AI11" s="22">
        <v>1.0832249999999899</v>
      </c>
      <c r="AJ11" s="43">
        <v>0</v>
      </c>
      <c r="AK11" s="22">
        <v>0</v>
      </c>
      <c r="AL11" s="22">
        <v>0</v>
      </c>
      <c r="AM11" s="22">
        <v>0</v>
      </c>
      <c r="AN11" s="22">
        <v>0</v>
      </c>
      <c r="AO11" s="75" t="str">
        <f>VLOOKUP(A11,'Overall scores and ranking'!$A$3:$D$71,4,FALSE)</f>
        <v>Very Poor</v>
      </c>
    </row>
    <row r="12" spans="1:41" x14ac:dyDescent="0.25">
      <c r="A12" s="19" t="s">
        <v>1156</v>
      </c>
      <c r="B12" s="22">
        <v>3.33</v>
      </c>
      <c r="C12" s="22">
        <v>0</v>
      </c>
      <c r="D12" s="22">
        <v>1.1098889999999999</v>
      </c>
      <c r="E12" s="22">
        <v>0</v>
      </c>
      <c r="F12" s="22">
        <v>0</v>
      </c>
      <c r="G12" s="22">
        <v>0</v>
      </c>
      <c r="H12" s="22">
        <v>1.25</v>
      </c>
      <c r="I12" s="22">
        <v>0</v>
      </c>
      <c r="J12" s="22">
        <v>0</v>
      </c>
      <c r="K12" s="22">
        <v>0</v>
      </c>
      <c r="L12" s="22">
        <v>0</v>
      </c>
      <c r="M12" s="22">
        <v>0.54327899999999996</v>
      </c>
      <c r="N12" s="22">
        <v>0.54327899999999996</v>
      </c>
      <c r="O12" s="22">
        <v>0.54327899999999996</v>
      </c>
      <c r="P12" s="22">
        <v>0</v>
      </c>
      <c r="Q12" s="22">
        <v>0.54327899999999996</v>
      </c>
      <c r="R12" s="22">
        <v>0</v>
      </c>
      <c r="S12" s="22">
        <v>0.54327899999999996</v>
      </c>
      <c r="T12" s="22">
        <v>0</v>
      </c>
      <c r="U12" s="22">
        <v>0.61993799999999899</v>
      </c>
      <c r="V12" s="22">
        <v>0</v>
      </c>
      <c r="W12" s="22">
        <v>0</v>
      </c>
      <c r="X12" s="22">
        <v>0</v>
      </c>
      <c r="Y12" s="22">
        <v>0.61993799999999899</v>
      </c>
      <c r="Z12" s="22">
        <v>0</v>
      </c>
      <c r="AA12" s="22">
        <v>0</v>
      </c>
      <c r="AB12" s="22">
        <v>0</v>
      </c>
      <c r="AC12" s="22">
        <v>0</v>
      </c>
      <c r="AD12" s="22">
        <v>0</v>
      </c>
      <c r="AE12" s="22">
        <v>0</v>
      </c>
      <c r="AF12" s="22">
        <v>0</v>
      </c>
      <c r="AG12" s="22">
        <v>0</v>
      </c>
      <c r="AH12" s="22">
        <v>0</v>
      </c>
      <c r="AI12" s="22">
        <v>0</v>
      </c>
      <c r="AJ12" s="43">
        <v>0</v>
      </c>
      <c r="AK12" s="22">
        <v>0</v>
      </c>
      <c r="AL12" s="22">
        <v>0</v>
      </c>
      <c r="AM12" s="22">
        <v>0</v>
      </c>
      <c r="AN12" s="22">
        <v>0</v>
      </c>
      <c r="AO12" s="75" t="str">
        <f>VLOOKUP(A12,'Overall scores and ranking'!$A$3:$D$71,4,FALSE)</f>
        <v>Very Poor</v>
      </c>
    </row>
    <row r="13" spans="1:41" x14ac:dyDescent="0.25">
      <c r="A13" s="19" t="s">
        <v>1849</v>
      </c>
      <c r="B13" s="22">
        <v>3.33</v>
      </c>
      <c r="C13" s="22">
        <v>0</v>
      </c>
      <c r="D13" s="22">
        <v>0</v>
      </c>
      <c r="E13" s="22">
        <v>1.25</v>
      </c>
      <c r="F13" s="22">
        <v>0</v>
      </c>
      <c r="G13" s="22">
        <v>1.25</v>
      </c>
      <c r="H13" s="22">
        <v>1.25</v>
      </c>
      <c r="I13" s="22">
        <v>0</v>
      </c>
      <c r="J13" s="22">
        <v>0</v>
      </c>
      <c r="K13" s="22">
        <v>0</v>
      </c>
      <c r="L13" s="22">
        <v>0</v>
      </c>
      <c r="M13" s="22">
        <v>0</v>
      </c>
      <c r="N13" s="22">
        <v>0</v>
      </c>
      <c r="O13" s="22">
        <v>0</v>
      </c>
      <c r="P13" s="22">
        <v>0</v>
      </c>
      <c r="Q13" s="22">
        <v>0</v>
      </c>
      <c r="R13" s="22">
        <v>0</v>
      </c>
      <c r="S13" s="22">
        <v>0</v>
      </c>
      <c r="T13" s="22">
        <v>0</v>
      </c>
      <c r="U13" s="22">
        <v>0</v>
      </c>
      <c r="V13" s="22">
        <v>0</v>
      </c>
      <c r="W13" s="22">
        <v>0</v>
      </c>
      <c r="X13" s="22">
        <v>0</v>
      </c>
      <c r="Y13" s="22">
        <v>0</v>
      </c>
      <c r="Z13" s="22">
        <v>0</v>
      </c>
      <c r="AA13" s="22">
        <v>0</v>
      </c>
      <c r="AB13" s="22">
        <v>0</v>
      </c>
      <c r="AC13" s="22">
        <v>0</v>
      </c>
      <c r="AD13" s="22">
        <v>0</v>
      </c>
      <c r="AE13" s="22">
        <v>0</v>
      </c>
      <c r="AF13" s="22">
        <v>0</v>
      </c>
      <c r="AG13" s="22">
        <v>1.085</v>
      </c>
      <c r="AH13" s="22">
        <v>0</v>
      </c>
      <c r="AI13" s="22">
        <v>0</v>
      </c>
      <c r="AJ13" s="43">
        <v>0</v>
      </c>
      <c r="AK13" s="22">
        <v>0</v>
      </c>
      <c r="AL13" s="22">
        <v>0</v>
      </c>
      <c r="AM13" s="22">
        <v>0</v>
      </c>
      <c r="AN13" s="22">
        <v>0</v>
      </c>
      <c r="AO13" s="75" t="str">
        <f>VLOOKUP(A13,'Overall scores and ranking'!$A$3:$D$71,4,FALSE)</f>
        <v>Very Poor</v>
      </c>
    </row>
    <row r="14" spans="1:41" x14ac:dyDescent="0.25">
      <c r="A14" s="19" t="s">
        <v>910</v>
      </c>
      <c r="B14" s="22">
        <v>2.2197779999999998</v>
      </c>
      <c r="C14" s="22">
        <v>3.1301999999999999</v>
      </c>
      <c r="D14" s="22">
        <v>3.33</v>
      </c>
      <c r="E14" s="22">
        <v>2.5</v>
      </c>
      <c r="F14" s="22">
        <v>2.5</v>
      </c>
      <c r="G14" s="22">
        <v>2.5</v>
      </c>
      <c r="H14" s="22">
        <v>2.5</v>
      </c>
      <c r="I14" s="22">
        <v>1.7567567567567499</v>
      </c>
      <c r="J14" s="22">
        <v>4.17</v>
      </c>
      <c r="K14" s="22">
        <v>4.17</v>
      </c>
      <c r="L14" s="22">
        <v>4.17</v>
      </c>
      <c r="M14" s="22">
        <v>1.54849999999999</v>
      </c>
      <c r="N14" s="22">
        <v>1.54849999999999</v>
      </c>
      <c r="O14" s="22">
        <v>1.54849999999999</v>
      </c>
      <c r="P14" s="22">
        <v>1.54849999999999</v>
      </c>
      <c r="Q14" s="22">
        <v>1.11181612478031</v>
      </c>
      <c r="R14" s="22">
        <v>1.54849999999999</v>
      </c>
      <c r="S14" s="22">
        <v>1.54849999999999</v>
      </c>
      <c r="T14" s="22">
        <v>1.54849999999999</v>
      </c>
      <c r="U14" s="22">
        <v>1.7669999999999999</v>
      </c>
      <c r="V14" s="22">
        <v>1.7669999999999999</v>
      </c>
      <c r="W14" s="22">
        <v>1.7669999999999999</v>
      </c>
      <c r="X14" s="22">
        <v>1.7669999999999999</v>
      </c>
      <c r="Y14" s="22">
        <v>1.7669999999999999</v>
      </c>
      <c r="Z14" s="22">
        <v>0.61993799999999899</v>
      </c>
      <c r="AA14" s="22">
        <v>0.61993799999999899</v>
      </c>
      <c r="AB14" s="22">
        <v>0</v>
      </c>
      <c r="AC14" s="22">
        <v>1.085</v>
      </c>
      <c r="AD14" s="22">
        <v>2.0615000000000001</v>
      </c>
      <c r="AE14" s="22">
        <v>0</v>
      </c>
      <c r="AF14" s="22">
        <v>1.085</v>
      </c>
      <c r="AG14" s="22">
        <v>1.085</v>
      </c>
      <c r="AH14" s="22">
        <v>2.2102583922261401</v>
      </c>
      <c r="AI14" s="22">
        <v>3.0874999999999999</v>
      </c>
      <c r="AJ14" s="43">
        <v>0</v>
      </c>
      <c r="AK14" s="22">
        <v>0</v>
      </c>
      <c r="AL14" s="22">
        <v>2.9449136643233702</v>
      </c>
      <c r="AM14" s="22">
        <v>0</v>
      </c>
      <c r="AN14" s="22">
        <v>3.1392499999999899</v>
      </c>
      <c r="AO14" s="75" t="str">
        <f>VLOOKUP(A14,'Overall scores and ranking'!$A$3:$D$71,4,FALSE)</f>
        <v>Good</v>
      </c>
    </row>
    <row r="15" spans="1:41" x14ac:dyDescent="0.25">
      <c r="A15" s="19" t="s">
        <v>2869</v>
      </c>
      <c r="B15" s="22">
        <v>2.2197779999999998</v>
      </c>
      <c r="C15" s="22">
        <v>0</v>
      </c>
      <c r="D15" s="22">
        <v>0</v>
      </c>
      <c r="E15" s="22">
        <v>0</v>
      </c>
      <c r="F15" s="22">
        <v>0</v>
      </c>
      <c r="G15" s="22">
        <v>0</v>
      </c>
      <c r="H15" s="22">
        <v>0</v>
      </c>
      <c r="I15" s="22">
        <v>0</v>
      </c>
      <c r="J15" s="22">
        <v>0</v>
      </c>
      <c r="K15" s="22">
        <v>0</v>
      </c>
      <c r="L15" s="22">
        <v>0</v>
      </c>
      <c r="M15" s="22">
        <v>0</v>
      </c>
      <c r="N15" s="22">
        <v>0</v>
      </c>
      <c r="O15" s="22">
        <v>0</v>
      </c>
      <c r="P15" s="22">
        <v>0</v>
      </c>
      <c r="Q15" s="22">
        <v>0</v>
      </c>
      <c r="R15" s="22">
        <v>0</v>
      </c>
      <c r="S15" s="22">
        <v>0</v>
      </c>
      <c r="T15" s="22">
        <v>0</v>
      </c>
      <c r="U15" s="22">
        <v>0</v>
      </c>
      <c r="V15" s="22">
        <v>0</v>
      </c>
      <c r="W15" s="22">
        <v>0</v>
      </c>
      <c r="X15" s="22">
        <v>0</v>
      </c>
      <c r="Y15" s="22">
        <v>0</v>
      </c>
      <c r="Z15" s="22">
        <v>0</v>
      </c>
      <c r="AA15" s="22">
        <v>0</v>
      </c>
      <c r="AB15" s="22">
        <v>0</v>
      </c>
      <c r="AC15" s="22">
        <v>0</v>
      </c>
      <c r="AD15" s="22">
        <v>0</v>
      </c>
      <c r="AE15" s="22">
        <v>0</v>
      </c>
      <c r="AF15" s="22">
        <v>0</v>
      </c>
      <c r="AG15" s="22">
        <v>0</v>
      </c>
      <c r="AH15" s="22">
        <v>0</v>
      </c>
      <c r="AI15" s="22">
        <v>0</v>
      </c>
      <c r="AJ15" s="43">
        <v>0</v>
      </c>
      <c r="AK15" s="22">
        <v>0</v>
      </c>
      <c r="AL15" s="22">
        <v>0</v>
      </c>
      <c r="AM15" s="22">
        <v>0</v>
      </c>
      <c r="AN15" s="22">
        <v>0</v>
      </c>
      <c r="AO15" s="75" t="str">
        <f>VLOOKUP(A15,'Overall scores and ranking'!$A$3:$D$71,4,FALSE)</f>
        <v>Very Poor</v>
      </c>
    </row>
    <row r="16" spans="1:41" x14ac:dyDescent="0.25">
      <c r="A16" s="19" t="s">
        <v>173</v>
      </c>
      <c r="B16" s="22">
        <v>3.33</v>
      </c>
      <c r="C16" s="22">
        <v>0</v>
      </c>
      <c r="D16" s="22">
        <v>0</v>
      </c>
      <c r="E16" s="22">
        <v>1.25</v>
      </c>
      <c r="F16" s="22">
        <v>1.25</v>
      </c>
      <c r="G16" s="22">
        <v>1.25</v>
      </c>
      <c r="H16" s="22">
        <v>1.25</v>
      </c>
      <c r="I16" s="22">
        <v>0</v>
      </c>
      <c r="J16" s="22">
        <v>0.69493050000000001</v>
      </c>
      <c r="K16" s="22">
        <v>0</v>
      </c>
      <c r="L16" s="22">
        <v>0</v>
      </c>
      <c r="M16" s="22">
        <v>0</v>
      </c>
      <c r="N16" s="22">
        <v>0</v>
      </c>
      <c r="O16" s="22">
        <v>0</v>
      </c>
      <c r="P16" s="22">
        <v>0</v>
      </c>
      <c r="Q16" s="22">
        <v>0</v>
      </c>
      <c r="R16" s="22">
        <v>0</v>
      </c>
      <c r="S16" s="22">
        <v>0</v>
      </c>
      <c r="T16" s="22">
        <v>0</v>
      </c>
      <c r="U16" s="22">
        <v>0</v>
      </c>
      <c r="V16" s="22">
        <v>0.61993799999999899</v>
      </c>
      <c r="W16" s="22">
        <v>0</v>
      </c>
      <c r="X16" s="22">
        <v>0</v>
      </c>
      <c r="Y16" s="22">
        <v>0</v>
      </c>
      <c r="Z16" s="22">
        <v>0</v>
      </c>
      <c r="AA16" s="22">
        <v>0</v>
      </c>
      <c r="AB16" s="22">
        <v>0</v>
      </c>
      <c r="AC16" s="22">
        <v>0</v>
      </c>
      <c r="AD16" s="22">
        <v>0</v>
      </c>
      <c r="AE16" s="22">
        <v>0</v>
      </c>
      <c r="AF16" s="22">
        <v>1.085</v>
      </c>
      <c r="AG16" s="22">
        <v>1.085</v>
      </c>
      <c r="AH16" s="22">
        <v>0</v>
      </c>
      <c r="AI16" s="22">
        <v>0</v>
      </c>
      <c r="AJ16" s="43">
        <v>0</v>
      </c>
      <c r="AK16" s="22">
        <v>0</v>
      </c>
      <c r="AL16" s="22">
        <v>0</v>
      </c>
      <c r="AM16" s="22">
        <v>0</v>
      </c>
      <c r="AN16" s="22">
        <v>0</v>
      </c>
      <c r="AO16" s="75" t="str">
        <f>VLOOKUP(A16,'Overall scores and ranking'!$A$3:$D$71,4,FALSE)</f>
        <v>Very Poor</v>
      </c>
    </row>
    <row r="17" spans="1:41" x14ac:dyDescent="0.25">
      <c r="A17" s="19" t="s">
        <v>1972</v>
      </c>
      <c r="B17" s="22">
        <v>0</v>
      </c>
      <c r="C17" s="22">
        <v>0</v>
      </c>
      <c r="D17" s="22">
        <v>0</v>
      </c>
      <c r="E17" s="22">
        <v>1.25</v>
      </c>
      <c r="F17" s="22">
        <v>0</v>
      </c>
      <c r="G17" s="22">
        <v>1.25</v>
      </c>
      <c r="H17" s="22">
        <v>0</v>
      </c>
      <c r="I17" s="22">
        <v>0</v>
      </c>
      <c r="J17" s="22">
        <v>0</v>
      </c>
      <c r="K17" s="22">
        <v>0</v>
      </c>
      <c r="L17" s="22">
        <v>0</v>
      </c>
      <c r="M17" s="22">
        <v>0</v>
      </c>
      <c r="N17" s="22">
        <v>0</v>
      </c>
      <c r="O17" s="22">
        <v>0.54327899999999996</v>
      </c>
      <c r="P17" s="22">
        <v>0.54327899999999996</v>
      </c>
      <c r="Q17" s="22">
        <v>0</v>
      </c>
      <c r="R17" s="22">
        <v>0</v>
      </c>
      <c r="S17" s="22">
        <v>0</v>
      </c>
      <c r="T17" s="22">
        <v>0</v>
      </c>
      <c r="U17" s="22">
        <v>0.61993799999999899</v>
      </c>
      <c r="V17" s="22">
        <v>0.61993799999999899</v>
      </c>
      <c r="W17" s="22">
        <v>0</v>
      </c>
      <c r="X17" s="22">
        <v>0</v>
      </c>
      <c r="Y17" s="22">
        <v>0</v>
      </c>
      <c r="Z17" s="22">
        <v>0</v>
      </c>
      <c r="AA17" s="22">
        <v>0</v>
      </c>
      <c r="AB17" s="22">
        <v>0</v>
      </c>
      <c r="AC17" s="22">
        <v>0</v>
      </c>
      <c r="AD17" s="22">
        <v>0</v>
      </c>
      <c r="AE17" s="22">
        <v>0</v>
      </c>
      <c r="AF17" s="22">
        <v>0</v>
      </c>
      <c r="AG17" s="22">
        <v>0</v>
      </c>
      <c r="AH17" s="22">
        <v>0</v>
      </c>
      <c r="AI17" s="22">
        <v>1.0832249999999899</v>
      </c>
      <c r="AJ17" s="43">
        <v>0</v>
      </c>
      <c r="AK17" s="22">
        <v>0</v>
      </c>
      <c r="AL17" s="22">
        <v>0</v>
      </c>
      <c r="AM17" s="22">
        <v>0</v>
      </c>
      <c r="AN17" s="22">
        <v>0</v>
      </c>
      <c r="AO17" s="75" t="str">
        <f>VLOOKUP(A17,'Overall scores and ranking'!$A$3:$D$71,4,FALSE)</f>
        <v>Very Poor</v>
      </c>
    </row>
    <row r="18" spans="1:41" x14ac:dyDescent="0.25">
      <c r="A18" s="19" t="s">
        <v>214</v>
      </c>
      <c r="B18" s="22">
        <v>2.2197779999999998</v>
      </c>
      <c r="C18" s="22">
        <v>1.31535</v>
      </c>
      <c r="D18" s="22">
        <v>0</v>
      </c>
      <c r="E18" s="22">
        <v>1.25</v>
      </c>
      <c r="F18" s="22">
        <v>1.25</v>
      </c>
      <c r="G18" s="22">
        <v>1.25</v>
      </c>
      <c r="H18" s="22">
        <v>1.25</v>
      </c>
      <c r="I18" s="22">
        <v>1.25</v>
      </c>
      <c r="J18" s="22">
        <v>2.085</v>
      </c>
      <c r="K18" s="22">
        <v>2.085</v>
      </c>
      <c r="L18" s="22">
        <v>2.085</v>
      </c>
      <c r="M18" s="22">
        <v>0.81499999999999995</v>
      </c>
      <c r="N18" s="22">
        <v>0.54327899999999996</v>
      </c>
      <c r="O18" s="22">
        <v>0.81499999999999995</v>
      </c>
      <c r="P18" s="22">
        <v>0.81499999999999995</v>
      </c>
      <c r="Q18" s="22">
        <v>0</v>
      </c>
      <c r="R18" s="22">
        <v>0</v>
      </c>
      <c r="S18" s="22">
        <v>0.54327899999999996</v>
      </c>
      <c r="T18" s="22">
        <v>0.54327899999999996</v>
      </c>
      <c r="U18" s="22">
        <v>0.92999999999999905</v>
      </c>
      <c r="V18" s="22">
        <v>0.309968999999999</v>
      </c>
      <c r="W18" s="22">
        <v>0.61993799999999899</v>
      </c>
      <c r="X18" s="22">
        <v>0</v>
      </c>
      <c r="Y18" s="22">
        <v>0.92999999999999905</v>
      </c>
      <c r="Z18" s="22">
        <v>0.61993799999999899</v>
      </c>
      <c r="AA18" s="22">
        <v>0</v>
      </c>
      <c r="AB18" s="22">
        <v>0</v>
      </c>
      <c r="AC18" s="22">
        <v>1.085</v>
      </c>
      <c r="AD18" s="22">
        <v>1.085</v>
      </c>
      <c r="AE18" s="22">
        <v>0</v>
      </c>
      <c r="AF18" s="22">
        <v>1.085</v>
      </c>
      <c r="AG18" s="22">
        <v>1.085</v>
      </c>
      <c r="AH18" s="22">
        <v>0</v>
      </c>
      <c r="AI18" s="22">
        <v>1.625</v>
      </c>
      <c r="AJ18" s="43">
        <v>0</v>
      </c>
      <c r="AK18" s="22">
        <v>0</v>
      </c>
      <c r="AL18" s="22">
        <v>0</v>
      </c>
      <c r="AM18" s="22">
        <v>0</v>
      </c>
      <c r="AN18" s="22">
        <v>0</v>
      </c>
      <c r="AO18" s="75" t="str">
        <f>VLOOKUP(A18,'Overall scores and ranking'!$A$3:$D$71,4,FALSE)</f>
        <v>Poor</v>
      </c>
    </row>
    <row r="19" spans="1:41" x14ac:dyDescent="0.25">
      <c r="A19" s="19" t="s">
        <v>2787</v>
      </c>
      <c r="B19" s="22">
        <v>2.2197779999999998</v>
      </c>
      <c r="C19" s="22">
        <v>2.2644000000000002</v>
      </c>
      <c r="D19" s="22">
        <v>2.2197779999999998</v>
      </c>
      <c r="E19" s="22">
        <v>1.25</v>
      </c>
      <c r="F19" s="22">
        <v>1.25</v>
      </c>
      <c r="G19" s="22">
        <v>1.25</v>
      </c>
      <c r="H19" s="22">
        <v>1.25</v>
      </c>
      <c r="I19" s="22">
        <v>0</v>
      </c>
      <c r="J19" s="22">
        <v>0.69493050000000001</v>
      </c>
      <c r="K19" s="22">
        <v>2.085</v>
      </c>
      <c r="L19" s="22">
        <v>2.085</v>
      </c>
      <c r="M19" s="22">
        <v>1.30379204762917</v>
      </c>
      <c r="N19" s="22">
        <v>1.54849999999999</v>
      </c>
      <c r="O19" s="22">
        <v>1.5276787688709299</v>
      </c>
      <c r="P19" s="22">
        <v>0.89422985328513704</v>
      </c>
      <c r="Q19" s="22">
        <v>1.0597079523708199</v>
      </c>
      <c r="R19" s="22">
        <v>1.30379204762917</v>
      </c>
      <c r="S19" s="22">
        <v>1.1666214650223199</v>
      </c>
      <c r="T19" s="22">
        <v>1.30379204762917</v>
      </c>
      <c r="U19" s="22">
        <v>1.7669999999999999</v>
      </c>
      <c r="V19" s="22">
        <v>1.7669999999999999</v>
      </c>
      <c r="W19" s="22">
        <v>1.7669999999999999</v>
      </c>
      <c r="X19" s="22">
        <v>1.7669999999999999</v>
      </c>
      <c r="Y19" s="22">
        <v>1.7246427812034799</v>
      </c>
      <c r="Z19" s="22">
        <v>0</v>
      </c>
      <c r="AA19" s="22">
        <v>1.4984409951094999</v>
      </c>
      <c r="AB19" s="22">
        <v>1.085</v>
      </c>
      <c r="AC19" s="22">
        <v>1.085</v>
      </c>
      <c r="AD19" s="22">
        <v>1.11303051243886</v>
      </c>
      <c r="AE19" s="22">
        <v>0</v>
      </c>
      <c r="AF19" s="22">
        <v>1.085</v>
      </c>
      <c r="AG19" s="22">
        <v>1.085</v>
      </c>
      <c r="AH19" s="22">
        <v>0</v>
      </c>
      <c r="AI19" s="22">
        <v>2.4761295981288498</v>
      </c>
      <c r="AJ19" s="43">
        <v>2.54920795237082</v>
      </c>
      <c r="AK19" s="22">
        <v>0</v>
      </c>
      <c r="AL19" s="22">
        <v>2.1925516159897902</v>
      </c>
      <c r="AM19" s="22">
        <v>0</v>
      </c>
      <c r="AN19" s="22">
        <v>0</v>
      </c>
      <c r="AO19" s="75" t="str">
        <f>VLOOKUP(A19,'Overall scores and ranking'!$A$3:$D$71,4,FALSE)</f>
        <v>Fair</v>
      </c>
    </row>
    <row r="20" spans="1:41" x14ac:dyDescent="0.25">
      <c r="A20" s="19" t="s">
        <v>255</v>
      </c>
      <c r="B20" s="22">
        <v>1.1098889999999999</v>
      </c>
      <c r="C20" s="22">
        <v>0</v>
      </c>
      <c r="D20" s="22">
        <v>1.1098889999999999</v>
      </c>
      <c r="E20" s="22">
        <v>1.25</v>
      </c>
      <c r="F20" s="22">
        <v>1.25</v>
      </c>
      <c r="G20" s="22">
        <v>1.25</v>
      </c>
      <c r="H20" s="22">
        <v>1.25</v>
      </c>
      <c r="I20" s="22">
        <v>1.25</v>
      </c>
      <c r="J20" s="22">
        <v>0.463287</v>
      </c>
      <c r="K20" s="22">
        <v>0</v>
      </c>
      <c r="L20" s="22">
        <v>2.085</v>
      </c>
      <c r="M20" s="22">
        <v>0.54327899999999996</v>
      </c>
      <c r="N20" s="22">
        <v>0.54327899999999996</v>
      </c>
      <c r="O20" s="22">
        <v>0.54327899999999996</v>
      </c>
      <c r="P20" s="22">
        <v>0.54327899999999996</v>
      </c>
      <c r="Q20" s="22">
        <v>0</v>
      </c>
      <c r="R20" s="22">
        <v>0</v>
      </c>
      <c r="S20" s="22">
        <v>0.54327899999999996</v>
      </c>
      <c r="T20" s="22">
        <v>0.54327899999999996</v>
      </c>
      <c r="U20" s="22">
        <v>0.92999999999999905</v>
      </c>
      <c r="V20" s="22">
        <v>0</v>
      </c>
      <c r="W20" s="22">
        <v>0.61993799999999899</v>
      </c>
      <c r="X20" s="22">
        <v>0.92999999999999905</v>
      </c>
      <c r="Y20" s="22">
        <v>0.92999999999999905</v>
      </c>
      <c r="Z20" s="22">
        <v>0</v>
      </c>
      <c r="AA20" s="22">
        <v>0.309968999999999</v>
      </c>
      <c r="AB20" s="22">
        <v>0</v>
      </c>
      <c r="AC20" s="22">
        <v>0</v>
      </c>
      <c r="AD20" s="22">
        <v>1.085</v>
      </c>
      <c r="AE20" s="22">
        <v>0</v>
      </c>
      <c r="AF20" s="22">
        <v>1.085</v>
      </c>
      <c r="AG20" s="22">
        <v>1.085</v>
      </c>
      <c r="AH20" s="22">
        <v>1.625</v>
      </c>
      <c r="AI20" s="22">
        <v>1.625</v>
      </c>
      <c r="AJ20" s="43">
        <v>0</v>
      </c>
      <c r="AK20" s="22">
        <v>0</v>
      </c>
      <c r="AL20" s="22">
        <v>0</v>
      </c>
      <c r="AM20" s="22">
        <v>0</v>
      </c>
      <c r="AN20" s="22">
        <v>0</v>
      </c>
      <c r="AO20" s="75" t="str">
        <f>VLOOKUP(A20,'Overall scores and ranking'!$A$3:$D$71,4,FALSE)</f>
        <v>Poor</v>
      </c>
    </row>
    <row r="21" spans="1:41" x14ac:dyDescent="0.25">
      <c r="A21" s="19" t="s">
        <v>868</v>
      </c>
      <c r="B21" s="22">
        <v>3.33</v>
      </c>
      <c r="C21" s="22">
        <v>2.8971</v>
      </c>
      <c r="D21" s="22">
        <v>3.33</v>
      </c>
      <c r="E21" s="22">
        <v>2.5</v>
      </c>
      <c r="F21" s="22">
        <v>2.5</v>
      </c>
      <c r="G21" s="22">
        <v>2.5</v>
      </c>
      <c r="H21" s="22">
        <v>2.5</v>
      </c>
      <c r="I21" s="22">
        <v>1.71875</v>
      </c>
      <c r="J21" s="22">
        <v>4.17</v>
      </c>
      <c r="K21" s="22">
        <v>2.78</v>
      </c>
      <c r="L21" s="22">
        <v>4.17</v>
      </c>
      <c r="M21" s="22">
        <v>1.48219983801295</v>
      </c>
      <c r="N21" s="22">
        <v>1.54849999999999</v>
      </c>
      <c r="O21" s="22">
        <v>1.5467733789856599</v>
      </c>
      <c r="P21" s="22">
        <v>1.30277043655039</v>
      </c>
      <c r="Q21" s="22">
        <v>1.5436340680505001</v>
      </c>
      <c r="R21" s="22">
        <v>1.5454371379619001</v>
      </c>
      <c r="S21" s="22">
        <v>1.54849999999999</v>
      </c>
      <c r="T21" s="22">
        <v>1.54849999999999</v>
      </c>
      <c r="U21" s="22">
        <v>1.7669999999999999</v>
      </c>
      <c r="V21" s="22">
        <v>1.7669999999999999</v>
      </c>
      <c r="W21" s="22">
        <v>1.7669999999999999</v>
      </c>
      <c r="X21" s="22">
        <v>1.7669999999999999</v>
      </c>
      <c r="Y21" s="22">
        <v>1.7669999999999999</v>
      </c>
      <c r="Z21" s="22">
        <v>1.62311821816105</v>
      </c>
      <c r="AA21" s="22">
        <v>1.71701501079913</v>
      </c>
      <c r="AB21" s="22">
        <v>0</v>
      </c>
      <c r="AC21" s="22">
        <v>1.085</v>
      </c>
      <c r="AD21" s="22">
        <v>0</v>
      </c>
      <c r="AE21" s="22">
        <v>0</v>
      </c>
      <c r="AF21" s="22">
        <v>1.085</v>
      </c>
      <c r="AG21" s="22">
        <v>1.085</v>
      </c>
      <c r="AH21" s="22">
        <v>2.2611589726918</v>
      </c>
      <c r="AI21" s="22">
        <v>3.0874999999999999</v>
      </c>
      <c r="AJ21" s="43">
        <v>2.9898947084233201</v>
      </c>
      <c r="AK21" s="22">
        <v>0</v>
      </c>
      <c r="AL21" s="22">
        <v>0</v>
      </c>
      <c r="AM21" s="22">
        <v>0</v>
      </c>
      <c r="AN21" s="22">
        <v>0</v>
      </c>
      <c r="AO21" s="75" t="str">
        <f>VLOOKUP(A21,'Overall scores and ranking'!$A$3:$D$71,4,FALSE)</f>
        <v>Good</v>
      </c>
    </row>
    <row r="22" spans="1:41" x14ac:dyDescent="0.25">
      <c r="A22" s="19" t="s">
        <v>1685</v>
      </c>
      <c r="B22" s="22">
        <v>3.33</v>
      </c>
      <c r="C22" s="22">
        <v>1.9646999999999999</v>
      </c>
      <c r="D22" s="22">
        <v>3.33</v>
      </c>
      <c r="E22" s="22">
        <v>2.5</v>
      </c>
      <c r="F22" s="22">
        <v>2.5</v>
      </c>
      <c r="G22" s="22">
        <v>2.5</v>
      </c>
      <c r="H22" s="22">
        <v>2.5</v>
      </c>
      <c r="I22" s="22">
        <v>1.25</v>
      </c>
      <c r="J22" s="22">
        <v>4.17</v>
      </c>
      <c r="K22" s="22">
        <v>2.78</v>
      </c>
      <c r="L22" s="22">
        <v>4.17</v>
      </c>
      <c r="M22" s="22">
        <v>1.4826534446763999</v>
      </c>
      <c r="N22" s="22">
        <v>1.54849999999999</v>
      </c>
      <c r="O22" s="22">
        <v>1.54671346555323</v>
      </c>
      <c r="P22" s="22">
        <v>1.54390605427974</v>
      </c>
      <c r="Q22" s="22">
        <v>1.1817499999999901</v>
      </c>
      <c r="R22" s="22">
        <v>1.5365046972860099</v>
      </c>
      <c r="S22" s="22">
        <v>0</v>
      </c>
      <c r="T22" s="22">
        <v>0.54327899999999996</v>
      </c>
      <c r="U22" s="22">
        <v>1.69186221294363</v>
      </c>
      <c r="V22" s="22">
        <v>1.7669999999999999</v>
      </c>
      <c r="W22" s="22">
        <v>1.5782818371607501</v>
      </c>
      <c r="X22" s="22">
        <v>1.3109311064718101</v>
      </c>
      <c r="Y22" s="22">
        <v>1.2882150313152301</v>
      </c>
      <c r="Z22" s="22">
        <v>0</v>
      </c>
      <c r="AA22" s="22">
        <v>1.7669999999999999</v>
      </c>
      <c r="AB22" s="22">
        <v>0</v>
      </c>
      <c r="AC22" s="22">
        <v>1.085</v>
      </c>
      <c r="AD22" s="22">
        <v>0</v>
      </c>
      <c r="AE22" s="22">
        <v>0</v>
      </c>
      <c r="AF22" s="22">
        <v>1.085</v>
      </c>
      <c r="AG22" s="22">
        <v>1.085</v>
      </c>
      <c r="AH22" s="22">
        <v>0</v>
      </c>
      <c r="AI22" s="22">
        <v>1.7562891440501001</v>
      </c>
      <c r="AJ22" s="43">
        <v>2.9562108559498901</v>
      </c>
      <c r="AK22" s="22">
        <v>0</v>
      </c>
      <c r="AL22" s="22">
        <v>0</v>
      </c>
      <c r="AM22" s="22">
        <v>2.165</v>
      </c>
      <c r="AN22" s="22">
        <v>0</v>
      </c>
      <c r="AO22" s="75" t="str">
        <f>VLOOKUP(A22,'Overall scores and ranking'!$A$3:$D$71,4,FALSE)</f>
        <v>Fair</v>
      </c>
    </row>
    <row r="23" spans="1:41" x14ac:dyDescent="0.25">
      <c r="A23" s="19" t="s">
        <v>1482</v>
      </c>
      <c r="B23" s="22">
        <v>3.33</v>
      </c>
      <c r="C23" s="22">
        <v>2.5640999999999998</v>
      </c>
      <c r="D23" s="22">
        <v>3.33</v>
      </c>
      <c r="E23" s="22">
        <v>2.5</v>
      </c>
      <c r="F23" s="22">
        <v>2.5</v>
      </c>
      <c r="G23" s="22">
        <v>2.5</v>
      </c>
      <c r="H23" s="22">
        <v>2.5</v>
      </c>
      <c r="I23" s="22">
        <v>1.25</v>
      </c>
      <c r="J23" s="22">
        <v>4.17</v>
      </c>
      <c r="K23" s="22">
        <v>0</v>
      </c>
      <c r="L23" s="22">
        <v>4.17</v>
      </c>
      <c r="M23" s="22">
        <v>1.63</v>
      </c>
      <c r="N23" s="22">
        <v>1.59124475524475</v>
      </c>
      <c r="O23" s="22">
        <v>1.6197412587412501</v>
      </c>
      <c r="P23" s="22">
        <v>1.5285524475524399</v>
      </c>
      <c r="Q23" s="22">
        <v>1.5844055944055899</v>
      </c>
      <c r="R23" s="22">
        <v>1.3781741573033699</v>
      </c>
      <c r="S23" s="22">
        <v>1.63</v>
      </c>
      <c r="T23" s="22">
        <v>1.55248951048951</v>
      </c>
      <c r="U23" s="22">
        <v>1.8599999999999901</v>
      </c>
      <c r="V23" s="22">
        <v>1.8599999999999901</v>
      </c>
      <c r="W23" s="22">
        <v>1.8599999999999901</v>
      </c>
      <c r="X23" s="22">
        <v>1.8599999999999901</v>
      </c>
      <c r="Y23" s="22">
        <v>1.8599999999999901</v>
      </c>
      <c r="Z23" s="22">
        <v>0</v>
      </c>
      <c r="AA23" s="22">
        <v>1.8018749999999999</v>
      </c>
      <c r="AB23" s="22">
        <v>0</v>
      </c>
      <c r="AC23" s="22">
        <v>1.085</v>
      </c>
      <c r="AD23" s="22">
        <v>0</v>
      </c>
      <c r="AE23" s="22">
        <v>0</v>
      </c>
      <c r="AF23" s="22">
        <v>1.085</v>
      </c>
      <c r="AG23" s="22">
        <v>1.085</v>
      </c>
      <c r="AH23" s="22">
        <v>0</v>
      </c>
      <c r="AI23" s="22">
        <v>3.25</v>
      </c>
      <c r="AJ23" s="43">
        <v>2.8323384831460601</v>
      </c>
      <c r="AK23" s="22">
        <v>0</v>
      </c>
      <c r="AL23" s="22">
        <v>0</v>
      </c>
      <c r="AM23" s="22">
        <v>0</v>
      </c>
      <c r="AN23" s="22">
        <v>0</v>
      </c>
      <c r="AO23" s="75" t="str">
        <f>VLOOKUP(A23,'Overall scores and ranking'!$A$3:$D$71,4,FALSE)</f>
        <v>Good</v>
      </c>
    </row>
    <row r="24" spans="1:41" x14ac:dyDescent="0.25">
      <c r="A24" s="19" t="s">
        <v>2217</v>
      </c>
      <c r="B24" s="22">
        <v>3.33</v>
      </c>
      <c r="C24" s="22">
        <v>3.0303</v>
      </c>
      <c r="D24" s="22">
        <v>3.33</v>
      </c>
      <c r="E24" s="22">
        <v>2.5</v>
      </c>
      <c r="F24" s="22">
        <v>2.5</v>
      </c>
      <c r="G24" s="22">
        <v>2.5</v>
      </c>
      <c r="H24" s="22">
        <v>2.5</v>
      </c>
      <c r="I24" s="22">
        <v>2.1666666666666599</v>
      </c>
      <c r="J24" s="22">
        <v>4.17</v>
      </c>
      <c r="K24" s="22">
        <v>2.78</v>
      </c>
      <c r="L24" s="22">
        <v>4.17</v>
      </c>
      <c r="M24" s="22">
        <v>1.5434931740614299</v>
      </c>
      <c r="N24" s="22">
        <v>1.54599658703071</v>
      </c>
      <c r="O24" s="22">
        <v>1.54849999999999</v>
      </c>
      <c r="P24" s="22">
        <v>1.39954692832764</v>
      </c>
      <c r="Q24" s="22">
        <v>1.54474488054607</v>
      </c>
      <c r="R24" s="22">
        <v>1.54599658703071</v>
      </c>
      <c r="S24" s="22">
        <v>1.54849999999999</v>
      </c>
      <c r="T24" s="22">
        <v>1.54599658703071</v>
      </c>
      <c r="U24" s="22">
        <v>1.7669999999999999</v>
      </c>
      <c r="V24" s="22">
        <v>1.7669999999999999</v>
      </c>
      <c r="W24" s="22">
        <v>1.7669999999999999</v>
      </c>
      <c r="X24" s="22">
        <v>1.7669999999999999</v>
      </c>
      <c r="Y24" s="22">
        <v>1.7669999999999999</v>
      </c>
      <c r="Z24" s="22">
        <v>1.7300300353356799</v>
      </c>
      <c r="AA24" s="22">
        <v>1.72986348122866</v>
      </c>
      <c r="AB24" s="22">
        <v>0</v>
      </c>
      <c r="AC24" s="22">
        <v>1.085</v>
      </c>
      <c r="AD24" s="22">
        <v>0</v>
      </c>
      <c r="AE24" s="22">
        <v>0</v>
      </c>
      <c r="AF24" s="22">
        <v>1.085</v>
      </c>
      <c r="AG24" s="22">
        <v>1.085</v>
      </c>
      <c r="AH24" s="22">
        <v>2.2113175675675598</v>
      </c>
      <c r="AI24" s="22">
        <v>3.0874999999999999</v>
      </c>
      <c r="AJ24" s="43">
        <v>3.0276023890784902</v>
      </c>
      <c r="AK24" s="22">
        <v>0</v>
      </c>
      <c r="AL24" s="22">
        <v>0</v>
      </c>
      <c r="AM24" s="22">
        <v>0</v>
      </c>
      <c r="AN24" s="22">
        <v>0</v>
      </c>
      <c r="AO24" s="75" t="str">
        <f>VLOOKUP(A24,'Overall scores and ranking'!$A$3:$D$71,4,FALSE)</f>
        <v>Good</v>
      </c>
    </row>
    <row r="25" spans="1:41" x14ac:dyDescent="0.25">
      <c r="A25" s="19" t="s">
        <v>295</v>
      </c>
      <c r="B25" s="22">
        <v>2.2197779999999998</v>
      </c>
      <c r="C25" s="22">
        <v>0</v>
      </c>
      <c r="D25" s="22">
        <v>2.2197779999999998</v>
      </c>
      <c r="E25" s="22">
        <v>1.25</v>
      </c>
      <c r="F25" s="22">
        <v>1.25</v>
      </c>
      <c r="G25" s="22">
        <v>1.25</v>
      </c>
      <c r="H25" s="22">
        <v>1.25</v>
      </c>
      <c r="I25" s="22">
        <v>0</v>
      </c>
      <c r="J25" s="22">
        <v>0.69493050000000001</v>
      </c>
      <c r="K25" s="22">
        <v>0.69493050000000001</v>
      </c>
      <c r="L25" s="22">
        <v>2.085</v>
      </c>
      <c r="M25" s="22">
        <v>0.54327899999999996</v>
      </c>
      <c r="N25" s="22">
        <v>0.54327899999999996</v>
      </c>
      <c r="O25" s="22">
        <v>0.81499999999999995</v>
      </c>
      <c r="P25" s="22">
        <v>0.54327899999999996</v>
      </c>
      <c r="Q25" s="22">
        <v>0</v>
      </c>
      <c r="R25" s="22">
        <v>0</v>
      </c>
      <c r="S25" s="22">
        <v>0</v>
      </c>
      <c r="T25" s="22">
        <v>0.54327899999999996</v>
      </c>
      <c r="U25" s="22">
        <v>0</v>
      </c>
      <c r="V25" s="22">
        <v>0</v>
      </c>
      <c r="W25" s="22">
        <v>0.61993799999999899</v>
      </c>
      <c r="X25" s="22">
        <v>0.61993799999999899</v>
      </c>
      <c r="Y25" s="22">
        <v>0.92999999999999905</v>
      </c>
      <c r="Z25" s="22">
        <v>0</v>
      </c>
      <c r="AA25" s="22">
        <v>0</v>
      </c>
      <c r="AB25" s="22">
        <v>0</v>
      </c>
      <c r="AC25" s="22">
        <v>0</v>
      </c>
      <c r="AD25" s="22">
        <v>1.085</v>
      </c>
      <c r="AE25" s="22">
        <v>0</v>
      </c>
      <c r="AF25" s="22">
        <v>1.085</v>
      </c>
      <c r="AG25" s="22">
        <v>1.085</v>
      </c>
      <c r="AH25" s="22">
        <v>1.625</v>
      </c>
      <c r="AI25" s="22">
        <v>1.625</v>
      </c>
      <c r="AJ25" s="43">
        <v>0</v>
      </c>
      <c r="AK25" s="22">
        <v>0</v>
      </c>
      <c r="AL25" s="22">
        <v>0</v>
      </c>
      <c r="AM25" s="22">
        <v>0</v>
      </c>
      <c r="AN25" s="22">
        <v>0</v>
      </c>
      <c r="AO25" s="75" t="str">
        <f>VLOOKUP(A25,'Overall scores and ranking'!$A$3:$D$71,4,FALSE)</f>
        <v>Poor</v>
      </c>
    </row>
    <row r="26" spans="1:41" x14ac:dyDescent="0.25">
      <c r="A26" s="19" t="s">
        <v>335</v>
      </c>
      <c r="B26" s="22">
        <v>3.33</v>
      </c>
      <c r="C26" s="22">
        <v>0</v>
      </c>
      <c r="D26" s="22">
        <v>2.2197779999999998</v>
      </c>
      <c r="E26" s="22">
        <v>1.25</v>
      </c>
      <c r="F26" s="22">
        <v>1.25</v>
      </c>
      <c r="G26" s="22">
        <v>1.25</v>
      </c>
      <c r="H26" s="22">
        <v>1.25</v>
      </c>
      <c r="I26" s="22">
        <v>1.25</v>
      </c>
      <c r="J26" s="22">
        <v>0.463287</v>
      </c>
      <c r="K26" s="22">
        <v>0</v>
      </c>
      <c r="L26" s="22">
        <v>0</v>
      </c>
      <c r="M26" s="22">
        <v>0.81499999999999995</v>
      </c>
      <c r="N26" s="22">
        <v>0.81499999999999995</v>
      </c>
      <c r="O26" s="22">
        <v>0.81499999999999995</v>
      </c>
      <c r="P26" s="22">
        <v>0.81499999999999995</v>
      </c>
      <c r="Q26" s="22">
        <v>0.81499999999999995</v>
      </c>
      <c r="R26" s="22">
        <v>0</v>
      </c>
      <c r="S26" s="22">
        <v>0.81499999999999995</v>
      </c>
      <c r="T26" s="22">
        <v>0.54327899999999996</v>
      </c>
      <c r="U26" s="22">
        <v>0.92999999999999905</v>
      </c>
      <c r="V26" s="22">
        <v>0.61993799999999899</v>
      </c>
      <c r="W26" s="22">
        <v>0.92999999999999905</v>
      </c>
      <c r="X26" s="22">
        <v>0.61993799999999899</v>
      </c>
      <c r="Y26" s="22">
        <v>0.92999999999999905</v>
      </c>
      <c r="Z26" s="22">
        <v>0</v>
      </c>
      <c r="AA26" s="22">
        <v>0</v>
      </c>
      <c r="AB26" s="22">
        <v>0</v>
      </c>
      <c r="AC26" s="22">
        <v>0</v>
      </c>
      <c r="AD26" s="22">
        <v>1.085</v>
      </c>
      <c r="AE26" s="22">
        <v>0</v>
      </c>
      <c r="AF26" s="22">
        <v>1.085</v>
      </c>
      <c r="AG26" s="22">
        <v>1.085</v>
      </c>
      <c r="AH26" s="22">
        <v>1.625</v>
      </c>
      <c r="AI26" s="22">
        <v>1.625</v>
      </c>
      <c r="AJ26" s="43">
        <v>0</v>
      </c>
      <c r="AK26" s="22">
        <v>0</v>
      </c>
      <c r="AL26" s="22">
        <v>0</v>
      </c>
      <c r="AM26" s="22">
        <v>0</v>
      </c>
      <c r="AN26" s="22">
        <v>0</v>
      </c>
      <c r="AO26" s="75" t="str">
        <f>VLOOKUP(A26,'Overall scores and ranking'!$A$3:$D$71,4,FALSE)</f>
        <v>Poor</v>
      </c>
    </row>
    <row r="27" spans="1:41" x14ac:dyDescent="0.25">
      <c r="A27" s="19" t="s">
        <v>991</v>
      </c>
      <c r="B27" s="22">
        <v>3.33</v>
      </c>
      <c r="C27" s="22">
        <v>0.76590000000000003</v>
      </c>
      <c r="D27" s="22">
        <v>0</v>
      </c>
      <c r="E27" s="22">
        <v>1.25</v>
      </c>
      <c r="F27" s="22">
        <v>1.25</v>
      </c>
      <c r="G27" s="22">
        <v>1.25</v>
      </c>
      <c r="H27" s="22">
        <v>1.25</v>
      </c>
      <c r="I27" s="22">
        <v>1.25</v>
      </c>
      <c r="J27" s="22">
        <v>2.78</v>
      </c>
      <c r="K27" s="22">
        <v>2.085</v>
      </c>
      <c r="L27" s="22">
        <v>2.085</v>
      </c>
      <c r="M27" s="22">
        <v>1.54849999999999</v>
      </c>
      <c r="N27" s="22">
        <v>1.1817499999999901</v>
      </c>
      <c r="O27" s="22">
        <v>1.5469133189122299</v>
      </c>
      <c r="P27" s="22">
        <v>1.51449969097651</v>
      </c>
      <c r="Q27" s="22">
        <v>1.54849999999999</v>
      </c>
      <c r="R27" s="22">
        <v>0</v>
      </c>
      <c r="S27" s="22">
        <v>0</v>
      </c>
      <c r="T27" s="22">
        <v>0.54327899999999996</v>
      </c>
      <c r="U27" s="22">
        <v>1.7669999999999999</v>
      </c>
      <c r="V27" s="22">
        <v>1.7669999999999999</v>
      </c>
      <c r="W27" s="22">
        <v>1.7669999999999999</v>
      </c>
      <c r="X27" s="22">
        <v>1.7669999999999999</v>
      </c>
      <c r="Y27" s="22">
        <v>1.7669999999999999</v>
      </c>
      <c r="Z27" s="22">
        <v>0</v>
      </c>
      <c r="AA27" s="22">
        <v>1.74527317676143</v>
      </c>
      <c r="AB27" s="22">
        <v>0</v>
      </c>
      <c r="AC27" s="22">
        <v>1.085</v>
      </c>
      <c r="AD27" s="22">
        <v>0</v>
      </c>
      <c r="AE27" s="22">
        <v>0</v>
      </c>
      <c r="AF27" s="22">
        <v>1.085</v>
      </c>
      <c r="AG27" s="22">
        <v>1.085</v>
      </c>
      <c r="AH27" s="22">
        <v>1.0832249999999899</v>
      </c>
      <c r="AI27" s="22">
        <v>3.0874999999999999</v>
      </c>
      <c r="AJ27" s="43">
        <v>3.0874999999999999</v>
      </c>
      <c r="AK27" s="22">
        <v>0</v>
      </c>
      <c r="AL27" s="22">
        <v>0</v>
      </c>
      <c r="AM27" s="22">
        <v>0</v>
      </c>
      <c r="AN27" s="22">
        <v>0</v>
      </c>
      <c r="AO27" s="75" t="str">
        <f>VLOOKUP(A27,'Overall scores and ranking'!$A$3:$D$71,4,FALSE)</f>
        <v>Fair</v>
      </c>
    </row>
    <row r="28" spans="1:41" x14ac:dyDescent="0.25">
      <c r="A28" s="19" t="s">
        <v>2135</v>
      </c>
      <c r="B28" s="22">
        <v>2.2197779999999998</v>
      </c>
      <c r="C28" s="22">
        <v>1.0323</v>
      </c>
      <c r="D28" s="22">
        <v>1.1098889999999999</v>
      </c>
      <c r="E28" s="22">
        <v>1.25</v>
      </c>
      <c r="F28" s="22">
        <v>1.25</v>
      </c>
      <c r="G28" s="22">
        <v>1.25</v>
      </c>
      <c r="H28" s="22">
        <v>1.25</v>
      </c>
      <c r="I28" s="22">
        <v>1.25</v>
      </c>
      <c r="J28" s="22">
        <v>0</v>
      </c>
      <c r="K28" s="22">
        <v>0</v>
      </c>
      <c r="L28" s="22">
        <v>2.085</v>
      </c>
      <c r="M28" s="22">
        <v>0.54327899999999996</v>
      </c>
      <c r="N28" s="22">
        <v>0.54327899999999996</v>
      </c>
      <c r="O28" s="22">
        <v>0.54327899999999996</v>
      </c>
      <c r="P28" s="22">
        <v>0.27163949999999998</v>
      </c>
      <c r="Q28" s="22">
        <v>0</v>
      </c>
      <c r="R28" s="22">
        <v>0</v>
      </c>
      <c r="S28" s="22">
        <v>0.54327899999999996</v>
      </c>
      <c r="T28" s="22">
        <v>0.54327899999999996</v>
      </c>
      <c r="U28" s="22">
        <v>0</v>
      </c>
      <c r="V28" s="22">
        <v>0</v>
      </c>
      <c r="W28" s="22">
        <v>0.309968999999999</v>
      </c>
      <c r="X28" s="22">
        <v>0.309968999999999</v>
      </c>
      <c r="Y28" s="22">
        <v>0.61993799999999899</v>
      </c>
      <c r="Z28" s="22">
        <v>0.61993799999999899</v>
      </c>
      <c r="AA28" s="22">
        <v>0.61993799999999899</v>
      </c>
      <c r="AB28" s="22">
        <v>0</v>
      </c>
      <c r="AC28" s="22">
        <v>1.085</v>
      </c>
      <c r="AD28" s="22">
        <v>1.085</v>
      </c>
      <c r="AE28" s="22">
        <v>0</v>
      </c>
      <c r="AF28" s="22">
        <v>0</v>
      </c>
      <c r="AG28" s="22">
        <v>1.085</v>
      </c>
      <c r="AH28" s="22">
        <v>0</v>
      </c>
      <c r="AI28" s="22">
        <v>1.0832249999999899</v>
      </c>
      <c r="AJ28" s="43">
        <v>0</v>
      </c>
      <c r="AK28" s="22">
        <v>0</v>
      </c>
      <c r="AL28" s="22">
        <v>0</v>
      </c>
      <c r="AM28" s="22">
        <v>2.165</v>
      </c>
      <c r="AN28" s="22">
        <v>0</v>
      </c>
      <c r="AO28" s="75" t="str">
        <f>VLOOKUP(A28,'Overall scores and ranking'!$A$3:$D$71,4,FALSE)</f>
        <v>Poor</v>
      </c>
    </row>
    <row r="29" spans="1:41" x14ac:dyDescent="0.25">
      <c r="A29" s="19" t="s">
        <v>376</v>
      </c>
      <c r="B29" s="22">
        <v>2.2197779999999998</v>
      </c>
      <c r="C29" s="22">
        <v>0.21645</v>
      </c>
      <c r="D29" s="22">
        <v>0</v>
      </c>
      <c r="E29" s="22">
        <v>1.25</v>
      </c>
      <c r="F29" s="22">
        <v>1.25</v>
      </c>
      <c r="G29" s="22">
        <v>1.25</v>
      </c>
      <c r="H29" s="22">
        <v>1.25</v>
      </c>
      <c r="I29" s="22">
        <v>0</v>
      </c>
      <c r="J29" s="22">
        <v>0.69493050000000001</v>
      </c>
      <c r="K29" s="22">
        <v>0</v>
      </c>
      <c r="L29" s="22">
        <v>0</v>
      </c>
      <c r="M29" s="22">
        <v>0</v>
      </c>
      <c r="N29" s="22">
        <v>0</v>
      </c>
      <c r="O29" s="22">
        <v>0</v>
      </c>
      <c r="P29" s="22">
        <v>0</v>
      </c>
      <c r="Q29" s="22">
        <v>0</v>
      </c>
      <c r="R29" s="22">
        <v>0</v>
      </c>
      <c r="S29" s="22">
        <v>0</v>
      </c>
      <c r="T29" s="22">
        <v>0</v>
      </c>
      <c r="U29" s="22">
        <v>0</v>
      </c>
      <c r="V29" s="22">
        <v>0</v>
      </c>
      <c r="W29" s="22">
        <v>0</v>
      </c>
      <c r="X29" s="22">
        <v>0</v>
      </c>
      <c r="Y29" s="22">
        <v>0</v>
      </c>
      <c r="Z29" s="22">
        <v>0</v>
      </c>
      <c r="AA29" s="22">
        <v>0</v>
      </c>
      <c r="AB29" s="22">
        <v>0</v>
      </c>
      <c r="AC29" s="22">
        <v>0</v>
      </c>
      <c r="AD29" s="22">
        <v>0</v>
      </c>
      <c r="AE29" s="22">
        <v>0</v>
      </c>
      <c r="AF29" s="22">
        <v>1.085</v>
      </c>
      <c r="AG29" s="22">
        <v>1.085</v>
      </c>
      <c r="AH29" s="22">
        <v>0</v>
      </c>
      <c r="AI29" s="22">
        <v>0</v>
      </c>
      <c r="AJ29" s="43">
        <v>0</v>
      </c>
      <c r="AK29" s="22">
        <v>0</v>
      </c>
      <c r="AL29" s="22">
        <v>0</v>
      </c>
      <c r="AM29" s="22">
        <v>0</v>
      </c>
      <c r="AN29" s="22">
        <v>0</v>
      </c>
      <c r="AO29" s="75" t="str">
        <f>VLOOKUP(A29,'Overall scores and ranking'!$A$3:$D$71,4,FALSE)</f>
        <v>Very Poor</v>
      </c>
    </row>
    <row r="30" spans="1:41" x14ac:dyDescent="0.25">
      <c r="A30" s="19" t="s">
        <v>1073</v>
      </c>
      <c r="B30" s="22">
        <v>1.1098889999999999</v>
      </c>
      <c r="C30" s="22">
        <v>1.2154499999999999</v>
      </c>
      <c r="D30" s="22">
        <v>1.1098889999999999</v>
      </c>
      <c r="E30" s="22">
        <v>2.5</v>
      </c>
      <c r="F30" s="22">
        <v>2.5</v>
      </c>
      <c r="G30" s="22">
        <v>2.5</v>
      </c>
      <c r="H30" s="22">
        <v>2.5</v>
      </c>
      <c r="I30" s="22">
        <v>1.25</v>
      </c>
      <c r="J30" s="22">
        <v>0</v>
      </c>
      <c r="K30" s="22">
        <v>0</v>
      </c>
      <c r="L30" s="22">
        <v>4.17</v>
      </c>
      <c r="M30" s="22">
        <v>1.2224999999999999</v>
      </c>
      <c r="N30" s="22">
        <v>1.2224999999999999</v>
      </c>
      <c r="O30" s="22">
        <v>1.21005913869793</v>
      </c>
      <c r="P30" s="22">
        <v>1.2110478164173</v>
      </c>
      <c r="Q30" s="22">
        <v>1.2224999999999999</v>
      </c>
      <c r="R30" s="22">
        <v>0</v>
      </c>
      <c r="S30" s="22">
        <v>1.2224999999999999</v>
      </c>
      <c r="T30" s="22">
        <v>1.2224999999999999</v>
      </c>
      <c r="U30" s="22">
        <v>1.39499999999999</v>
      </c>
      <c r="V30" s="22">
        <v>1.39499999999999</v>
      </c>
      <c r="W30" s="22">
        <v>1.39499999999999</v>
      </c>
      <c r="X30" s="22">
        <v>1.39499999999999</v>
      </c>
      <c r="Y30" s="22">
        <v>1.39499999999999</v>
      </c>
      <c r="Z30" s="22">
        <v>0.92999999999999905</v>
      </c>
      <c r="AA30" s="22">
        <v>1.39499999999999</v>
      </c>
      <c r="AB30" s="22">
        <v>0</v>
      </c>
      <c r="AC30" s="22">
        <v>0</v>
      </c>
      <c r="AD30" s="22">
        <v>0</v>
      </c>
      <c r="AE30" s="22">
        <v>0</v>
      </c>
      <c r="AF30" s="22">
        <v>0</v>
      </c>
      <c r="AG30" s="22">
        <v>1.085</v>
      </c>
      <c r="AH30" s="22">
        <v>1.9635956175298801</v>
      </c>
      <c r="AI30" s="22">
        <v>2.40135968459361</v>
      </c>
      <c r="AJ30" s="43">
        <v>2.4260008087343299</v>
      </c>
      <c r="AK30" s="22">
        <v>1.9868959765467</v>
      </c>
      <c r="AL30" s="22">
        <v>0</v>
      </c>
      <c r="AM30" s="22">
        <v>0</v>
      </c>
      <c r="AN30" s="22">
        <v>0</v>
      </c>
      <c r="AO30" s="75" t="str">
        <f>VLOOKUP(A30,'Overall scores and ranking'!$A$3:$D$71,4,FALSE)</f>
        <v>Fair</v>
      </c>
    </row>
    <row r="31" spans="1:41" x14ac:dyDescent="0.25">
      <c r="A31" s="19" t="s">
        <v>1319</v>
      </c>
      <c r="B31" s="22">
        <v>1.1098889999999999</v>
      </c>
      <c r="C31" s="22">
        <v>3.2633999999999999</v>
      </c>
      <c r="D31" s="22">
        <v>0</v>
      </c>
      <c r="E31" s="22">
        <v>2.5</v>
      </c>
      <c r="F31" s="22">
        <v>2.5</v>
      </c>
      <c r="G31" s="22">
        <v>2.5</v>
      </c>
      <c r="H31" s="22">
        <v>2.5</v>
      </c>
      <c r="I31" s="22">
        <v>2.5</v>
      </c>
      <c r="J31" s="22">
        <v>4.17</v>
      </c>
      <c r="K31" s="22">
        <v>4.17</v>
      </c>
      <c r="L31" s="22">
        <v>4.17</v>
      </c>
      <c r="M31" s="22">
        <v>1.63</v>
      </c>
      <c r="N31" s="22">
        <v>1.63</v>
      </c>
      <c r="O31" s="22">
        <v>1.63</v>
      </c>
      <c r="P31" s="22">
        <v>1.63</v>
      </c>
      <c r="Q31" s="22">
        <v>1.63</v>
      </c>
      <c r="R31" s="22">
        <v>1.6299999999999899</v>
      </c>
      <c r="S31" s="22">
        <v>1.63</v>
      </c>
      <c r="T31" s="22">
        <v>1.63</v>
      </c>
      <c r="U31" s="22">
        <v>1.8599999999999901</v>
      </c>
      <c r="V31" s="22">
        <v>1.8599999999999901</v>
      </c>
      <c r="W31" s="22">
        <v>1.8599999999999901</v>
      </c>
      <c r="X31" s="22">
        <v>1.8599999999999901</v>
      </c>
      <c r="Y31" s="22">
        <v>1.8599999999999901</v>
      </c>
      <c r="Z31" s="22">
        <v>1.8599999999999901</v>
      </c>
      <c r="AA31" s="22">
        <v>1.8599999999999901</v>
      </c>
      <c r="AB31" s="22">
        <v>2.10788167938931</v>
      </c>
      <c r="AC31" s="22">
        <v>1.085</v>
      </c>
      <c r="AD31" s="22">
        <v>1.085</v>
      </c>
      <c r="AE31" s="22">
        <v>2.17</v>
      </c>
      <c r="AF31" s="22">
        <v>2.17</v>
      </c>
      <c r="AG31" s="22">
        <v>2.17</v>
      </c>
      <c r="AH31" s="22">
        <v>2.3712499999999999</v>
      </c>
      <c r="AI31" s="22">
        <v>3.21692111959287</v>
      </c>
      <c r="AJ31" s="43">
        <v>3.01638040712468</v>
      </c>
      <c r="AK31" s="22">
        <v>3.25</v>
      </c>
      <c r="AL31" s="22">
        <v>3.2475000000000001</v>
      </c>
      <c r="AM31" s="22">
        <v>2.165</v>
      </c>
      <c r="AN31" s="22">
        <v>3.2475000000000001</v>
      </c>
      <c r="AO31" s="75" t="str">
        <f>VLOOKUP(A31,'Overall scores and ranking'!$A$3:$D$71,4,FALSE)</f>
        <v>Very good</v>
      </c>
    </row>
    <row r="32" spans="1:41" x14ac:dyDescent="0.25">
      <c r="A32" s="19" t="s">
        <v>2421</v>
      </c>
      <c r="B32" s="22">
        <v>1.1098889999999999</v>
      </c>
      <c r="C32" s="22">
        <v>0.93240000000000001</v>
      </c>
      <c r="D32" s="22">
        <v>2.2197779999999998</v>
      </c>
      <c r="E32" s="22">
        <v>2.5</v>
      </c>
      <c r="F32" s="22">
        <v>2.5</v>
      </c>
      <c r="G32" s="22">
        <v>1.25</v>
      </c>
      <c r="H32" s="22">
        <v>2.5</v>
      </c>
      <c r="I32" s="22">
        <v>1.30040322580645</v>
      </c>
      <c r="J32" s="22">
        <v>0.69493050000000001</v>
      </c>
      <c r="K32" s="22">
        <v>2.085</v>
      </c>
      <c r="L32" s="22">
        <v>4.17</v>
      </c>
      <c r="M32" s="22">
        <v>1.54849999999999</v>
      </c>
      <c r="N32" s="22">
        <v>1.54849999999999</v>
      </c>
      <c r="O32" s="22">
        <v>1.54849999999999</v>
      </c>
      <c r="P32" s="22">
        <v>1.51588949742268</v>
      </c>
      <c r="Q32" s="22">
        <v>1.5371572164948399</v>
      </c>
      <c r="R32" s="22">
        <v>1.24460792525773</v>
      </c>
      <c r="S32" s="22">
        <v>0.81499999999999995</v>
      </c>
      <c r="T32" s="22">
        <v>1.54849999999999</v>
      </c>
      <c r="U32" s="22">
        <v>1.7669999999999999</v>
      </c>
      <c r="V32" s="22">
        <v>1.7669999999999999</v>
      </c>
      <c r="W32" s="22">
        <v>1.75405670103092</v>
      </c>
      <c r="X32" s="22">
        <v>1.7669999999999999</v>
      </c>
      <c r="Y32" s="22">
        <v>1.7669999999999999</v>
      </c>
      <c r="Z32" s="22">
        <v>0</v>
      </c>
      <c r="AA32" s="22">
        <v>0.92999999999999905</v>
      </c>
      <c r="AB32" s="22">
        <v>0</v>
      </c>
      <c r="AC32" s="22">
        <v>0</v>
      </c>
      <c r="AD32" s="22">
        <v>1.085</v>
      </c>
      <c r="AE32" s="22">
        <v>0</v>
      </c>
      <c r="AF32" s="22">
        <v>1.085</v>
      </c>
      <c r="AG32" s="22">
        <v>1.085</v>
      </c>
      <c r="AH32" s="22">
        <v>0</v>
      </c>
      <c r="AI32" s="22">
        <v>3.0874999999999999</v>
      </c>
      <c r="AJ32" s="43">
        <v>3.0874999999999999</v>
      </c>
      <c r="AK32" s="22">
        <v>0</v>
      </c>
      <c r="AL32" s="22">
        <v>0</v>
      </c>
      <c r="AM32" s="22">
        <v>0</v>
      </c>
      <c r="AN32" s="22">
        <v>2.1712773840206099</v>
      </c>
      <c r="AO32" s="75" t="str">
        <f>VLOOKUP(A32,'Overall scores and ranking'!$A$3:$D$71,4,FALSE)</f>
        <v>Fair</v>
      </c>
    </row>
    <row r="33" spans="1:41" x14ac:dyDescent="0.25">
      <c r="A33" s="19" t="s">
        <v>2462</v>
      </c>
      <c r="B33" s="22">
        <v>1.1098889999999999</v>
      </c>
      <c r="C33" s="22">
        <v>0.93240000000000001</v>
      </c>
      <c r="D33" s="22">
        <v>1.1098889999999999</v>
      </c>
      <c r="E33" s="22">
        <v>2.5</v>
      </c>
      <c r="F33" s="22">
        <v>2.5</v>
      </c>
      <c r="G33" s="22">
        <v>1.25</v>
      </c>
      <c r="H33" s="22">
        <v>2.5</v>
      </c>
      <c r="I33" s="22">
        <v>1.30040322580645</v>
      </c>
      <c r="J33" s="22">
        <v>0.69493050000000001</v>
      </c>
      <c r="K33" s="22">
        <v>2.085</v>
      </c>
      <c r="L33" s="22">
        <v>4.17</v>
      </c>
      <c r="M33" s="22">
        <v>1.54849999999999</v>
      </c>
      <c r="N33" s="22">
        <v>1.54849999999999</v>
      </c>
      <c r="O33" s="22">
        <v>1.54849999999999</v>
      </c>
      <c r="P33" s="22">
        <v>1.44335948081264</v>
      </c>
      <c r="Q33" s="22">
        <v>1.4789582392776499</v>
      </c>
      <c r="R33" s="22">
        <v>1.23970146726862</v>
      </c>
      <c r="S33" s="22">
        <v>0.81499999999999995</v>
      </c>
      <c r="T33" s="22">
        <v>1.54849999999999</v>
      </c>
      <c r="U33" s="22">
        <v>1.7669999999999999</v>
      </c>
      <c r="V33" s="22">
        <v>1.7669999999999999</v>
      </c>
      <c r="W33" s="22">
        <v>1.6876455981941301</v>
      </c>
      <c r="X33" s="22">
        <v>1.6876455981941301</v>
      </c>
      <c r="Y33" s="22">
        <v>1.7669999999999999</v>
      </c>
      <c r="Z33" s="22">
        <v>0</v>
      </c>
      <c r="AA33" s="22">
        <v>0.309968999999999</v>
      </c>
      <c r="AB33" s="22">
        <v>0</v>
      </c>
      <c r="AC33" s="22">
        <v>1.085</v>
      </c>
      <c r="AD33" s="22">
        <v>0</v>
      </c>
      <c r="AE33" s="22">
        <v>0</v>
      </c>
      <c r="AF33" s="22">
        <v>0</v>
      </c>
      <c r="AG33" s="22">
        <v>1.085</v>
      </c>
      <c r="AH33" s="22">
        <v>0</v>
      </c>
      <c r="AI33" s="22">
        <v>3.0874999999999999</v>
      </c>
      <c r="AJ33" s="43">
        <v>3.0874999999999999</v>
      </c>
      <c r="AK33" s="22">
        <v>0</v>
      </c>
      <c r="AL33" s="22">
        <v>0</v>
      </c>
      <c r="AM33" s="22">
        <v>0</v>
      </c>
      <c r="AN33" s="22">
        <v>2.16939841986455</v>
      </c>
      <c r="AO33" s="75" t="str">
        <f>VLOOKUP(A33,'Overall scores and ranking'!$A$3:$D$71,4,FALSE)</f>
        <v>Fair</v>
      </c>
    </row>
    <row r="34" spans="1:41" x14ac:dyDescent="0.25">
      <c r="A34" s="19" t="s">
        <v>1238</v>
      </c>
      <c r="B34" s="22">
        <v>1.1098889999999999</v>
      </c>
      <c r="C34" s="22">
        <v>2.3643000000000001</v>
      </c>
      <c r="D34" s="22">
        <v>2.2197779999999998</v>
      </c>
      <c r="E34" s="22">
        <v>2.5</v>
      </c>
      <c r="F34" s="22">
        <v>1.25</v>
      </c>
      <c r="G34" s="22">
        <v>2.5</v>
      </c>
      <c r="H34" s="22">
        <v>2.5</v>
      </c>
      <c r="I34" s="22">
        <v>0</v>
      </c>
      <c r="J34" s="22">
        <v>0.69499999999999995</v>
      </c>
      <c r="K34" s="22">
        <v>0.69499999999999995</v>
      </c>
      <c r="L34" s="22">
        <v>4.17</v>
      </c>
      <c r="M34" s="22">
        <v>1.63</v>
      </c>
      <c r="N34" s="22">
        <v>1.63</v>
      </c>
      <c r="O34" s="22">
        <v>1.59135191347753</v>
      </c>
      <c r="P34" s="22">
        <v>1.4916805324459199</v>
      </c>
      <c r="Q34" s="22">
        <v>1.63</v>
      </c>
      <c r="R34" s="22">
        <v>1.6299999999999899</v>
      </c>
      <c r="S34" s="22">
        <v>1.63</v>
      </c>
      <c r="T34" s="22">
        <v>1.63</v>
      </c>
      <c r="U34" s="22">
        <v>1.8599999999999901</v>
      </c>
      <c r="V34" s="22">
        <v>1.8599999999999901</v>
      </c>
      <c r="W34" s="22">
        <v>1.8599999999999901</v>
      </c>
      <c r="X34" s="22">
        <v>1.8599999999999901</v>
      </c>
      <c r="Y34" s="22">
        <v>1.8599999999999901</v>
      </c>
      <c r="Z34" s="22">
        <v>0</v>
      </c>
      <c r="AA34" s="22">
        <v>1.8599999999999901</v>
      </c>
      <c r="AB34" s="22">
        <v>1.9912728785357701</v>
      </c>
      <c r="AC34" s="22">
        <v>2.1274509803921502</v>
      </c>
      <c r="AD34" s="22">
        <v>2.1230615640599</v>
      </c>
      <c r="AE34" s="22">
        <v>2.1230615640599</v>
      </c>
      <c r="AF34" s="22">
        <v>2.1230615640599</v>
      </c>
      <c r="AG34" s="22">
        <v>1.085</v>
      </c>
      <c r="AH34" s="22">
        <v>0.54161249999999905</v>
      </c>
      <c r="AI34" s="22">
        <v>3.2472961730449201</v>
      </c>
      <c r="AJ34" s="43">
        <v>3.24459234608985</v>
      </c>
      <c r="AK34" s="22">
        <v>0</v>
      </c>
      <c r="AL34" s="22">
        <v>4.2165266222961701</v>
      </c>
      <c r="AM34" s="22">
        <v>2.165</v>
      </c>
      <c r="AN34" s="22">
        <v>4.2831697171381</v>
      </c>
      <c r="AO34" s="75" t="str">
        <f>VLOOKUP(A34,'Overall scores and ranking'!$A$3:$D$71,4,FALSE)</f>
        <v>Good</v>
      </c>
    </row>
    <row r="35" spans="1:41" x14ac:dyDescent="0.25">
      <c r="A35" s="19" t="s">
        <v>417</v>
      </c>
      <c r="B35" s="22">
        <v>2.2197779999999998</v>
      </c>
      <c r="C35" s="22">
        <v>0</v>
      </c>
      <c r="D35" s="22">
        <v>0</v>
      </c>
      <c r="E35" s="22">
        <v>0</v>
      </c>
      <c r="F35" s="22">
        <v>1.25</v>
      </c>
      <c r="G35" s="22">
        <v>1.25</v>
      </c>
      <c r="H35" s="22">
        <v>0</v>
      </c>
      <c r="I35" s="22">
        <v>0</v>
      </c>
      <c r="J35" s="22">
        <v>0</v>
      </c>
      <c r="K35" s="22">
        <v>0</v>
      </c>
      <c r="L35" s="22">
        <v>0</v>
      </c>
      <c r="M35" s="22">
        <v>0</v>
      </c>
      <c r="N35" s="22">
        <v>0</v>
      </c>
      <c r="O35" s="22">
        <v>0</v>
      </c>
      <c r="P35" s="22">
        <v>0</v>
      </c>
      <c r="Q35" s="22">
        <v>0</v>
      </c>
      <c r="R35" s="22">
        <v>0</v>
      </c>
      <c r="S35" s="22">
        <v>0</v>
      </c>
      <c r="T35" s="22">
        <v>0</v>
      </c>
      <c r="U35" s="22">
        <v>0</v>
      </c>
      <c r="V35" s="22">
        <v>0</v>
      </c>
      <c r="W35" s="22">
        <v>0</v>
      </c>
      <c r="X35" s="22">
        <v>0</v>
      </c>
      <c r="Y35" s="22">
        <v>0</v>
      </c>
      <c r="Z35" s="22">
        <v>0</v>
      </c>
      <c r="AA35" s="22">
        <v>0</v>
      </c>
      <c r="AB35" s="22">
        <v>0</v>
      </c>
      <c r="AC35" s="22">
        <v>0</v>
      </c>
      <c r="AD35" s="22">
        <v>0</v>
      </c>
      <c r="AE35" s="22">
        <v>0</v>
      </c>
      <c r="AF35" s="22">
        <v>0</v>
      </c>
      <c r="AG35" s="22">
        <v>0</v>
      </c>
      <c r="AH35" s="22">
        <v>0</v>
      </c>
      <c r="AI35" s="22">
        <v>0</v>
      </c>
      <c r="AJ35" s="43">
        <v>0</v>
      </c>
      <c r="AK35" s="22">
        <v>0</v>
      </c>
      <c r="AL35" s="22">
        <v>0</v>
      </c>
      <c r="AM35" s="22">
        <v>0</v>
      </c>
      <c r="AN35" s="22">
        <v>0</v>
      </c>
      <c r="AO35" s="75" t="str">
        <f>VLOOKUP(A35,'Overall scores and ranking'!$A$3:$D$71,4,FALSE)</f>
        <v>Very Poor</v>
      </c>
    </row>
    <row r="36" spans="1:41" x14ac:dyDescent="0.25">
      <c r="A36" s="19" t="s">
        <v>458</v>
      </c>
      <c r="B36" s="22">
        <v>2.2197779999999998</v>
      </c>
      <c r="C36" s="22">
        <v>0</v>
      </c>
      <c r="D36" s="22">
        <v>0</v>
      </c>
      <c r="E36" s="22">
        <v>1.25</v>
      </c>
      <c r="F36" s="22">
        <v>1.25</v>
      </c>
      <c r="G36" s="22">
        <v>1.25</v>
      </c>
      <c r="H36" s="22">
        <v>1.25</v>
      </c>
      <c r="I36" s="22">
        <v>0</v>
      </c>
      <c r="J36" s="22">
        <v>0</v>
      </c>
      <c r="K36" s="22">
        <v>0</v>
      </c>
      <c r="L36" s="22">
        <v>0</v>
      </c>
      <c r="M36" s="22">
        <v>0</v>
      </c>
      <c r="N36" s="22">
        <v>0</v>
      </c>
      <c r="O36" s="22">
        <v>0</v>
      </c>
      <c r="P36" s="22">
        <v>0</v>
      </c>
      <c r="Q36" s="22">
        <v>0</v>
      </c>
      <c r="R36" s="22">
        <v>0</v>
      </c>
      <c r="S36" s="22">
        <v>0</v>
      </c>
      <c r="T36" s="22">
        <v>0</v>
      </c>
      <c r="U36" s="22">
        <v>0</v>
      </c>
      <c r="V36" s="22">
        <v>0</v>
      </c>
      <c r="W36" s="22">
        <v>0</v>
      </c>
      <c r="X36" s="22">
        <v>0</v>
      </c>
      <c r="Y36" s="22">
        <v>0</v>
      </c>
      <c r="Z36" s="22">
        <v>0</v>
      </c>
      <c r="AA36" s="22">
        <v>0</v>
      </c>
      <c r="AB36" s="22">
        <v>0</v>
      </c>
      <c r="AC36" s="22">
        <v>0</v>
      </c>
      <c r="AD36" s="22">
        <v>0</v>
      </c>
      <c r="AE36" s="22">
        <v>0</v>
      </c>
      <c r="AF36" s="22">
        <v>0</v>
      </c>
      <c r="AG36" s="22">
        <v>1.085</v>
      </c>
      <c r="AH36" s="22">
        <v>0</v>
      </c>
      <c r="AI36" s="22">
        <v>0</v>
      </c>
      <c r="AJ36" s="43">
        <v>0</v>
      </c>
      <c r="AK36" s="22">
        <v>0</v>
      </c>
      <c r="AL36" s="22">
        <v>0</v>
      </c>
      <c r="AM36" s="22">
        <v>0</v>
      </c>
      <c r="AN36" s="22">
        <v>0</v>
      </c>
      <c r="AO36" s="75" t="str">
        <f>VLOOKUP(A36,'Overall scores and ranking'!$A$3:$D$71,4,FALSE)</f>
        <v>Very Poor</v>
      </c>
    </row>
    <row r="37" spans="1:41" x14ac:dyDescent="0.25">
      <c r="A37" s="19" t="s">
        <v>951</v>
      </c>
      <c r="B37" s="22">
        <v>2.2197779999999998</v>
      </c>
      <c r="C37" s="22">
        <v>2.4641999999999999</v>
      </c>
      <c r="D37" s="22">
        <v>1.1098889999999999</v>
      </c>
      <c r="E37" s="22">
        <v>2.5</v>
      </c>
      <c r="F37" s="22">
        <v>2.5</v>
      </c>
      <c r="G37" s="22">
        <v>2.5</v>
      </c>
      <c r="H37" s="22">
        <v>2.5</v>
      </c>
      <c r="I37" s="22">
        <v>2.5</v>
      </c>
      <c r="J37" s="22">
        <v>0.2316435</v>
      </c>
      <c r="K37" s="22">
        <v>0.69499999999999995</v>
      </c>
      <c r="L37" s="22">
        <v>4.17</v>
      </c>
      <c r="M37" s="22">
        <v>1.54849999999999</v>
      </c>
      <c r="N37" s="22">
        <v>1.54849999999999</v>
      </c>
      <c r="O37" s="22">
        <v>1.54849999999999</v>
      </c>
      <c r="P37" s="22">
        <v>1.54566576506955</v>
      </c>
      <c r="Q37" s="22">
        <v>1.1817499999999901</v>
      </c>
      <c r="R37" s="22">
        <v>1.5039156560053799</v>
      </c>
      <c r="S37" s="22">
        <v>1.54849999999999</v>
      </c>
      <c r="T37" s="22">
        <v>1.54849999999999</v>
      </c>
      <c r="U37" s="22">
        <v>1.7669999999999999</v>
      </c>
      <c r="V37" s="22">
        <v>1.7482418856259601</v>
      </c>
      <c r="W37" s="22">
        <v>1.7669999999999999</v>
      </c>
      <c r="X37" s="22">
        <v>1.7669999999999999</v>
      </c>
      <c r="Y37" s="22">
        <v>1.7669999999999999</v>
      </c>
      <c r="Z37" s="22">
        <v>0</v>
      </c>
      <c r="AA37" s="22">
        <v>1.7669999999999999</v>
      </c>
      <c r="AB37" s="22">
        <v>1.34006723338485</v>
      </c>
      <c r="AC37" s="22">
        <v>1.8725000000000001</v>
      </c>
      <c r="AD37" s="22">
        <v>2.0373516228747999</v>
      </c>
      <c r="AE37" s="22">
        <v>2.05994999999999</v>
      </c>
      <c r="AF37" s="22">
        <v>2.0304999999999902</v>
      </c>
      <c r="AG37" s="22">
        <v>1.3593500000000001</v>
      </c>
      <c r="AH37" s="22">
        <v>0</v>
      </c>
      <c r="AI37" s="22">
        <v>3.0852395672333799</v>
      </c>
      <c r="AJ37" s="43">
        <v>2.9450927357032399</v>
      </c>
      <c r="AK37" s="22">
        <v>0</v>
      </c>
      <c r="AL37" s="22">
        <v>3.04739644513137</v>
      </c>
      <c r="AM37" s="22">
        <v>4.1104884080370896</v>
      </c>
      <c r="AN37" s="22">
        <v>4.0818782843894796</v>
      </c>
      <c r="AO37" s="75" t="str">
        <f>VLOOKUP(A37,'Overall scores and ranking'!$A$3:$D$71,4,FALSE)</f>
        <v>Good</v>
      </c>
    </row>
    <row r="38" spans="1:41" x14ac:dyDescent="0.25">
      <c r="A38" s="19" t="s">
        <v>499</v>
      </c>
      <c r="B38" s="22">
        <v>1.1098889999999999</v>
      </c>
      <c r="C38" s="22">
        <v>0</v>
      </c>
      <c r="D38" s="22">
        <v>2.2197779999999998</v>
      </c>
      <c r="E38" s="22">
        <v>1.25</v>
      </c>
      <c r="F38" s="22">
        <v>1.25</v>
      </c>
      <c r="G38" s="22">
        <v>1.25</v>
      </c>
      <c r="H38" s="22">
        <v>1.25</v>
      </c>
      <c r="I38" s="22">
        <v>1.25</v>
      </c>
      <c r="J38" s="22">
        <v>0.69493050000000001</v>
      </c>
      <c r="K38" s="22">
        <v>0</v>
      </c>
      <c r="L38" s="22">
        <v>2.085</v>
      </c>
      <c r="M38" s="22">
        <v>0.81499999999999995</v>
      </c>
      <c r="N38" s="22">
        <v>0</v>
      </c>
      <c r="O38" s="22">
        <v>0.27163949999999998</v>
      </c>
      <c r="P38" s="22">
        <v>0.81499999999999995</v>
      </c>
      <c r="Q38" s="22">
        <v>0.27163949999999998</v>
      </c>
      <c r="R38" s="22">
        <v>0.81499999999999995</v>
      </c>
      <c r="S38" s="22">
        <v>0.81499999999999995</v>
      </c>
      <c r="T38" s="22">
        <v>0.54327899999999996</v>
      </c>
      <c r="U38" s="22">
        <v>0.309968999999999</v>
      </c>
      <c r="V38" s="22">
        <v>0</v>
      </c>
      <c r="W38" s="22">
        <v>0.92999999999999905</v>
      </c>
      <c r="X38" s="22">
        <v>0.92999999999999905</v>
      </c>
      <c r="Y38" s="22">
        <v>0.61993799999999899</v>
      </c>
      <c r="Z38" s="22">
        <v>0</v>
      </c>
      <c r="AA38" s="22">
        <v>0</v>
      </c>
      <c r="AB38" s="22">
        <v>1.085</v>
      </c>
      <c r="AC38" s="22">
        <v>1.085</v>
      </c>
      <c r="AD38" s="22">
        <v>1.085</v>
      </c>
      <c r="AE38" s="22">
        <v>1.085</v>
      </c>
      <c r="AF38" s="22">
        <v>0</v>
      </c>
      <c r="AG38" s="22">
        <v>0</v>
      </c>
      <c r="AH38" s="22">
        <v>0.54161249999999905</v>
      </c>
      <c r="AI38" s="22">
        <v>0.54161249999999905</v>
      </c>
      <c r="AJ38" s="43">
        <v>1.625</v>
      </c>
      <c r="AK38" s="22">
        <v>0</v>
      </c>
      <c r="AL38" s="22">
        <v>0.72159449999999903</v>
      </c>
      <c r="AM38" s="22">
        <v>2.165</v>
      </c>
      <c r="AN38" s="22">
        <v>2.165</v>
      </c>
      <c r="AO38" s="75" t="str">
        <f>VLOOKUP(A38,'Overall scores and ranking'!$A$3:$D$71,4,FALSE)</f>
        <v>Poor</v>
      </c>
    </row>
    <row r="39" spans="1:41" x14ac:dyDescent="0.25">
      <c r="A39" s="19" t="s">
        <v>1441</v>
      </c>
      <c r="B39" s="22">
        <v>3.33</v>
      </c>
      <c r="C39" s="22">
        <v>1.9646999999999999</v>
      </c>
      <c r="D39" s="22">
        <v>0</v>
      </c>
      <c r="E39" s="22">
        <v>1.25</v>
      </c>
      <c r="F39" s="22">
        <v>2.5</v>
      </c>
      <c r="G39" s="22">
        <v>1.25</v>
      </c>
      <c r="H39" s="22">
        <v>1.25</v>
      </c>
      <c r="I39" s="22">
        <v>1.25</v>
      </c>
      <c r="J39" s="22">
        <v>2.78</v>
      </c>
      <c r="K39" s="22">
        <v>2.78</v>
      </c>
      <c r="L39" s="22">
        <v>2.085</v>
      </c>
      <c r="M39" s="22">
        <v>1.08797024952015</v>
      </c>
      <c r="N39" s="22">
        <v>1.2224999999999999</v>
      </c>
      <c r="O39" s="22">
        <v>1.2209357005758099</v>
      </c>
      <c r="P39" s="22">
        <v>0</v>
      </c>
      <c r="Q39" s="22">
        <v>1.0187499999999901</v>
      </c>
      <c r="R39" s="22">
        <v>1.2224999999999999</v>
      </c>
      <c r="S39" s="22">
        <v>1.2224999999999999</v>
      </c>
      <c r="T39" s="22">
        <v>0.54327899999999996</v>
      </c>
      <c r="U39" s="22">
        <v>1.39499999999999</v>
      </c>
      <c r="V39" s="22">
        <v>1.39499999999999</v>
      </c>
      <c r="W39" s="22">
        <v>1.24148752399232</v>
      </c>
      <c r="X39" s="22">
        <v>1.39499999999999</v>
      </c>
      <c r="Y39" s="22">
        <v>1.39499999999999</v>
      </c>
      <c r="Z39" s="22">
        <v>0</v>
      </c>
      <c r="AA39" s="22">
        <v>1.39499999999999</v>
      </c>
      <c r="AB39" s="22">
        <v>0</v>
      </c>
      <c r="AC39" s="22">
        <v>1.085</v>
      </c>
      <c r="AD39" s="22">
        <v>0</v>
      </c>
      <c r="AE39" s="22">
        <v>0</v>
      </c>
      <c r="AF39" s="22">
        <v>0</v>
      </c>
      <c r="AG39" s="22">
        <v>1.085</v>
      </c>
      <c r="AH39" s="22">
        <v>1.9341814159291999</v>
      </c>
      <c r="AI39" s="22">
        <v>0</v>
      </c>
      <c r="AJ39" s="43">
        <v>2.16926583493282</v>
      </c>
      <c r="AK39" s="22">
        <v>0</v>
      </c>
      <c r="AL39" s="22">
        <v>0</v>
      </c>
      <c r="AM39" s="22">
        <v>0</v>
      </c>
      <c r="AN39" s="22">
        <v>0</v>
      </c>
      <c r="AO39" s="75" t="str">
        <f>VLOOKUP(A39,'Overall scores and ranking'!$A$3:$D$71,4,FALSE)</f>
        <v>Fair</v>
      </c>
    </row>
    <row r="40" spans="1:41" x14ac:dyDescent="0.25">
      <c r="A40" s="19" t="s">
        <v>2340</v>
      </c>
      <c r="B40" s="22">
        <v>1.1098889999999999</v>
      </c>
      <c r="C40" s="22">
        <v>0</v>
      </c>
      <c r="D40" s="22">
        <v>0</v>
      </c>
      <c r="E40" s="22">
        <v>1.25</v>
      </c>
      <c r="F40" s="22">
        <v>1.25</v>
      </c>
      <c r="G40" s="22">
        <v>1.25</v>
      </c>
      <c r="H40" s="22">
        <v>1.25</v>
      </c>
      <c r="I40" s="22">
        <v>1.25</v>
      </c>
      <c r="J40" s="22">
        <v>0</v>
      </c>
      <c r="K40" s="22">
        <v>0</v>
      </c>
      <c r="L40" s="22">
        <v>2.085</v>
      </c>
      <c r="M40" s="22">
        <v>0.54327899999999996</v>
      </c>
      <c r="N40" s="22">
        <v>0</v>
      </c>
      <c r="O40" s="22">
        <v>0.54327899999999996</v>
      </c>
      <c r="P40" s="22">
        <v>0.54327899999999996</v>
      </c>
      <c r="Q40" s="22">
        <v>0</v>
      </c>
      <c r="R40" s="22">
        <v>0</v>
      </c>
      <c r="S40" s="22">
        <v>0</v>
      </c>
      <c r="T40" s="22">
        <v>0.54327899999999996</v>
      </c>
      <c r="U40" s="22">
        <v>0.61993799999999899</v>
      </c>
      <c r="V40" s="22">
        <v>0</v>
      </c>
      <c r="W40" s="22">
        <v>0</v>
      </c>
      <c r="X40" s="22">
        <v>0.61993799999999899</v>
      </c>
      <c r="Y40" s="22">
        <v>0.61993799999999899</v>
      </c>
      <c r="Z40" s="22">
        <v>0</v>
      </c>
      <c r="AA40" s="22">
        <v>0</v>
      </c>
      <c r="AB40" s="22">
        <v>0</v>
      </c>
      <c r="AC40" s="22">
        <v>0</v>
      </c>
      <c r="AD40" s="22">
        <v>0</v>
      </c>
      <c r="AE40" s="22">
        <v>0</v>
      </c>
      <c r="AF40" s="22">
        <v>0</v>
      </c>
      <c r="AG40" s="22">
        <v>1.085</v>
      </c>
      <c r="AH40" s="22">
        <v>0</v>
      </c>
      <c r="AI40" s="22">
        <v>1.0832249999999899</v>
      </c>
      <c r="AJ40" s="43">
        <v>0</v>
      </c>
      <c r="AK40" s="22">
        <v>0</v>
      </c>
      <c r="AL40" s="22">
        <v>0</v>
      </c>
      <c r="AM40" s="22">
        <v>0</v>
      </c>
      <c r="AN40" s="22">
        <v>0</v>
      </c>
      <c r="AO40" s="75" t="str">
        <f>VLOOKUP(A40,'Overall scores and ranking'!$A$3:$D$71,4,FALSE)</f>
        <v>Very Poor</v>
      </c>
    </row>
    <row r="41" spans="1:41" x14ac:dyDescent="0.25">
      <c r="A41" s="19" t="s">
        <v>539</v>
      </c>
      <c r="B41" s="22">
        <v>2.2197779999999998</v>
      </c>
      <c r="C41" s="22">
        <v>0</v>
      </c>
      <c r="D41" s="22">
        <v>1.1098889999999999</v>
      </c>
      <c r="E41" s="22">
        <v>2.5</v>
      </c>
      <c r="F41" s="22">
        <v>2.5</v>
      </c>
      <c r="G41" s="22">
        <v>2.5</v>
      </c>
      <c r="H41" s="22">
        <v>2.5</v>
      </c>
      <c r="I41" s="22">
        <v>1.25</v>
      </c>
      <c r="J41" s="22">
        <v>2.78</v>
      </c>
      <c r="K41" s="22">
        <v>0</v>
      </c>
      <c r="L41" s="22">
        <v>4.17</v>
      </c>
      <c r="M41" s="22">
        <v>0.54327899999999996</v>
      </c>
      <c r="N41" s="22">
        <v>1.2224999999999999</v>
      </c>
      <c r="O41" s="22">
        <v>1.2224999999999999</v>
      </c>
      <c r="P41" s="22">
        <v>1.07696428571428</v>
      </c>
      <c r="Q41" s="22">
        <v>1.2224999999999999</v>
      </c>
      <c r="R41" s="22">
        <v>0</v>
      </c>
      <c r="S41" s="22">
        <v>1.0187499999999901</v>
      </c>
      <c r="T41" s="22">
        <v>0.54327899999999996</v>
      </c>
      <c r="U41" s="22">
        <v>0.61993799999999899</v>
      </c>
      <c r="V41" s="22">
        <v>0.61993799999999899</v>
      </c>
      <c r="W41" s="22">
        <v>0.61993799999999899</v>
      </c>
      <c r="X41" s="22">
        <v>0.61993799999999899</v>
      </c>
      <c r="Y41" s="22">
        <v>1.39499999999999</v>
      </c>
      <c r="Z41" s="22">
        <v>0.61993799999999899</v>
      </c>
      <c r="AA41" s="22">
        <v>0</v>
      </c>
      <c r="AB41" s="22">
        <v>0</v>
      </c>
      <c r="AC41" s="22">
        <v>1.085</v>
      </c>
      <c r="AD41" s="22">
        <v>1.085</v>
      </c>
      <c r="AE41" s="22">
        <v>0</v>
      </c>
      <c r="AF41" s="22">
        <v>1.085</v>
      </c>
      <c r="AG41" s="22">
        <v>1.085</v>
      </c>
      <c r="AH41" s="22">
        <v>0</v>
      </c>
      <c r="AI41" s="22">
        <v>0</v>
      </c>
      <c r="AJ41" s="43">
        <v>0</v>
      </c>
      <c r="AK41" s="22">
        <v>0</v>
      </c>
      <c r="AL41" s="22">
        <v>0</v>
      </c>
      <c r="AM41" s="22">
        <v>0</v>
      </c>
      <c r="AN41" s="22">
        <v>0</v>
      </c>
      <c r="AO41" s="75" t="str">
        <f>VLOOKUP(A41,'Overall scores and ranking'!$A$3:$D$71,4,FALSE)</f>
        <v>Poor</v>
      </c>
    </row>
    <row r="42" spans="1:41" x14ac:dyDescent="0.25">
      <c r="A42" s="19" t="s">
        <v>581</v>
      </c>
      <c r="B42" s="22">
        <v>2.2197779999999998</v>
      </c>
      <c r="C42" s="22">
        <v>0</v>
      </c>
      <c r="D42" s="22">
        <v>1.1098889999999999</v>
      </c>
      <c r="E42" s="22">
        <v>1.25</v>
      </c>
      <c r="F42" s="22">
        <v>1.25</v>
      </c>
      <c r="G42" s="22">
        <v>1.25</v>
      </c>
      <c r="H42" s="22">
        <v>1.25</v>
      </c>
      <c r="I42" s="22">
        <v>1.25</v>
      </c>
      <c r="J42" s="22">
        <v>0</v>
      </c>
      <c r="K42" s="22">
        <v>0</v>
      </c>
      <c r="L42" s="22">
        <v>2.085</v>
      </c>
      <c r="M42" s="22">
        <v>0.54327899999999996</v>
      </c>
      <c r="N42" s="22">
        <v>0</v>
      </c>
      <c r="O42" s="22">
        <v>0.54327899999999996</v>
      </c>
      <c r="P42" s="22">
        <v>0.54327899999999996</v>
      </c>
      <c r="Q42" s="22">
        <v>0</v>
      </c>
      <c r="R42" s="22">
        <v>0</v>
      </c>
      <c r="S42" s="22">
        <v>0</v>
      </c>
      <c r="T42" s="22">
        <v>0</v>
      </c>
      <c r="U42" s="22">
        <v>0</v>
      </c>
      <c r="V42" s="22">
        <v>0.61993799999999899</v>
      </c>
      <c r="W42" s="22">
        <v>0</v>
      </c>
      <c r="X42" s="22">
        <v>0.61993799999999899</v>
      </c>
      <c r="Y42" s="22">
        <v>0</v>
      </c>
      <c r="Z42" s="22">
        <v>0.309968999999999</v>
      </c>
      <c r="AA42" s="22">
        <v>0</v>
      </c>
      <c r="AB42" s="22">
        <v>0</v>
      </c>
      <c r="AC42" s="22">
        <v>0</v>
      </c>
      <c r="AD42" s="22">
        <v>1.085</v>
      </c>
      <c r="AE42" s="22">
        <v>0</v>
      </c>
      <c r="AF42" s="22">
        <v>0</v>
      </c>
      <c r="AG42" s="22">
        <v>0</v>
      </c>
      <c r="AH42" s="22">
        <v>0</v>
      </c>
      <c r="AI42" s="22">
        <v>1.0832249999999899</v>
      </c>
      <c r="AJ42" s="43">
        <v>0</v>
      </c>
      <c r="AK42" s="22">
        <v>0</v>
      </c>
      <c r="AL42" s="22">
        <v>0</v>
      </c>
      <c r="AM42" s="22">
        <v>0</v>
      </c>
      <c r="AN42" s="22">
        <v>0</v>
      </c>
      <c r="AO42" s="75" t="str">
        <f>VLOOKUP(A42,'Overall scores and ranking'!$A$3:$D$71,4,FALSE)</f>
        <v>Very Poor</v>
      </c>
    </row>
    <row r="43" spans="1:41" x14ac:dyDescent="0.25">
      <c r="A43" s="19" t="s">
        <v>622</v>
      </c>
      <c r="B43" s="22">
        <v>2.2197779999999998</v>
      </c>
      <c r="C43" s="22">
        <v>1.31535</v>
      </c>
      <c r="D43" s="22">
        <v>0</v>
      </c>
      <c r="E43" s="22">
        <v>1.25</v>
      </c>
      <c r="F43" s="22">
        <v>1.25</v>
      </c>
      <c r="G43" s="22">
        <v>1.25</v>
      </c>
      <c r="H43" s="22">
        <v>1.25</v>
      </c>
      <c r="I43" s="22">
        <v>1.25</v>
      </c>
      <c r="J43" s="22">
        <v>2.085</v>
      </c>
      <c r="K43" s="22">
        <v>0.69499999999999995</v>
      </c>
      <c r="L43" s="22">
        <v>2.085</v>
      </c>
      <c r="M43" s="22">
        <v>0.81499999999999995</v>
      </c>
      <c r="N43" s="22">
        <v>0</v>
      </c>
      <c r="O43" s="22">
        <v>0.81499999999999995</v>
      </c>
      <c r="P43" s="22">
        <v>0.54327899999999996</v>
      </c>
      <c r="Q43" s="22">
        <v>0</v>
      </c>
      <c r="R43" s="22">
        <v>0</v>
      </c>
      <c r="S43" s="22">
        <v>0.81499999999999995</v>
      </c>
      <c r="T43" s="22">
        <v>0.54327899999999996</v>
      </c>
      <c r="U43" s="22">
        <v>0.92999999999999905</v>
      </c>
      <c r="V43" s="22">
        <v>0.92999999999999905</v>
      </c>
      <c r="W43" s="22">
        <v>0.92999999999999905</v>
      </c>
      <c r="X43" s="22">
        <v>0.92999999999999905</v>
      </c>
      <c r="Y43" s="22">
        <v>0.92999999999999905</v>
      </c>
      <c r="Z43" s="22">
        <v>0.61993799999999899</v>
      </c>
      <c r="AA43" s="22">
        <v>0.61993799999999899</v>
      </c>
      <c r="AB43" s="22">
        <v>1.085</v>
      </c>
      <c r="AC43" s="22">
        <v>1.085</v>
      </c>
      <c r="AD43" s="22">
        <v>1.085</v>
      </c>
      <c r="AE43" s="22">
        <v>1.085</v>
      </c>
      <c r="AF43" s="22">
        <v>0</v>
      </c>
      <c r="AG43" s="22">
        <v>1.085</v>
      </c>
      <c r="AH43" s="22">
        <v>0</v>
      </c>
      <c r="AI43" s="22">
        <v>1.625</v>
      </c>
      <c r="AJ43" s="43">
        <v>0</v>
      </c>
      <c r="AK43" s="22">
        <v>0</v>
      </c>
      <c r="AL43" s="22">
        <v>1.4431889999999901</v>
      </c>
      <c r="AM43" s="22">
        <v>2.165</v>
      </c>
      <c r="AN43" s="22">
        <v>2.165</v>
      </c>
      <c r="AO43" s="75" t="str">
        <f>VLOOKUP(A43,'Overall scores and ranking'!$A$3:$D$71,4,FALSE)</f>
        <v>Poor</v>
      </c>
    </row>
    <row r="44" spans="1:41" x14ac:dyDescent="0.25">
      <c r="A44" s="19" t="s">
        <v>663</v>
      </c>
      <c r="B44" s="22">
        <v>2.2197779999999998</v>
      </c>
      <c r="C44" s="22">
        <v>0</v>
      </c>
      <c r="D44" s="22">
        <v>0</v>
      </c>
      <c r="E44" s="22">
        <v>1.25</v>
      </c>
      <c r="F44" s="22">
        <v>1.25</v>
      </c>
      <c r="G44" s="22">
        <v>1.25</v>
      </c>
      <c r="H44" s="22">
        <v>1.25</v>
      </c>
      <c r="I44" s="22">
        <v>0</v>
      </c>
      <c r="J44" s="22">
        <v>0.463287</v>
      </c>
      <c r="K44" s="22">
        <v>0.2316435</v>
      </c>
      <c r="L44" s="22">
        <v>2.085</v>
      </c>
      <c r="M44" s="22">
        <v>0.81499999999999995</v>
      </c>
      <c r="N44" s="22">
        <v>0.54327899999999996</v>
      </c>
      <c r="O44" s="22">
        <v>0.81499999999999995</v>
      </c>
      <c r="P44" s="22">
        <v>0.81499999999999995</v>
      </c>
      <c r="Q44" s="22">
        <v>0.81499999999999995</v>
      </c>
      <c r="R44" s="22">
        <v>0</v>
      </c>
      <c r="S44" s="22">
        <v>0.27163949999999998</v>
      </c>
      <c r="T44" s="22">
        <v>0.54327899999999996</v>
      </c>
      <c r="U44" s="22">
        <v>0.92999999999999905</v>
      </c>
      <c r="V44" s="22">
        <v>0</v>
      </c>
      <c r="W44" s="22">
        <v>0.92999999999999905</v>
      </c>
      <c r="X44" s="22">
        <v>0</v>
      </c>
      <c r="Y44" s="22">
        <v>0.92999999999999905</v>
      </c>
      <c r="Z44" s="22">
        <v>0</v>
      </c>
      <c r="AA44" s="22">
        <v>0</v>
      </c>
      <c r="AB44" s="22">
        <v>0</v>
      </c>
      <c r="AC44" s="22">
        <v>0</v>
      </c>
      <c r="AD44" s="22">
        <v>0</v>
      </c>
      <c r="AE44" s="22">
        <v>0</v>
      </c>
      <c r="AF44" s="22">
        <v>0</v>
      </c>
      <c r="AG44" s="22">
        <v>0</v>
      </c>
      <c r="AH44" s="22">
        <v>0</v>
      </c>
      <c r="AI44" s="22">
        <v>1.625</v>
      </c>
      <c r="AJ44" s="43">
        <v>0</v>
      </c>
      <c r="AK44" s="22">
        <v>0</v>
      </c>
      <c r="AL44" s="22">
        <v>0</v>
      </c>
      <c r="AM44" s="22">
        <v>0</v>
      </c>
      <c r="AN44" s="22">
        <v>0</v>
      </c>
      <c r="AO44" s="75" t="str">
        <f>VLOOKUP(A44,'Overall scores and ranking'!$A$3:$D$71,4,FALSE)</f>
        <v>Very Poor</v>
      </c>
    </row>
    <row r="45" spans="1:41" x14ac:dyDescent="0.25">
      <c r="A45" s="19" t="s">
        <v>2013</v>
      </c>
      <c r="B45" s="22">
        <v>2.2197779999999998</v>
      </c>
      <c r="C45" s="22">
        <v>0</v>
      </c>
      <c r="D45" s="22">
        <v>0</v>
      </c>
      <c r="E45" s="22">
        <v>1.25</v>
      </c>
      <c r="F45" s="22">
        <v>1.25</v>
      </c>
      <c r="G45" s="22">
        <v>1.25</v>
      </c>
      <c r="H45" s="22">
        <v>0</v>
      </c>
      <c r="I45" s="22">
        <v>0</v>
      </c>
      <c r="J45" s="22">
        <v>0</v>
      </c>
      <c r="K45" s="22">
        <v>0</v>
      </c>
      <c r="L45" s="22">
        <v>0</v>
      </c>
      <c r="M45" s="22">
        <v>0</v>
      </c>
      <c r="N45" s="22">
        <v>0</v>
      </c>
      <c r="O45" s="22">
        <v>0</v>
      </c>
      <c r="P45" s="22">
        <v>0</v>
      </c>
      <c r="Q45" s="22">
        <v>0</v>
      </c>
      <c r="R45" s="22">
        <v>0</v>
      </c>
      <c r="S45" s="22">
        <v>0</v>
      </c>
      <c r="T45" s="22">
        <v>0.54327899999999996</v>
      </c>
      <c r="U45" s="22">
        <v>0</v>
      </c>
      <c r="V45" s="22">
        <v>0</v>
      </c>
      <c r="W45" s="22">
        <v>0</v>
      </c>
      <c r="X45" s="22">
        <v>0</v>
      </c>
      <c r="Y45" s="22">
        <v>0</v>
      </c>
      <c r="Z45" s="22">
        <v>0</v>
      </c>
      <c r="AA45" s="22">
        <v>0</v>
      </c>
      <c r="AB45" s="22">
        <v>0</v>
      </c>
      <c r="AC45" s="22">
        <v>0</v>
      </c>
      <c r="AD45" s="22">
        <v>0</v>
      </c>
      <c r="AE45" s="22">
        <v>0</v>
      </c>
      <c r="AF45" s="22">
        <v>0</v>
      </c>
      <c r="AG45" s="22">
        <v>0</v>
      </c>
      <c r="AH45" s="22">
        <v>0</v>
      </c>
      <c r="AI45" s="22">
        <v>0</v>
      </c>
      <c r="AJ45" s="43">
        <v>0</v>
      </c>
      <c r="AK45" s="22">
        <v>0</v>
      </c>
      <c r="AL45" s="22">
        <v>0</v>
      </c>
      <c r="AM45" s="22">
        <v>0</v>
      </c>
      <c r="AN45" s="22">
        <v>0</v>
      </c>
      <c r="AO45" s="75" t="str">
        <f>VLOOKUP(A45,'Overall scores and ranking'!$A$3:$D$71,4,FALSE)</f>
        <v>Very Poor</v>
      </c>
    </row>
    <row r="46" spans="1:41" x14ac:dyDescent="0.25">
      <c r="A46" s="19" t="s">
        <v>1808</v>
      </c>
      <c r="B46" s="22">
        <v>0</v>
      </c>
      <c r="C46" s="22">
        <v>0</v>
      </c>
      <c r="D46" s="22">
        <v>1.1098889999999999</v>
      </c>
      <c r="E46" s="22">
        <v>1.25</v>
      </c>
      <c r="F46" s="22">
        <v>1.25</v>
      </c>
      <c r="G46" s="22">
        <v>0</v>
      </c>
      <c r="H46" s="22">
        <v>1.25</v>
      </c>
      <c r="I46" s="22">
        <v>1.25</v>
      </c>
      <c r="J46" s="22">
        <v>0</v>
      </c>
      <c r="K46" s="22">
        <v>0.69499999999999995</v>
      </c>
      <c r="L46" s="22">
        <v>2.085</v>
      </c>
      <c r="M46" s="22">
        <v>0.54327899999999996</v>
      </c>
      <c r="N46" s="22">
        <v>0.54327899999999996</v>
      </c>
      <c r="O46" s="22">
        <v>0.54327899999999996</v>
      </c>
      <c r="P46" s="22">
        <v>0.54327899999999996</v>
      </c>
      <c r="Q46" s="22">
        <v>0.54327899999999996</v>
      </c>
      <c r="R46" s="22">
        <v>0</v>
      </c>
      <c r="S46" s="22">
        <v>0</v>
      </c>
      <c r="T46" s="22">
        <v>0.54327899999999996</v>
      </c>
      <c r="U46" s="22">
        <v>0.61993799999999899</v>
      </c>
      <c r="V46" s="22">
        <v>0</v>
      </c>
      <c r="W46" s="22">
        <v>0</v>
      </c>
      <c r="X46" s="22">
        <v>0</v>
      </c>
      <c r="Y46" s="22">
        <v>0.61993799999999899</v>
      </c>
      <c r="Z46" s="22">
        <v>0</v>
      </c>
      <c r="AA46" s="22">
        <v>0</v>
      </c>
      <c r="AB46" s="22">
        <v>0</v>
      </c>
      <c r="AC46" s="22">
        <v>1.085</v>
      </c>
      <c r="AD46" s="22">
        <v>1.085</v>
      </c>
      <c r="AE46" s="22">
        <v>0</v>
      </c>
      <c r="AF46" s="22">
        <v>1.085</v>
      </c>
      <c r="AG46" s="22">
        <v>1.085</v>
      </c>
      <c r="AH46" s="22">
        <v>0</v>
      </c>
      <c r="AI46" s="22">
        <v>1.0832249999999899</v>
      </c>
      <c r="AJ46" s="43">
        <v>0</v>
      </c>
      <c r="AK46" s="22">
        <v>0</v>
      </c>
      <c r="AL46" s="22">
        <v>0</v>
      </c>
      <c r="AM46" s="22">
        <v>0</v>
      </c>
      <c r="AN46" s="22">
        <v>0</v>
      </c>
      <c r="AO46" s="75" t="str">
        <f>VLOOKUP(A46,'Overall scores and ranking'!$A$3:$D$71,4,FALSE)</f>
        <v>Very Poor</v>
      </c>
    </row>
    <row r="47" spans="1:41" x14ac:dyDescent="0.25">
      <c r="A47" s="19" t="s">
        <v>2258</v>
      </c>
      <c r="B47" s="22">
        <v>2.2197779999999998</v>
      </c>
      <c r="C47" s="22">
        <v>0</v>
      </c>
      <c r="D47" s="22">
        <v>0</v>
      </c>
      <c r="E47" s="22">
        <v>1.25</v>
      </c>
      <c r="F47" s="22">
        <v>0</v>
      </c>
      <c r="G47" s="22">
        <v>1.25</v>
      </c>
      <c r="H47" s="22">
        <v>1.25</v>
      </c>
      <c r="I47" s="22">
        <v>0</v>
      </c>
      <c r="J47" s="22">
        <v>0</v>
      </c>
      <c r="K47" s="22">
        <v>0</v>
      </c>
      <c r="L47" s="22">
        <v>0</v>
      </c>
      <c r="M47" s="22">
        <v>0</v>
      </c>
      <c r="N47" s="22">
        <v>0</v>
      </c>
      <c r="O47" s="22">
        <v>0</v>
      </c>
      <c r="P47" s="22">
        <v>0</v>
      </c>
      <c r="Q47" s="22">
        <v>0</v>
      </c>
      <c r="R47" s="22">
        <v>0</v>
      </c>
      <c r="S47" s="22">
        <v>0</v>
      </c>
      <c r="T47" s="22">
        <v>0</v>
      </c>
      <c r="U47" s="22">
        <v>0</v>
      </c>
      <c r="V47" s="22">
        <v>0.309968999999999</v>
      </c>
      <c r="W47" s="22">
        <v>0</v>
      </c>
      <c r="X47" s="22">
        <v>0</v>
      </c>
      <c r="Y47" s="22">
        <v>0</v>
      </c>
      <c r="Z47" s="22">
        <v>0</v>
      </c>
      <c r="AA47" s="22">
        <v>0.309968999999999</v>
      </c>
      <c r="AB47" s="22">
        <v>0</v>
      </c>
      <c r="AC47" s="22">
        <v>0</v>
      </c>
      <c r="AD47" s="22">
        <v>0</v>
      </c>
      <c r="AE47" s="22">
        <v>0</v>
      </c>
      <c r="AF47" s="22">
        <v>0</v>
      </c>
      <c r="AG47" s="22">
        <v>0</v>
      </c>
      <c r="AH47" s="22">
        <v>0</v>
      </c>
      <c r="AI47" s="22">
        <v>0</v>
      </c>
      <c r="AJ47" s="43">
        <v>0</v>
      </c>
      <c r="AK47" s="22">
        <v>0</v>
      </c>
      <c r="AL47" s="22">
        <v>0</v>
      </c>
      <c r="AM47" s="22">
        <v>0</v>
      </c>
      <c r="AN47" s="22">
        <v>0</v>
      </c>
      <c r="AO47" s="75" t="str">
        <f>VLOOKUP(A47,'Overall scores and ranking'!$A$3:$D$71,4,FALSE)</f>
        <v>Very Poor</v>
      </c>
    </row>
    <row r="48" spans="1:41" x14ac:dyDescent="0.25">
      <c r="A48" s="19" t="s">
        <v>1767</v>
      </c>
      <c r="B48" s="22">
        <v>2.2197779999999998</v>
      </c>
      <c r="C48" s="22">
        <v>2.5308000000000002</v>
      </c>
      <c r="D48" s="22">
        <v>2.2197779999999998</v>
      </c>
      <c r="E48" s="22">
        <v>1.25</v>
      </c>
      <c r="F48" s="22">
        <v>1.25</v>
      </c>
      <c r="G48" s="22">
        <v>1.25</v>
      </c>
      <c r="H48" s="22">
        <v>1.25</v>
      </c>
      <c r="I48" s="22">
        <v>1.25</v>
      </c>
      <c r="J48" s="22">
        <v>2.78</v>
      </c>
      <c r="K48" s="22">
        <v>2.7234335133540299</v>
      </c>
      <c r="L48" s="22">
        <v>0</v>
      </c>
      <c r="M48" s="22">
        <v>1.63</v>
      </c>
      <c r="N48" s="22">
        <v>1.63</v>
      </c>
      <c r="O48" s="22">
        <v>1.6067181757433999</v>
      </c>
      <c r="P48" s="22">
        <v>1.48554376879385</v>
      </c>
      <c r="Q48" s="22">
        <v>1.63</v>
      </c>
      <c r="R48" s="22">
        <v>1.63</v>
      </c>
      <c r="S48" s="22">
        <v>1.63</v>
      </c>
      <c r="T48" s="22">
        <v>0.54327899999999996</v>
      </c>
      <c r="U48" s="22">
        <v>1.8599999999999901</v>
      </c>
      <c r="V48" s="22">
        <v>1.8599999999999901</v>
      </c>
      <c r="W48" s="22">
        <v>1.8599999999999901</v>
      </c>
      <c r="X48" s="22">
        <v>1.8599999999999901</v>
      </c>
      <c r="Y48" s="22">
        <v>1.8596892749749401</v>
      </c>
      <c r="Z48" s="22">
        <v>1.0437743543271401</v>
      </c>
      <c r="AA48" s="22">
        <v>1.84524056130972</v>
      </c>
      <c r="AB48" s="22">
        <v>0</v>
      </c>
      <c r="AC48" s="22">
        <v>1.085</v>
      </c>
      <c r="AD48" s="22">
        <v>0</v>
      </c>
      <c r="AE48" s="22">
        <v>0</v>
      </c>
      <c r="AF48" s="22">
        <v>0</v>
      </c>
      <c r="AG48" s="22">
        <v>1.085</v>
      </c>
      <c r="AH48" s="22">
        <v>2.4375</v>
      </c>
      <c r="AI48" s="22">
        <v>3.2445706648847299</v>
      </c>
      <c r="AJ48" s="43">
        <v>3.21416638823922</v>
      </c>
      <c r="AK48" s="22">
        <v>0</v>
      </c>
      <c r="AL48" s="22">
        <v>0</v>
      </c>
      <c r="AM48" s="22">
        <v>0</v>
      </c>
      <c r="AN48" s="22">
        <v>0</v>
      </c>
      <c r="AO48" s="75" t="str">
        <f>VLOOKUP(A48,'Overall scores and ranking'!$A$3:$D$71,4,FALSE)</f>
        <v>Fair</v>
      </c>
    </row>
    <row r="49" spans="1:41" x14ac:dyDescent="0.25">
      <c r="A49" s="19" t="s">
        <v>1523</v>
      </c>
      <c r="B49" s="22">
        <v>3.33</v>
      </c>
      <c r="C49" s="22">
        <v>1.7982</v>
      </c>
      <c r="D49" s="22">
        <v>0</v>
      </c>
      <c r="E49" s="22">
        <v>1.25</v>
      </c>
      <c r="F49" s="22">
        <v>1.25</v>
      </c>
      <c r="G49" s="22">
        <v>1.25</v>
      </c>
      <c r="H49" s="22">
        <v>1.25</v>
      </c>
      <c r="I49" s="22">
        <v>1.25</v>
      </c>
      <c r="J49" s="22">
        <v>0.463287</v>
      </c>
      <c r="K49" s="22">
        <v>0.463287</v>
      </c>
      <c r="L49" s="22">
        <v>2.085</v>
      </c>
      <c r="M49" s="22">
        <v>0</v>
      </c>
      <c r="N49" s="22">
        <v>1.54849999999999</v>
      </c>
      <c r="O49" s="22">
        <v>1.5441077844311299</v>
      </c>
      <c r="P49" s="22">
        <v>1.5457548652694599</v>
      </c>
      <c r="Q49" s="22">
        <v>1.54849999999999</v>
      </c>
      <c r="R49" s="22">
        <v>1.54849999999999</v>
      </c>
      <c r="S49" s="22">
        <v>1.54849999999999</v>
      </c>
      <c r="T49" s="22">
        <v>1.54849999999999</v>
      </c>
      <c r="U49" s="22">
        <v>0.61993799999999899</v>
      </c>
      <c r="V49" s="22">
        <v>1.7669999999999999</v>
      </c>
      <c r="W49" s="22">
        <v>1.7319161676646699</v>
      </c>
      <c r="X49" s="22">
        <v>1.7669999999999999</v>
      </c>
      <c r="Y49" s="22">
        <v>1.7601085329341299</v>
      </c>
      <c r="Z49" s="22">
        <v>0</v>
      </c>
      <c r="AA49" s="22">
        <v>1.7669999999999999</v>
      </c>
      <c r="AB49" s="22">
        <v>1.085</v>
      </c>
      <c r="AC49" s="22">
        <v>1.085</v>
      </c>
      <c r="AD49" s="22">
        <v>1.085</v>
      </c>
      <c r="AE49" s="22">
        <v>0</v>
      </c>
      <c r="AF49" s="22">
        <v>1.085</v>
      </c>
      <c r="AG49" s="22">
        <v>1.085</v>
      </c>
      <c r="AH49" s="22">
        <v>1.625</v>
      </c>
      <c r="AI49" s="22">
        <v>0.54161249999999905</v>
      </c>
      <c r="AJ49" s="43">
        <v>2.8948353293413098</v>
      </c>
      <c r="AK49" s="22">
        <v>0</v>
      </c>
      <c r="AL49" s="22">
        <v>0</v>
      </c>
      <c r="AM49" s="22">
        <v>0</v>
      </c>
      <c r="AN49" s="22">
        <v>0</v>
      </c>
      <c r="AO49" s="75" t="str">
        <f>VLOOKUP(A49,'Overall scores and ranking'!$A$3:$D$71,4,FALSE)</f>
        <v>Fair</v>
      </c>
    </row>
    <row r="50" spans="1:41" x14ac:dyDescent="0.25">
      <c r="A50" s="19" t="s">
        <v>1726</v>
      </c>
      <c r="B50" s="22">
        <v>2.2197779999999998</v>
      </c>
      <c r="C50" s="22">
        <v>1.1322000000000001</v>
      </c>
      <c r="D50" s="22">
        <v>3.33</v>
      </c>
      <c r="E50" s="22">
        <v>1.25</v>
      </c>
      <c r="F50" s="22">
        <v>1.25</v>
      </c>
      <c r="G50" s="22">
        <v>1.25</v>
      </c>
      <c r="H50" s="22">
        <v>1.25</v>
      </c>
      <c r="I50" s="22">
        <v>1.25</v>
      </c>
      <c r="J50" s="22">
        <v>0.463287</v>
      </c>
      <c r="K50" s="22">
        <v>0</v>
      </c>
      <c r="L50" s="22">
        <v>2.085</v>
      </c>
      <c r="M50" s="22">
        <v>0.81499999999999995</v>
      </c>
      <c r="N50" s="22">
        <v>0.81499999999999995</v>
      </c>
      <c r="O50" s="22">
        <v>0.81499999999999995</v>
      </c>
      <c r="P50" s="22">
        <v>0.81499999999999995</v>
      </c>
      <c r="Q50" s="22">
        <v>0</v>
      </c>
      <c r="R50" s="22">
        <v>0</v>
      </c>
      <c r="S50" s="22">
        <v>0</v>
      </c>
      <c r="T50" s="22">
        <v>0.54327899999999996</v>
      </c>
      <c r="U50" s="22">
        <v>0.92999999999999905</v>
      </c>
      <c r="V50" s="22">
        <v>0</v>
      </c>
      <c r="W50" s="22">
        <v>0</v>
      </c>
      <c r="X50" s="22">
        <v>0</v>
      </c>
      <c r="Y50" s="22">
        <v>0.92999999999999905</v>
      </c>
      <c r="Z50" s="22">
        <v>0</v>
      </c>
      <c r="AA50" s="22">
        <v>0</v>
      </c>
      <c r="AB50" s="22">
        <v>0</v>
      </c>
      <c r="AC50" s="22">
        <v>1.085</v>
      </c>
      <c r="AD50" s="22">
        <v>1.085</v>
      </c>
      <c r="AE50" s="22">
        <v>0</v>
      </c>
      <c r="AF50" s="22">
        <v>0</v>
      </c>
      <c r="AG50" s="22">
        <v>1.085</v>
      </c>
      <c r="AH50" s="22">
        <v>1.625</v>
      </c>
      <c r="AI50" s="22">
        <v>1.625</v>
      </c>
      <c r="AJ50" s="43">
        <v>0</v>
      </c>
      <c r="AK50" s="22">
        <v>0</v>
      </c>
      <c r="AL50" s="22">
        <v>0</v>
      </c>
      <c r="AM50" s="22">
        <v>0</v>
      </c>
      <c r="AN50" s="22">
        <v>0</v>
      </c>
      <c r="AO50" s="75" t="str">
        <f>VLOOKUP(A50,'Overall scores and ranking'!$A$3:$D$71,4,FALSE)</f>
        <v>Poor</v>
      </c>
    </row>
    <row r="51" spans="1:41" x14ac:dyDescent="0.25">
      <c r="A51" s="19" t="s">
        <v>1564</v>
      </c>
      <c r="B51" s="22">
        <v>2.2197779999999998</v>
      </c>
      <c r="C51" s="22">
        <v>0</v>
      </c>
      <c r="D51" s="22">
        <v>0</v>
      </c>
      <c r="E51" s="22">
        <v>1.25</v>
      </c>
      <c r="F51" s="22">
        <v>1.25</v>
      </c>
      <c r="G51" s="22">
        <v>1.25</v>
      </c>
      <c r="H51" s="22">
        <v>1.25</v>
      </c>
      <c r="I51" s="22">
        <v>1.25</v>
      </c>
      <c r="J51" s="22">
        <v>0.2316435</v>
      </c>
      <c r="K51" s="22">
        <v>0.2316435</v>
      </c>
      <c r="L51" s="22">
        <v>0</v>
      </c>
      <c r="M51" s="22">
        <v>0.54327899999999996</v>
      </c>
      <c r="N51" s="22">
        <v>0.54327899999999996</v>
      </c>
      <c r="O51" s="22">
        <v>0.54327899999999996</v>
      </c>
      <c r="P51" s="22">
        <v>0</v>
      </c>
      <c r="Q51" s="22">
        <v>0</v>
      </c>
      <c r="R51" s="22">
        <v>0</v>
      </c>
      <c r="S51" s="22">
        <v>0</v>
      </c>
      <c r="T51" s="22">
        <v>0.54327899999999996</v>
      </c>
      <c r="U51" s="22">
        <v>0</v>
      </c>
      <c r="V51" s="22">
        <v>0</v>
      </c>
      <c r="W51" s="22">
        <v>0</v>
      </c>
      <c r="X51" s="22">
        <v>0</v>
      </c>
      <c r="Y51" s="22">
        <v>0</v>
      </c>
      <c r="Z51" s="22">
        <v>0</v>
      </c>
      <c r="AA51" s="22">
        <v>0</v>
      </c>
      <c r="AB51" s="22">
        <v>0</v>
      </c>
      <c r="AC51" s="22">
        <v>1.085</v>
      </c>
      <c r="AD51" s="22">
        <v>0</v>
      </c>
      <c r="AE51" s="22">
        <v>0</v>
      </c>
      <c r="AF51" s="22">
        <v>0</v>
      </c>
      <c r="AG51" s="22">
        <v>1.085</v>
      </c>
      <c r="AH51" s="22">
        <v>0</v>
      </c>
      <c r="AI51" s="22">
        <v>1.0832249999999899</v>
      </c>
      <c r="AJ51" s="43">
        <v>0</v>
      </c>
      <c r="AK51" s="22">
        <v>0</v>
      </c>
      <c r="AL51" s="22">
        <v>0</v>
      </c>
      <c r="AM51" s="22">
        <v>0</v>
      </c>
      <c r="AN51" s="22">
        <v>0</v>
      </c>
      <c r="AO51" s="75" t="str">
        <f>VLOOKUP(A51,'Overall scores and ranking'!$A$3:$D$71,4,FALSE)</f>
        <v>Very Poor</v>
      </c>
    </row>
    <row r="52" spans="1:41" x14ac:dyDescent="0.25">
      <c r="A52" s="19" t="s">
        <v>704</v>
      </c>
      <c r="B52" s="22">
        <v>2.2197779999999998</v>
      </c>
      <c r="C52" s="22">
        <v>0</v>
      </c>
      <c r="D52" s="22">
        <v>0</v>
      </c>
      <c r="E52" s="22">
        <v>1.25</v>
      </c>
      <c r="F52" s="22">
        <v>1.25</v>
      </c>
      <c r="G52" s="22">
        <v>1.25</v>
      </c>
      <c r="H52" s="22">
        <v>1.25</v>
      </c>
      <c r="I52" s="22">
        <v>0</v>
      </c>
      <c r="J52" s="22">
        <v>0.2316435</v>
      </c>
      <c r="K52" s="22">
        <v>2.085</v>
      </c>
      <c r="L52" s="22">
        <v>2.085</v>
      </c>
      <c r="M52" s="22">
        <v>0.54327899999999996</v>
      </c>
      <c r="N52" s="22">
        <v>0.81499999999999995</v>
      </c>
      <c r="O52" s="22">
        <v>0.81499999999999995</v>
      </c>
      <c r="P52" s="22">
        <v>0.54327899999999996</v>
      </c>
      <c r="Q52" s="22">
        <v>0.81499999999999995</v>
      </c>
      <c r="R52" s="22">
        <v>0</v>
      </c>
      <c r="S52" s="22">
        <v>0.54327899999999996</v>
      </c>
      <c r="T52" s="22">
        <v>0.54327899999999996</v>
      </c>
      <c r="U52" s="22">
        <v>0.92999999999999905</v>
      </c>
      <c r="V52" s="22">
        <v>0.92999999999999905</v>
      </c>
      <c r="W52" s="22">
        <v>0.92999999999999905</v>
      </c>
      <c r="X52" s="22">
        <v>0.92999999999999905</v>
      </c>
      <c r="Y52" s="22">
        <v>0.92999999999999905</v>
      </c>
      <c r="Z52" s="22">
        <v>0.92999999999999905</v>
      </c>
      <c r="AA52" s="22">
        <v>0.92999999999999905</v>
      </c>
      <c r="AB52" s="22">
        <v>0</v>
      </c>
      <c r="AC52" s="22">
        <v>1.085</v>
      </c>
      <c r="AD52" s="22">
        <v>0</v>
      </c>
      <c r="AE52" s="22">
        <v>0</v>
      </c>
      <c r="AF52" s="22">
        <v>1.085</v>
      </c>
      <c r="AG52" s="22">
        <v>0</v>
      </c>
      <c r="AH52" s="22">
        <v>0</v>
      </c>
      <c r="AI52" s="22">
        <v>1.625</v>
      </c>
      <c r="AJ52" s="43">
        <v>0</v>
      </c>
      <c r="AK52" s="22">
        <v>0</v>
      </c>
      <c r="AL52" s="22">
        <v>0</v>
      </c>
      <c r="AM52" s="22">
        <v>0</v>
      </c>
      <c r="AN52" s="22">
        <v>0</v>
      </c>
      <c r="AO52" s="75" t="str">
        <f>VLOOKUP(A52,'Overall scores and ranking'!$A$3:$D$71,4,FALSE)</f>
        <v>Poor</v>
      </c>
    </row>
    <row r="53" spans="1:41" x14ac:dyDescent="0.25">
      <c r="A53" s="19" t="s">
        <v>745</v>
      </c>
      <c r="B53" s="22">
        <v>2.2197779999999998</v>
      </c>
      <c r="C53" s="22">
        <v>0</v>
      </c>
      <c r="D53" s="22">
        <v>0</v>
      </c>
      <c r="E53" s="22">
        <v>1.25</v>
      </c>
      <c r="F53" s="22">
        <v>1.25</v>
      </c>
      <c r="G53" s="22">
        <v>1.25</v>
      </c>
      <c r="H53" s="22">
        <v>1.25</v>
      </c>
      <c r="I53" s="22">
        <v>0</v>
      </c>
      <c r="J53" s="22">
        <v>0.2316435</v>
      </c>
      <c r="K53" s="22">
        <v>0.2316435</v>
      </c>
      <c r="L53" s="22">
        <v>0</v>
      </c>
      <c r="M53" s="22">
        <v>0.27163949999999998</v>
      </c>
      <c r="N53" s="22">
        <v>0</v>
      </c>
      <c r="O53" s="22">
        <v>0.27163949999999998</v>
      </c>
      <c r="P53" s="22">
        <v>0</v>
      </c>
      <c r="Q53" s="22">
        <v>0</v>
      </c>
      <c r="R53" s="22">
        <v>0</v>
      </c>
      <c r="S53" s="22">
        <v>0</v>
      </c>
      <c r="T53" s="22">
        <v>0.54327899999999996</v>
      </c>
      <c r="U53" s="22">
        <v>0.309968999999999</v>
      </c>
      <c r="V53" s="22">
        <v>0</v>
      </c>
      <c r="W53" s="22">
        <v>0.309968999999999</v>
      </c>
      <c r="X53" s="22">
        <v>0</v>
      </c>
      <c r="Y53" s="22">
        <v>0</v>
      </c>
      <c r="Z53" s="22">
        <v>0</v>
      </c>
      <c r="AA53" s="22">
        <v>0.61993799999999899</v>
      </c>
      <c r="AB53" s="22">
        <v>0</v>
      </c>
      <c r="AC53" s="22">
        <v>0</v>
      </c>
      <c r="AD53" s="22">
        <v>0</v>
      </c>
      <c r="AE53" s="22">
        <v>0</v>
      </c>
      <c r="AF53" s="22">
        <v>0</v>
      </c>
      <c r="AG53" s="22">
        <v>0</v>
      </c>
      <c r="AH53" s="22">
        <v>0</v>
      </c>
      <c r="AI53" s="22">
        <v>0.54161249999999905</v>
      </c>
      <c r="AJ53" s="43">
        <v>0</v>
      </c>
      <c r="AK53" s="22">
        <v>0</v>
      </c>
      <c r="AL53" s="22">
        <v>0</v>
      </c>
      <c r="AM53" s="22">
        <v>0</v>
      </c>
      <c r="AN53" s="22">
        <v>0</v>
      </c>
      <c r="AO53" s="75" t="str">
        <f>VLOOKUP(A53,'Overall scores and ranking'!$A$3:$D$71,4,FALSE)</f>
        <v>Very Poor</v>
      </c>
    </row>
    <row r="54" spans="1:41" x14ac:dyDescent="0.25">
      <c r="A54" s="19" t="s">
        <v>786</v>
      </c>
      <c r="B54" s="22">
        <v>2.2197779999999998</v>
      </c>
      <c r="C54" s="22">
        <v>0</v>
      </c>
      <c r="D54" s="22">
        <v>1.1098889999999999</v>
      </c>
      <c r="E54" s="22">
        <v>1.25</v>
      </c>
      <c r="F54" s="22">
        <v>1.25</v>
      </c>
      <c r="G54" s="22">
        <v>1.25</v>
      </c>
      <c r="H54" s="22">
        <v>1.25</v>
      </c>
      <c r="I54" s="22">
        <v>0</v>
      </c>
      <c r="J54" s="22">
        <v>0.463287</v>
      </c>
      <c r="K54" s="22">
        <v>0</v>
      </c>
      <c r="L54" s="22">
        <v>0</v>
      </c>
      <c r="M54" s="22">
        <v>0.54327899999999996</v>
      </c>
      <c r="N54" s="22">
        <v>0.54327899999999996</v>
      </c>
      <c r="O54" s="22">
        <v>0.54327899999999996</v>
      </c>
      <c r="P54" s="22">
        <v>0.54327899999999996</v>
      </c>
      <c r="Q54" s="22">
        <v>0.54327899999999996</v>
      </c>
      <c r="R54" s="22">
        <v>0</v>
      </c>
      <c r="S54" s="22">
        <v>0</v>
      </c>
      <c r="T54" s="22">
        <v>0.54327899999999996</v>
      </c>
      <c r="U54" s="22">
        <v>0</v>
      </c>
      <c r="V54" s="22">
        <v>0</v>
      </c>
      <c r="W54" s="22">
        <v>0</v>
      </c>
      <c r="X54" s="22">
        <v>0.61993799999999899</v>
      </c>
      <c r="Y54" s="22">
        <v>0.61993799999999899</v>
      </c>
      <c r="Z54" s="22">
        <v>0.61993799999999899</v>
      </c>
      <c r="AA54" s="22">
        <v>0</v>
      </c>
      <c r="AB54" s="22">
        <v>0</v>
      </c>
      <c r="AC54" s="22">
        <v>1.085</v>
      </c>
      <c r="AD54" s="22">
        <v>1.085</v>
      </c>
      <c r="AE54" s="22">
        <v>0</v>
      </c>
      <c r="AF54" s="22">
        <v>1.085</v>
      </c>
      <c r="AG54" s="22">
        <v>0</v>
      </c>
      <c r="AH54" s="22">
        <v>0</v>
      </c>
      <c r="AI54" s="22">
        <v>1.0832249999999899</v>
      </c>
      <c r="AJ54" s="43">
        <v>0</v>
      </c>
      <c r="AK54" s="22">
        <v>0</v>
      </c>
      <c r="AL54" s="22">
        <v>0</v>
      </c>
      <c r="AM54" s="22">
        <v>0</v>
      </c>
      <c r="AN54" s="22">
        <v>0</v>
      </c>
      <c r="AO54" s="75" t="str">
        <f>VLOOKUP(A54,'Overall scores and ranking'!$A$3:$D$71,4,FALSE)</f>
        <v>Very Poor</v>
      </c>
    </row>
    <row r="55" spans="1:41" x14ac:dyDescent="0.25">
      <c r="A55" s="19" t="s">
        <v>827</v>
      </c>
      <c r="B55" s="22">
        <v>3.33</v>
      </c>
      <c r="C55" s="22">
        <v>0</v>
      </c>
      <c r="D55" s="22">
        <v>0</v>
      </c>
      <c r="E55" s="22">
        <v>1.25</v>
      </c>
      <c r="F55" s="22">
        <v>1.25</v>
      </c>
      <c r="G55" s="22">
        <v>1.25</v>
      </c>
      <c r="H55" s="22">
        <v>1.25</v>
      </c>
      <c r="I55" s="22">
        <v>0</v>
      </c>
      <c r="J55" s="22">
        <v>0.463287</v>
      </c>
      <c r="K55" s="22">
        <v>0.463287</v>
      </c>
      <c r="L55" s="22">
        <v>0</v>
      </c>
      <c r="M55" s="22">
        <v>0</v>
      </c>
      <c r="N55" s="22">
        <v>0.54327899999999996</v>
      </c>
      <c r="O55" s="22">
        <v>0.54327899999999996</v>
      </c>
      <c r="P55" s="22">
        <v>0.54327899999999996</v>
      </c>
      <c r="Q55" s="22">
        <v>0.54327899999999996</v>
      </c>
      <c r="R55" s="22">
        <v>0</v>
      </c>
      <c r="S55" s="22">
        <v>0.54327899999999996</v>
      </c>
      <c r="T55" s="22">
        <v>0.54327899999999996</v>
      </c>
      <c r="U55" s="22">
        <v>0.61993799999999899</v>
      </c>
      <c r="V55" s="22">
        <v>0.61993799999999899</v>
      </c>
      <c r="W55" s="22">
        <v>0.61993799999999899</v>
      </c>
      <c r="X55" s="22">
        <v>0.61993799999999899</v>
      </c>
      <c r="Y55" s="22">
        <v>0.61993799999999899</v>
      </c>
      <c r="Z55" s="22">
        <v>0</v>
      </c>
      <c r="AA55" s="22">
        <v>0</v>
      </c>
      <c r="AB55" s="22">
        <v>0</v>
      </c>
      <c r="AC55" s="22">
        <v>0</v>
      </c>
      <c r="AD55" s="22">
        <v>0</v>
      </c>
      <c r="AE55" s="22">
        <v>0</v>
      </c>
      <c r="AF55" s="22">
        <v>0</v>
      </c>
      <c r="AG55" s="22">
        <v>1.085</v>
      </c>
      <c r="AH55" s="22">
        <v>0</v>
      </c>
      <c r="AI55" s="22">
        <v>1.0832249999999899</v>
      </c>
      <c r="AJ55" s="43">
        <v>0</v>
      </c>
      <c r="AK55" s="22">
        <v>0</v>
      </c>
      <c r="AL55" s="22">
        <v>0</v>
      </c>
      <c r="AM55" s="22">
        <v>0</v>
      </c>
      <c r="AN55" s="22">
        <v>0</v>
      </c>
      <c r="AO55" s="75" t="str">
        <f>VLOOKUP(A55,'Overall scores and ranking'!$A$3:$D$71,4,FALSE)</f>
        <v>Very Poor</v>
      </c>
    </row>
    <row r="56" spans="1:41" x14ac:dyDescent="0.25">
      <c r="A56" s="19" t="s">
        <v>1890</v>
      </c>
      <c r="B56" s="22">
        <v>2.2197779999999998</v>
      </c>
      <c r="C56" s="22">
        <v>1.998</v>
      </c>
      <c r="D56" s="22">
        <v>0</v>
      </c>
      <c r="E56" s="22">
        <v>2.5</v>
      </c>
      <c r="F56" s="22">
        <v>2.5</v>
      </c>
      <c r="G56" s="22">
        <v>2.5</v>
      </c>
      <c r="H56" s="22">
        <v>2.5</v>
      </c>
      <c r="I56" s="22">
        <v>1.55612244897959</v>
      </c>
      <c r="J56" s="22">
        <v>2.78</v>
      </c>
      <c r="K56" s="22">
        <v>2.78</v>
      </c>
      <c r="L56" s="22">
        <v>0</v>
      </c>
      <c r="M56" s="22">
        <v>1.63</v>
      </c>
      <c r="N56" s="22">
        <v>1.63</v>
      </c>
      <c r="O56" s="22">
        <v>1.6290030026690301</v>
      </c>
      <c r="P56" s="22">
        <v>1.6048937944839801</v>
      </c>
      <c r="Q56" s="22">
        <v>1.63</v>
      </c>
      <c r="R56" s="22">
        <v>0</v>
      </c>
      <c r="S56" s="22">
        <v>0</v>
      </c>
      <c r="T56" s="22">
        <v>1.63</v>
      </c>
      <c r="U56" s="22">
        <v>1.8599999999999901</v>
      </c>
      <c r="V56" s="22">
        <v>1.8599999999999901</v>
      </c>
      <c r="W56" s="22">
        <v>1.7943249555160099</v>
      </c>
      <c r="X56" s="22">
        <v>0</v>
      </c>
      <c r="Y56" s="22">
        <v>1.8599999999999901</v>
      </c>
      <c r="Z56" s="22">
        <v>0.98124339323467202</v>
      </c>
      <c r="AA56" s="22">
        <v>1.6926579181494601</v>
      </c>
      <c r="AB56" s="22">
        <v>0</v>
      </c>
      <c r="AC56" s="22">
        <v>0</v>
      </c>
      <c r="AD56" s="22">
        <v>0</v>
      </c>
      <c r="AE56" s="22">
        <v>0</v>
      </c>
      <c r="AF56" s="22">
        <v>0</v>
      </c>
      <c r="AG56" s="22">
        <v>1.085</v>
      </c>
      <c r="AH56" s="22">
        <v>1.87718900966183</v>
      </c>
      <c r="AI56" s="22">
        <v>3.25</v>
      </c>
      <c r="AJ56" s="43">
        <v>3.25</v>
      </c>
      <c r="AK56" s="22">
        <v>0</v>
      </c>
      <c r="AL56" s="22">
        <v>0</v>
      </c>
      <c r="AM56" s="22">
        <v>0</v>
      </c>
      <c r="AN56" s="22">
        <v>0</v>
      </c>
      <c r="AO56" s="75" t="str">
        <f>VLOOKUP(A56,'Overall scores and ranking'!$A$3:$D$71,4,FALSE)</f>
        <v>Fair</v>
      </c>
    </row>
    <row r="57" spans="1:41" x14ac:dyDescent="0.25">
      <c r="A57" s="19" t="s">
        <v>1115</v>
      </c>
      <c r="B57" s="22">
        <v>3.33</v>
      </c>
      <c r="C57" s="22">
        <v>3.1635</v>
      </c>
      <c r="D57" s="22">
        <v>3.33</v>
      </c>
      <c r="E57" s="22">
        <v>2.5</v>
      </c>
      <c r="F57" s="22">
        <v>2.5</v>
      </c>
      <c r="G57" s="22">
        <v>2.5</v>
      </c>
      <c r="H57" s="22">
        <v>2.5</v>
      </c>
      <c r="I57" s="22">
        <v>2.43055555555555</v>
      </c>
      <c r="J57" s="22">
        <v>4.17</v>
      </c>
      <c r="K57" s="22">
        <v>4.0493370923465202</v>
      </c>
      <c r="L57" s="22">
        <v>4.17</v>
      </c>
      <c r="M57" s="22">
        <v>1.5318501857201801</v>
      </c>
      <c r="N57" s="22">
        <v>1.6299664111440799</v>
      </c>
      <c r="O57" s="22">
        <v>1.6298320557204</v>
      </c>
      <c r="P57" s="22">
        <v>1.5150589350478001</v>
      </c>
      <c r="Q57" s="22">
        <v>0.815403066271018</v>
      </c>
      <c r="R57" s="22">
        <v>1.62903388272516</v>
      </c>
      <c r="S57" s="22">
        <v>1.63</v>
      </c>
      <c r="T57" s="22">
        <v>1.63</v>
      </c>
      <c r="U57" s="22">
        <v>1.8599999999999901</v>
      </c>
      <c r="V57" s="22">
        <v>1.8599999999999901</v>
      </c>
      <c r="W57" s="22">
        <v>1.8598464713165399</v>
      </c>
      <c r="X57" s="22">
        <v>1.8599999999999901</v>
      </c>
      <c r="Y57" s="22">
        <v>1.85942507418397</v>
      </c>
      <c r="Z57" s="22">
        <v>0.93170599900842799</v>
      </c>
      <c r="AA57" s="22">
        <v>1.8229995872884801</v>
      </c>
      <c r="AB57" s="22">
        <v>1.18942509286009</v>
      </c>
      <c r="AC57" s="22">
        <v>1.1457111597374099</v>
      </c>
      <c r="AD57" s="22">
        <v>1.10801650846058</v>
      </c>
      <c r="AE57" s="22">
        <v>1.1436147364942999</v>
      </c>
      <c r="AF57" s="22">
        <v>1.1323219890963101</v>
      </c>
      <c r="AG57" s="22">
        <v>1.10122212126218</v>
      </c>
      <c r="AH57" s="22">
        <v>2.0706317867719601</v>
      </c>
      <c r="AI57" s="22">
        <v>2.63621543541064</v>
      </c>
      <c r="AJ57" s="43">
        <v>3.1091621956252502</v>
      </c>
      <c r="AK57" s="22">
        <v>2.1424119325229398</v>
      </c>
      <c r="AL57" s="22">
        <v>2.22415105241436</v>
      </c>
      <c r="AM57" s="22">
        <v>2.2109269500619</v>
      </c>
      <c r="AN57" s="22">
        <v>3.3516844820470402</v>
      </c>
      <c r="AO57" s="75" t="str">
        <f>VLOOKUP(A57,'Overall scores and ranking'!$A$3:$D$71,4,FALSE)</f>
        <v>Very good</v>
      </c>
    </row>
    <row r="58" spans="1:41" x14ac:dyDescent="0.25">
      <c r="A58" s="19" t="s">
        <v>1197</v>
      </c>
      <c r="B58" s="22">
        <v>2.2197779999999998</v>
      </c>
      <c r="C58" s="22">
        <v>1.665</v>
      </c>
      <c r="D58" s="22">
        <v>1.1098889999999999</v>
      </c>
      <c r="E58" s="22">
        <v>2.5</v>
      </c>
      <c r="F58" s="22">
        <v>2.5</v>
      </c>
      <c r="G58" s="22">
        <v>1.25</v>
      </c>
      <c r="H58" s="22">
        <v>1.25</v>
      </c>
      <c r="I58" s="22">
        <v>1.25</v>
      </c>
      <c r="J58" s="22">
        <v>4.17</v>
      </c>
      <c r="K58" s="22">
        <v>1.389861</v>
      </c>
      <c r="L58" s="22">
        <v>0</v>
      </c>
      <c r="M58" s="22">
        <v>1.54849999999999</v>
      </c>
      <c r="N58" s="22">
        <v>1.54849999999999</v>
      </c>
      <c r="O58" s="22">
        <v>1.5483644678492201</v>
      </c>
      <c r="P58" s="22">
        <v>1.3458794345898</v>
      </c>
      <c r="Q58" s="22">
        <v>1.1817499999999901</v>
      </c>
      <c r="R58" s="22">
        <v>1.54849999999999</v>
      </c>
      <c r="S58" s="22">
        <v>1.54849999999999</v>
      </c>
      <c r="T58" s="22">
        <v>1.54849999999999</v>
      </c>
      <c r="U58" s="22">
        <v>1.7669999999999999</v>
      </c>
      <c r="V58" s="22">
        <v>1.7669999999999999</v>
      </c>
      <c r="W58" s="22">
        <v>1.7669999999999999</v>
      </c>
      <c r="X58" s="22">
        <v>1.7669999999999999</v>
      </c>
      <c r="Y58" s="22">
        <v>1.7669999999999999</v>
      </c>
      <c r="Z58" s="22">
        <v>0</v>
      </c>
      <c r="AA58" s="22">
        <v>1.7669999999999999</v>
      </c>
      <c r="AB58" s="22">
        <v>0</v>
      </c>
      <c r="AC58" s="22">
        <v>0</v>
      </c>
      <c r="AD58" s="22">
        <v>1.085</v>
      </c>
      <c r="AE58" s="22">
        <v>0</v>
      </c>
      <c r="AF58" s="22">
        <v>1.085</v>
      </c>
      <c r="AG58" s="22">
        <v>1.085</v>
      </c>
      <c r="AH58" s="22">
        <v>0</v>
      </c>
      <c r="AI58" s="22">
        <v>2.5735171840354698</v>
      </c>
      <c r="AJ58" s="43">
        <v>3.0874999999999999</v>
      </c>
      <c r="AK58" s="22">
        <v>0</v>
      </c>
      <c r="AL58" s="22">
        <v>0</v>
      </c>
      <c r="AM58" s="22">
        <v>0</v>
      </c>
      <c r="AN58" s="22">
        <v>3.1392499999999899</v>
      </c>
      <c r="AO58" s="75" t="str">
        <f>VLOOKUP(A58,'Overall scores and ranking'!$A$3:$D$71,4,FALSE)</f>
        <v>Fair</v>
      </c>
    </row>
    <row r="59" spans="1:41" x14ac:dyDescent="0.25">
      <c r="A59" s="19" t="s">
        <v>2666</v>
      </c>
      <c r="B59" s="22">
        <v>2.2197779999999998</v>
      </c>
      <c r="C59" s="22">
        <v>1.0323</v>
      </c>
      <c r="D59" s="22">
        <v>0</v>
      </c>
      <c r="E59" s="22">
        <v>1.25</v>
      </c>
      <c r="F59" s="22">
        <v>1.25</v>
      </c>
      <c r="G59" s="22">
        <v>1.25</v>
      </c>
      <c r="H59" s="22">
        <v>1.25</v>
      </c>
      <c r="I59" s="22">
        <v>0</v>
      </c>
      <c r="J59" s="22">
        <v>0.69493050000000001</v>
      </c>
      <c r="K59" s="22">
        <v>0</v>
      </c>
      <c r="L59" s="22">
        <v>2.085</v>
      </c>
      <c r="M59" s="22">
        <v>0</v>
      </c>
      <c r="N59" s="22">
        <v>1.63</v>
      </c>
      <c r="O59" s="22">
        <v>1.2224999999999999</v>
      </c>
      <c r="P59" s="22">
        <v>1.63</v>
      </c>
      <c r="Q59" s="22">
        <v>0</v>
      </c>
      <c r="R59" s="22">
        <v>1.63</v>
      </c>
      <c r="S59" s="22">
        <v>0</v>
      </c>
      <c r="T59" s="22">
        <v>0</v>
      </c>
      <c r="U59" s="22">
        <v>0</v>
      </c>
      <c r="V59" s="22">
        <v>1.39499999999999</v>
      </c>
      <c r="W59" s="22">
        <v>0</v>
      </c>
      <c r="X59" s="22">
        <v>0</v>
      </c>
      <c r="Y59" s="22">
        <v>1.6868016194331901</v>
      </c>
      <c r="Z59" s="22">
        <v>0</v>
      </c>
      <c r="AA59" s="22">
        <v>1.8599999999999901</v>
      </c>
      <c r="AB59" s="22">
        <v>0</v>
      </c>
      <c r="AC59" s="22">
        <v>0</v>
      </c>
      <c r="AD59" s="22">
        <v>0</v>
      </c>
      <c r="AE59" s="22">
        <v>0</v>
      </c>
      <c r="AF59" s="22">
        <v>1.085</v>
      </c>
      <c r="AG59" s="22">
        <v>1.085</v>
      </c>
      <c r="AH59" s="22">
        <v>0</v>
      </c>
      <c r="AI59" s="22">
        <v>3.25</v>
      </c>
      <c r="AJ59" s="43">
        <v>3.25</v>
      </c>
      <c r="AK59" s="22">
        <v>0</v>
      </c>
      <c r="AL59" s="22">
        <v>0</v>
      </c>
      <c r="AM59" s="22">
        <v>0</v>
      </c>
      <c r="AN59" s="22">
        <v>0</v>
      </c>
      <c r="AO59" s="75" t="str">
        <f>VLOOKUP(A59,'Overall scores and ranking'!$A$3:$D$71,4,FALSE)</f>
        <v>Poor</v>
      </c>
    </row>
    <row r="60" spans="1:41" x14ac:dyDescent="0.25">
      <c r="A60" s="19" t="s">
        <v>2625</v>
      </c>
      <c r="B60" s="22">
        <v>2.2197779999999998</v>
      </c>
      <c r="C60" s="22">
        <v>2.4975000000000001</v>
      </c>
      <c r="D60" s="22">
        <v>3.33</v>
      </c>
      <c r="E60" s="22">
        <v>2.5</v>
      </c>
      <c r="F60" s="22">
        <v>2.5</v>
      </c>
      <c r="G60" s="22">
        <v>2.5</v>
      </c>
      <c r="H60" s="22">
        <v>2.5</v>
      </c>
      <c r="I60" s="22">
        <v>2.38636363636363</v>
      </c>
      <c r="J60" s="22">
        <v>2.78</v>
      </c>
      <c r="K60" s="22">
        <v>4.17</v>
      </c>
      <c r="L60" s="22">
        <v>4.17</v>
      </c>
      <c r="M60" s="22">
        <v>1.63</v>
      </c>
      <c r="N60" s="22">
        <v>1.63</v>
      </c>
      <c r="O60" s="22">
        <v>1.63</v>
      </c>
      <c r="P60" s="22">
        <v>1.62724351747463</v>
      </c>
      <c r="Q60" s="22">
        <v>1.63</v>
      </c>
      <c r="R60" s="22">
        <v>1.63</v>
      </c>
      <c r="S60" s="22">
        <v>1.63</v>
      </c>
      <c r="T60" s="22">
        <v>1.63</v>
      </c>
      <c r="U60" s="22">
        <v>1.8599999999999901</v>
      </c>
      <c r="V60" s="22">
        <v>0.92999999999999905</v>
      </c>
      <c r="W60" s="22">
        <v>0.92999999999999905</v>
      </c>
      <c r="X60" s="22">
        <v>0.92999999999999905</v>
      </c>
      <c r="Y60" s="22">
        <v>1.8595967042497801</v>
      </c>
      <c r="Z60" s="22">
        <v>0.95609693877551005</v>
      </c>
      <c r="AA60" s="22">
        <v>0.92999999999999905</v>
      </c>
      <c r="AB60" s="22">
        <v>2.17</v>
      </c>
      <c r="AC60" s="22">
        <v>1.26583333333333</v>
      </c>
      <c r="AD60" s="22">
        <v>2.17</v>
      </c>
      <c r="AE60" s="22">
        <v>2.17</v>
      </c>
      <c r="AF60" s="22">
        <v>1.085</v>
      </c>
      <c r="AG60" s="22">
        <v>1.085</v>
      </c>
      <c r="AH60" s="22">
        <v>2.3472222222222201</v>
      </c>
      <c r="AI60" s="22">
        <v>3.25</v>
      </c>
      <c r="AJ60" s="43">
        <v>3.25</v>
      </c>
      <c r="AK60" s="22">
        <v>3.25</v>
      </c>
      <c r="AL60" s="22">
        <v>3.56582136015325</v>
      </c>
      <c r="AM60" s="22">
        <v>3.9691666666666601</v>
      </c>
      <c r="AN60" s="22">
        <v>4.33</v>
      </c>
      <c r="AO60" s="75" t="str">
        <f>VLOOKUP(A60,'Overall scores and ranking'!$A$3:$D$71,4,FALSE)</f>
        <v>Very good</v>
      </c>
    </row>
    <row r="61" spans="1:41" x14ac:dyDescent="0.25">
      <c r="A61" s="19" t="s">
        <v>2054</v>
      </c>
      <c r="B61" s="22">
        <v>2.2197779999999998</v>
      </c>
      <c r="C61" s="22">
        <v>1.0323</v>
      </c>
      <c r="D61" s="22">
        <v>0</v>
      </c>
      <c r="E61" s="22">
        <v>1.25</v>
      </c>
      <c r="F61" s="22">
        <v>1.25</v>
      </c>
      <c r="G61" s="22">
        <v>1.25</v>
      </c>
      <c r="H61" s="22">
        <v>1.25</v>
      </c>
      <c r="I61" s="22">
        <v>0</v>
      </c>
      <c r="J61" s="22">
        <v>0.2316435</v>
      </c>
      <c r="K61" s="22">
        <v>0.69493050000000001</v>
      </c>
      <c r="L61" s="22">
        <v>2.085</v>
      </c>
      <c r="M61" s="22">
        <v>1.63</v>
      </c>
      <c r="N61" s="22">
        <v>1.63</v>
      </c>
      <c r="O61" s="22">
        <v>1.48749668214996</v>
      </c>
      <c r="P61" s="22">
        <v>1.5603707697411999</v>
      </c>
      <c r="Q61" s="22">
        <v>1.63</v>
      </c>
      <c r="R61" s="22">
        <v>0</v>
      </c>
      <c r="S61" s="22">
        <v>1.63</v>
      </c>
      <c r="T61" s="22">
        <v>1.63</v>
      </c>
      <c r="U61" s="22">
        <v>1.8599999999999901</v>
      </c>
      <c r="V61" s="22">
        <v>1.8599999999999901</v>
      </c>
      <c r="W61" s="22">
        <v>1.8599999999999901</v>
      </c>
      <c r="X61" s="22">
        <v>1.8599999999999901</v>
      </c>
      <c r="Y61" s="22">
        <v>1.8599999999999901</v>
      </c>
      <c r="Z61" s="22">
        <v>0</v>
      </c>
      <c r="AA61" s="22">
        <v>1.8599999999999901</v>
      </c>
      <c r="AB61" s="22">
        <v>1.085</v>
      </c>
      <c r="AC61" s="22">
        <v>0</v>
      </c>
      <c r="AD61" s="22">
        <v>0</v>
      </c>
      <c r="AE61" s="22">
        <v>0</v>
      </c>
      <c r="AF61" s="22">
        <v>0</v>
      </c>
      <c r="AG61" s="22">
        <v>1.085</v>
      </c>
      <c r="AH61" s="22">
        <v>2.4375</v>
      </c>
      <c r="AI61" s="22">
        <v>0</v>
      </c>
      <c r="AJ61" s="43">
        <v>0</v>
      </c>
      <c r="AK61" s="22">
        <v>2.4375</v>
      </c>
      <c r="AL61" s="22">
        <v>0</v>
      </c>
      <c r="AM61" s="22">
        <v>0</v>
      </c>
      <c r="AN61" s="22">
        <v>0</v>
      </c>
      <c r="AO61" s="75" t="str">
        <f>VLOOKUP(A61,'Overall scores and ranking'!$A$3:$D$71,4,FALSE)</f>
        <v>Fair</v>
      </c>
    </row>
    <row r="62" spans="1:41" x14ac:dyDescent="0.25">
      <c r="A62" s="19" t="s">
        <v>1400</v>
      </c>
      <c r="B62" s="22">
        <v>2.2197779999999998</v>
      </c>
      <c r="C62" s="22">
        <v>1.0323</v>
      </c>
      <c r="D62" s="22">
        <v>2.2197779999999998</v>
      </c>
      <c r="E62" s="22">
        <v>1.25</v>
      </c>
      <c r="F62" s="22">
        <v>1.25</v>
      </c>
      <c r="G62" s="22">
        <v>1.25</v>
      </c>
      <c r="H62" s="22">
        <v>1.25</v>
      </c>
      <c r="I62" s="22">
        <v>1.25</v>
      </c>
      <c r="J62" s="22">
        <v>0.2316435</v>
      </c>
      <c r="K62" s="22">
        <v>0</v>
      </c>
      <c r="L62" s="22">
        <v>2.085</v>
      </c>
      <c r="M62" s="22">
        <v>1.63</v>
      </c>
      <c r="N62" s="22">
        <v>1.63</v>
      </c>
      <c r="O62" s="22">
        <v>1.63</v>
      </c>
      <c r="P62" s="22">
        <v>1.2224999999999999</v>
      </c>
      <c r="Q62" s="22">
        <v>0</v>
      </c>
      <c r="R62" s="22">
        <v>1.63</v>
      </c>
      <c r="S62" s="22">
        <v>0</v>
      </c>
      <c r="T62" s="22">
        <v>1.63</v>
      </c>
      <c r="U62" s="22">
        <v>0</v>
      </c>
      <c r="V62" s="22">
        <v>1.39499999999999</v>
      </c>
      <c r="W62" s="22">
        <v>0.92999999999999905</v>
      </c>
      <c r="X62" s="22">
        <v>0.92999999999999905</v>
      </c>
      <c r="Y62" s="22">
        <v>1.60645263157894</v>
      </c>
      <c r="Z62" s="22">
        <v>0</v>
      </c>
      <c r="AA62" s="22">
        <v>1.8599999999999901</v>
      </c>
      <c r="AB62" s="22">
        <v>0</v>
      </c>
      <c r="AC62" s="22">
        <v>0</v>
      </c>
      <c r="AD62" s="22">
        <v>0</v>
      </c>
      <c r="AE62" s="22">
        <v>0</v>
      </c>
      <c r="AF62" s="22">
        <v>1.085</v>
      </c>
      <c r="AG62" s="22">
        <v>1.085</v>
      </c>
      <c r="AH62" s="22">
        <v>0</v>
      </c>
      <c r="AI62" s="22">
        <v>3.25</v>
      </c>
      <c r="AJ62" s="43">
        <v>3.25</v>
      </c>
      <c r="AK62" s="22">
        <v>0</v>
      </c>
      <c r="AL62" s="22">
        <v>0</v>
      </c>
      <c r="AM62" s="22">
        <v>0</v>
      </c>
      <c r="AN62" s="22">
        <v>0</v>
      </c>
      <c r="AO62" s="75" t="str">
        <f>VLOOKUP(A62,'Overall scores and ranking'!$A$3:$D$71,4,FALSE)</f>
        <v>Poor</v>
      </c>
    </row>
    <row r="63" spans="1:41" x14ac:dyDescent="0.25">
      <c r="A63" s="19" t="s">
        <v>2584</v>
      </c>
      <c r="B63" s="22">
        <v>2.2197779999999998</v>
      </c>
      <c r="C63" s="22">
        <v>1.0323</v>
      </c>
      <c r="D63" s="22">
        <v>2.2197779999999998</v>
      </c>
      <c r="E63" s="22">
        <v>1.25</v>
      </c>
      <c r="F63" s="22">
        <v>1.25</v>
      </c>
      <c r="G63" s="22">
        <v>1.25</v>
      </c>
      <c r="H63" s="22">
        <v>1.25</v>
      </c>
      <c r="I63" s="22">
        <v>0</v>
      </c>
      <c r="J63" s="22">
        <v>0.2316435</v>
      </c>
      <c r="K63" s="22">
        <v>2.78</v>
      </c>
      <c r="L63" s="22">
        <v>2.085</v>
      </c>
      <c r="M63" s="22">
        <v>0.81499999999999995</v>
      </c>
      <c r="N63" s="22">
        <v>0.81499999999999995</v>
      </c>
      <c r="O63" s="22">
        <v>0.81499999999999995</v>
      </c>
      <c r="P63" s="22">
        <v>0.81499999999999995</v>
      </c>
      <c r="Q63" s="22">
        <v>0.81499999999999995</v>
      </c>
      <c r="R63" s="22">
        <v>0</v>
      </c>
      <c r="S63" s="22">
        <v>0.81499999999999995</v>
      </c>
      <c r="T63" s="22">
        <v>0.81499999999999995</v>
      </c>
      <c r="U63" s="22">
        <v>0.92999999999999905</v>
      </c>
      <c r="V63" s="22">
        <v>0.92999999999999905</v>
      </c>
      <c r="W63" s="22">
        <v>0.92999999999999905</v>
      </c>
      <c r="X63" s="22">
        <v>0.92999999999999905</v>
      </c>
      <c r="Y63" s="22">
        <v>0.92999999999999905</v>
      </c>
      <c r="Z63" s="22">
        <v>0.92999999999999905</v>
      </c>
      <c r="AA63" s="22">
        <v>0.92999999999999905</v>
      </c>
      <c r="AB63" s="22">
        <v>0</v>
      </c>
      <c r="AC63" s="22">
        <v>0</v>
      </c>
      <c r="AD63" s="22">
        <v>1.085</v>
      </c>
      <c r="AE63" s="22">
        <v>0</v>
      </c>
      <c r="AF63" s="22">
        <v>1.085</v>
      </c>
      <c r="AG63" s="22">
        <v>1.085</v>
      </c>
      <c r="AH63" s="22">
        <v>0</v>
      </c>
      <c r="AI63" s="22">
        <v>1.625</v>
      </c>
      <c r="AJ63" s="43">
        <v>0</v>
      </c>
      <c r="AK63" s="22">
        <v>0</v>
      </c>
      <c r="AL63" s="22">
        <v>0</v>
      </c>
      <c r="AM63" s="22">
        <v>0</v>
      </c>
      <c r="AN63" s="22">
        <v>2.165</v>
      </c>
      <c r="AO63" s="75" t="str">
        <f>VLOOKUP(A63,'Overall scores and ranking'!$A$3:$D$71,4,FALSE)</f>
        <v>Poor</v>
      </c>
    </row>
    <row r="64" spans="1:41" x14ac:dyDescent="0.25">
      <c r="A64" s="19" t="s">
        <v>1278</v>
      </c>
      <c r="B64" s="22">
        <v>2.2197779999999998</v>
      </c>
      <c r="C64" s="22">
        <v>1.0323</v>
      </c>
      <c r="D64" s="22">
        <v>2.2197779999999998</v>
      </c>
      <c r="E64" s="22">
        <v>1.25</v>
      </c>
      <c r="F64" s="22">
        <v>1.25</v>
      </c>
      <c r="G64" s="22">
        <v>1.25</v>
      </c>
      <c r="H64" s="22">
        <v>1.25</v>
      </c>
      <c r="I64" s="22">
        <v>0</v>
      </c>
      <c r="J64" s="22">
        <v>0.2316435</v>
      </c>
      <c r="K64" s="22">
        <v>0</v>
      </c>
      <c r="L64" s="22">
        <v>2.085</v>
      </c>
      <c r="M64" s="22">
        <v>1.6266009750939801</v>
      </c>
      <c r="N64" s="22">
        <v>1.63</v>
      </c>
      <c r="O64" s="22">
        <v>1.60655390918702</v>
      </c>
      <c r="P64" s="22">
        <v>1.28538196076127</v>
      </c>
      <c r="Q64" s="22">
        <v>0.81499999999999995</v>
      </c>
      <c r="R64" s="22">
        <v>1.62871938146146</v>
      </c>
      <c r="S64" s="22">
        <v>0</v>
      </c>
      <c r="T64" s="22">
        <v>1.63</v>
      </c>
      <c r="U64" s="22">
        <v>0</v>
      </c>
      <c r="V64" s="22">
        <v>1.39499999999999</v>
      </c>
      <c r="W64" s="22">
        <v>0.92999999999999905</v>
      </c>
      <c r="X64" s="22">
        <v>0.92999999999999905</v>
      </c>
      <c r="Y64" s="22">
        <v>1.81163989074248</v>
      </c>
      <c r="Z64" s="22">
        <v>0.61993799999999899</v>
      </c>
      <c r="AA64" s="22">
        <v>1.8599999999999901</v>
      </c>
      <c r="AB64" s="22">
        <v>0</v>
      </c>
      <c r="AC64" s="22">
        <v>1.085</v>
      </c>
      <c r="AD64" s="22">
        <v>0</v>
      </c>
      <c r="AE64" s="22">
        <v>0</v>
      </c>
      <c r="AF64" s="22">
        <v>1.085</v>
      </c>
      <c r="AG64" s="22">
        <v>1.085</v>
      </c>
      <c r="AH64" s="22">
        <v>0</v>
      </c>
      <c r="AI64" s="22">
        <v>3.25</v>
      </c>
      <c r="AJ64" s="43">
        <v>3.25</v>
      </c>
      <c r="AK64" s="22">
        <v>0</v>
      </c>
      <c r="AL64" s="22">
        <v>0</v>
      </c>
      <c r="AM64" s="22">
        <v>0</v>
      </c>
      <c r="AN64" s="22">
        <v>0</v>
      </c>
      <c r="AO64" s="75" t="str">
        <f>VLOOKUP(A64,'Overall scores and ranking'!$A$3:$D$71,4,FALSE)</f>
        <v>Fair</v>
      </c>
    </row>
    <row r="65" spans="1:41" x14ac:dyDescent="0.25">
      <c r="A65" s="19" t="s">
        <v>2543</v>
      </c>
      <c r="B65" s="22">
        <v>3.33</v>
      </c>
      <c r="C65" s="22">
        <v>2.9304000000000001</v>
      </c>
      <c r="D65" s="22">
        <v>3.33</v>
      </c>
      <c r="E65" s="22">
        <v>2.5</v>
      </c>
      <c r="F65" s="22">
        <v>2.5</v>
      </c>
      <c r="G65" s="22">
        <v>2.5</v>
      </c>
      <c r="H65" s="22">
        <v>2.5</v>
      </c>
      <c r="I65" s="22">
        <v>2.5</v>
      </c>
      <c r="J65" s="22">
        <v>2.78</v>
      </c>
      <c r="K65" s="22">
        <v>2.78</v>
      </c>
      <c r="L65" s="22">
        <v>4.17</v>
      </c>
      <c r="M65" s="22">
        <v>1.5065817201666201</v>
      </c>
      <c r="N65" s="22">
        <v>1.63</v>
      </c>
      <c r="O65" s="22">
        <v>1.6287756634952399</v>
      </c>
      <c r="P65" s="22">
        <v>1.6205702479338799</v>
      </c>
      <c r="Q65" s="22">
        <v>1.62986396261058</v>
      </c>
      <c r="R65" s="22">
        <v>1.63</v>
      </c>
      <c r="S65" s="22">
        <v>1.63</v>
      </c>
      <c r="T65" s="22">
        <v>1.63</v>
      </c>
      <c r="U65" s="22">
        <v>1.85817691742219</v>
      </c>
      <c r="V65" s="22">
        <v>1.8599999999999901</v>
      </c>
      <c r="W65" s="22">
        <v>1.8599999999999901</v>
      </c>
      <c r="X65" s="22">
        <v>1.7456015682430699</v>
      </c>
      <c r="Y65" s="22">
        <v>1.8575502873563201</v>
      </c>
      <c r="Z65" s="22">
        <v>1.0627806563039699</v>
      </c>
      <c r="AA65" s="22">
        <v>1.8599999999999901</v>
      </c>
      <c r="AB65" s="22">
        <v>1.13996833621185</v>
      </c>
      <c r="AC65" s="22">
        <v>1.6595758354755701</v>
      </c>
      <c r="AD65" s="22">
        <v>1.9138975244674701</v>
      </c>
      <c r="AE65" s="22">
        <v>1.7352504317789199</v>
      </c>
      <c r="AF65" s="22">
        <v>1.2461571675302201</v>
      </c>
      <c r="AG65" s="22">
        <v>1.2124265975820301</v>
      </c>
      <c r="AH65" s="22">
        <v>2.8053630062021102</v>
      </c>
      <c r="AI65" s="22">
        <v>3.1898738054398401</v>
      </c>
      <c r="AJ65" s="43">
        <v>2.9656946826758102</v>
      </c>
      <c r="AK65" s="22">
        <v>3.14103557263262</v>
      </c>
      <c r="AL65" s="22">
        <v>2.9907412204950998</v>
      </c>
      <c r="AM65" s="22">
        <v>3.5908837075417299</v>
      </c>
      <c r="AN65" s="22">
        <v>3.9155713874496199</v>
      </c>
      <c r="AO65" s="75" t="str">
        <f>VLOOKUP(A65,'Overall scores and ranking'!$A$3:$D$71,4,FALSE)</f>
        <v>Very good</v>
      </c>
    </row>
    <row r="66" spans="1:41" x14ac:dyDescent="0.25">
      <c r="A66" s="19" t="s">
        <v>1359</v>
      </c>
      <c r="B66" s="22">
        <v>3.33</v>
      </c>
      <c r="C66" s="22">
        <v>2.0979000000000001</v>
      </c>
      <c r="D66" s="22">
        <v>0</v>
      </c>
      <c r="E66" s="22">
        <v>1.25</v>
      </c>
      <c r="F66" s="22">
        <v>1.25</v>
      </c>
      <c r="G66" s="22">
        <v>0</v>
      </c>
      <c r="H66" s="22">
        <v>1.25</v>
      </c>
      <c r="I66" s="22">
        <v>1.25</v>
      </c>
      <c r="J66" s="22">
        <v>0.2316435</v>
      </c>
      <c r="K66" s="22">
        <v>0</v>
      </c>
      <c r="L66" s="22">
        <v>2.085</v>
      </c>
      <c r="M66" s="22">
        <v>0</v>
      </c>
      <c r="N66" s="22">
        <v>1.54849999999999</v>
      </c>
      <c r="O66" s="22">
        <v>1.5447947614593001</v>
      </c>
      <c r="P66" s="22">
        <v>1.50458606173994</v>
      </c>
      <c r="Q66" s="22">
        <v>1.1817499999999901</v>
      </c>
      <c r="R66" s="22">
        <v>1.54849999999999</v>
      </c>
      <c r="S66" s="22">
        <v>1.54849999999999</v>
      </c>
      <c r="T66" s="22">
        <v>0</v>
      </c>
      <c r="U66" s="22">
        <v>0.92999999999999905</v>
      </c>
      <c r="V66" s="22">
        <v>1.7668434050514501</v>
      </c>
      <c r="W66" s="22">
        <v>1.6652915809167399</v>
      </c>
      <c r="X66" s="22">
        <v>1.50118007483629</v>
      </c>
      <c r="Y66" s="22">
        <v>1.58511496725912</v>
      </c>
      <c r="Z66" s="22">
        <v>0</v>
      </c>
      <c r="AA66" s="22">
        <v>0.92999999999999905</v>
      </c>
      <c r="AB66" s="22">
        <v>0</v>
      </c>
      <c r="AC66" s="22">
        <v>1.085</v>
      </c>
      <c r="AD66" s="22">
        <v>0</v>
      </c>
      <c r="AE66" s="22">
        <v>0</v>
      </c>
      <c r="AF66" s="22">
        <v>0</v>
      </c>
      <c r="AG66" s="22">
        <v>0</v>
      </c>
      <c r="AH66" s="22">
        <v>0</v>
      </c>
      <c r="AI66" s="22">
        <v>1.625</v>
      </c>
      <c r="AJ66" s="43">
        <v>3.0874999999999999</v>
      </c>
      <c r="AK66" s="22">
        <v>0</v>
      </c>
      <c r="AL66" s="22">
        <v>0</v>
      </c>
      <c r="AM66" s="22">
        <v>0</v>
      </c>
      <c r="AN66" s="22">
        <v>0</v>
      </c>
      <c r="AO66" s="75" t="str">
        <f>VLOOKUP(A66,'Overall scores and ranking'!$A$3:$D$71,4,FALSE)</f>
        <v>Poor</v>
      </c>
    </row>
    <row r="67" spans="1:41" x14ac:dyDescent="0.25">
      <c r="A67" s="19" t="s">
        <v>2176</v>
      </c>
      <c r="B67" s="22">
        <v>3.33</v>
      </c>
      <c r="C67" s="22">
        <v>0</v>
      </c>
      <c r="D67" s="22">
        <v>0</v>
      </c>
      <c r="E67" s="22">
        <v>1.25</v>
      </c>
      <c r="F67" s="22">
        <v>1.25</v>
      </c>
      <c r="G67" s="22">
        <v>0</v>
      </c>
      <c r="H67" s="22">
        <v>1.25</v>
      </c>
      <c r="I67" s="22">
        <v>0</v>
      </c>
      <c r="J67" s="22">
        <v>0.463287</v>
      </c>
      <c r="K67" s="22">
        <v>0</v>
      </c>
      <c r="L67" s="22">
        <v>2.085</v>
      </c>
      <c r="M67" s="22">
        <v>0</v>
      </c>
      <c r="N67" s="22">
        <v>0</v>
      </c>
      <c r="O67" s="22">
        <v>0</v>
      </c>
      <c r="P67" s="22">
        <v>0</v>
      </c>
      <c r="Q67" s="22">
        <v>0</v>
      </c>
      <c r="R67" s="22">
        <v>0</v>
      </c>
      <c r="S67" s="22">
        <v>0</v>
      </c>
      <c r="T67" s="22">
        <v>0</v>
      </c>
      <c r="U67" s="22">
        <v>0</v>
      </c>
      <c r="V67" s="22">
        <v>0</v>
      </c>
      <c r="W67" s="22">
        <v>0</v>
      </c>
      <c r="X67" s="22">
        <v>0</v>
      </c>
      <c r="Y67" s="22">
        <v>0</v>
      </c>
      <c r="Z67" s="22">
        <v>0</v>
      </c>
      <c r="AA67" s="22">
        <v>0</v>
      </c>
      <c r="AB67" s="22">
        <v>0</v>
      </c>
      <c r="AC67" s="22">
        <v>0</v>
      </c>
      <c r="AD67" s="22">
        <v>0</v>
      </c>
      <c r="AE67" s="22">
        <v>0</v>
      </c>
      <c r="AF67" s="22">
        <v>0</v>
      </c>
      <c r="AG67" s="22">
        <v>0</v>
      </c>
      <c r="AH67" s="22">
        <v>0</v>
      </c>
      <c r="AI67" s="22">
        <v>0</v>
      </c>
      <c r="AJ67" s="43">
        <v>0</v>
      </c>
      <c r="AK67" s="22">
        <v>0</v>
      </c>
      <c r="AL67" s="22">
        <v>0</v>
      </c>
      <c r="AM67" s="22">
        <v>0</v>
      </c>
      <c r="AN67" s="22">
        <v>0</v>
      </c>
      <c r="AO67" s="75" t="str">
        <f>VLOOKUP(A67,'Overall scores and ranking'!$A$3:$D$71,4,FALSE)</f>
        <v>Very Poor</v>
      </c>
    </row>
    <row r="68" spans="1:41" x14ac:dyDescent="0.25">
      <c r="A68" s="19" t="s">
        <v>1032</v>
      </c>
      <c r="B68" s="22">
        <v>0</v>
      </c>
      <c r="C68" s="22">
        <v>1.0656000000000001</v>
      </c>
      <c r="D68" s="22">
        <v>2.2197779999999998</v>
      </c>
      <c r="E68" s="22">
        <v>1.25</v>
      </c>
      <c r="F68" s="22">
        <v>1.25</v>
      </c>
      <c r="G68" s="22">
        <v>1.25</v>
      </c>
      <c r="H68" s="22">
        <v>1.25</v>
      </c>
      <c r="I68" s="22">
        <v>1.25</v>
      </c>
      <c r="J68" s="22">
        <v>0.92657400000000001</v>
      </c>
      <c r="K68" s="22">
        <v>0.92657400000000001</v>
      </c>
      <c r="L68" s="22">
        <v>2.085</v>
      </c>
      <c r="M68" s="22">
        <v>1.63</v>
      </c>
      <c r="N68" s="22">
        <v>1.63</v>
      </c>
      <c r="O68" s="22">
        <v>1.6281539529446101</v>
      </c>
      <c r="P68" s="22">
        <v>1.5596715621803201</v>
      </c>
      <c r="Q68" s="22">
        <v>1.59051841297676</v>
      </c>
      <c r="R68" s="22">
        <v>0</v>
      </c>
      <c r="S68" s="22">
        <v>0</v>
      </c>
      <c r="T68" s="22">
        <v>0</v>
      </c>
      <c r="U68" s="22">
        <v>0.61993799999999899</v>
      </c>
      <c r="V68" s="22">
        <v>0</v>
      </c>
      <c r="W68" s="22">
        <v>0.92999999999999905</v>
      </c>
      <c r="X68" s="22">
        <v>1.39506795265234</v>
      </c>
      <c r="Y68" s="22">
        <v>1.8599999999999901</v>
      </c>
      <c r="Z68" s="22">
        <v>0.309968999999999</v>
      </c>
      <c r="AA68" s="22">
        <v>0</v>
      </c>
      <c r="AB68" s="22">
        <v>1.085</v>
      </c>
      <c r="AC68" s="22">
        <v>1.085</v>
      </c>
      <c r="AD68" s="22">
        <v>2.0580593307028998</v>
      </c>
      <c r="AE68" s="22">
        <v>1.085</v>
      </c>
      <c r="AF68" s="22">
        <v>0</v>
      </c>
      <c r="AG68" s="22">
        <v>1.085</v>
      </c>
      <c r="AH68" s="22">
        <v>1.93050379950314</v>
      </c>
      <c r="AI68" s="22">
        <v>2.0108870378488901</v>
      </c>
      <c r="AJ68" s="43">
        <v>2.1657167908811901</v>
      </c>
      <c r="AK68" s="22">
        <v>0</v>
      </c>
      <c r="AL68" s="22">
        <v>0</v>
      </c>
      <c r="AM68" s="22">
        <v>2.165</v>
      </c>
      <c r="AN68" s="22">
        <v>0</v>
      </c>
      <c r="AO68" s="75" t="str">
        <f>VLOOKUP(A68,'Overall scores and ranking'!$A$3:$D$71,4,FALSE)</f>
        <v>Fair</v>
      </c>
    </row>
    <row r="69" spans="1:41" x14ac:dyDescent="0.25">
      <c r="A69" s="19" t="s">
        <v>1605</v>
      </c>
      <c r="B69" s="22">
        <v>2.2197779999999998</v>
      </c>
      <c r="C69" s="22">
        <v>3.2301000000000002</v>
      </c>
      <c r="D69" s="22">
        <v>3.33</v>
      </c>
      <c r="E69" s="22">
        <v>2.5</v>
      </c>
      <c r="F69" s="22">
        <v>2.5</v>
      </c>
      <c r="G69" s="22">
        <v>2.5</v>
      </c>
      <c r="H69" s="22">
        <v>2.5</v>
      </c>
      <c r="I69" s="22">
        <v>2.4918831168831099</v>
      </c>
      <c r="J69" s="22">
        <v>4.17</v>
      </c>
      <c r="K69" s="22">
        <v>4.17</v>
      </c>
      <c r="L69" s="22">
        <v>4.17</v>
      </c>
      <c r="M69" s="22">
        <v>1.62463815789473</v>
      </c>
      <c r="N69" s="22">
        <v>1.63</v>
      </c>
      <c r="O69" s="22">
        <v>1.6230788140643599</v>
      </c>
      <c r="P69" s="22">
        <v>1.56155716130313</v>
      </c>
      <c r="Q69" s="22">
        <v>1.63</v>
      </c>
      <c r="R69" s="22">
        <v>1.6120879120879099</v>
      </c>
      <c r="S69" s="22">
        <v>1.63</v>
      </c>
      <c r="T69" s="22">
        <v>1.63</v>
      </c>
      <c r="U69" s="22">
        <v>1.8599999999999901</v>
      </c>
      <c r="V69" s="22">
        <v>1.8599999999999901</v>
      </c>
      <c r="W69" s="22">
        <v>1.8599999999999901</v>
      </c>
      <c r="X69" s="22">
        <v>1.8599999999999901</v>
      </c>
      <c r="Y69" s="22">
        <v>1.8599999999999901</v>
      </c>
      <c r="Z69" s="22">
        <v>1.79930563460443</v>
      </c>
      <c r="AA69" s="22">
        <v>1.8599999999999901</v>
      </c>
      <c r="AB69" s="22">
        <v>2.00793737816764</v>
      </c>
      <c r="AC69" s="22">
        <v>1.24</v>
      </c>
      <c r="AD69" s="22">
        <v>1.7332504873294301</v>
      </c>
      <c r="AE69" s="22">
        <v>1.75968810916179</v>
      </c>
      <c r="AF69" s="22">
        <v>1.78268884015594</v>
      </c>
      <c r="AG69" s="22">
        <v>1.1561172027290401</v>
      </c>
      <c r="AH69" s="22">
        <v>2.4375</v>
      </c>
      <c r="AI69" s="22">
        <v>3.2497275318578098</v>
      </c>
      <c r="AJ69" s="43">
        <v>3.25</v>
      </c>
      <c r="AK69" s="22">
        <v>2.1579476861167</v>
      </c>
      <c r="AL69" s="22">
        <v>2.8265277777777702</v>
      </c>
      <c r="AM69" s="22">
        <v>3.45904117933723</v>
      </c>
      <c r="AN69" s="22">
        <v>3.8942568226120802</v>
      </c>
      <c r="AO69" s="75" t="str">
        <f>VLOOKUP(A69,'Overall scores and ranking'!$A$3:$D$71,4,FALSE)</f>
        <v>Very good</v>
      </c>
    </row>
    <row r="70" spans="1:41" x14ac:dyDescent="0.25">
      <c r="A70" s="19" t="s">
        <v>2095</v>
      </c>
      <c r="B70" s="22">
        <v>1.1098889999999999</v>
      </c>
      <c r="C70" s="22">
        <v>3.1301999999999999</v>
      </c>
      <c r="D70" s="22">
        <v>2.2197779999999998</v>
      </c>
      <c r="E70" s="22">
        <v>1.25</v>
      </c>
      <c r="F70" s="22">
        <v>1.25</v>
      </c>
      <c r="G70" s="22">
        <v>1.25</v>
      </c>
      <c r="H70" s="22">
        <v>1.25</v>
      </c>
      <c r="I70" s="22">
        <v>1.25</v>
      </c>
      <c r="J70" s="22">
        <v>4.17</v>
      </c>
      <c r="K70" s="22">
        <v>4.17</v>
      </c>
      <c r="L70" s="22">
        <v>2.1646815286624199</v>
      </c>
      <c r="M70" s="22">
        <v>0</v>
      </c>
      <c r="N70" s="22">
        <v>1.54849999999999</v>
      </c>
      <c r="O70" s="22">
        <v>1.5397531131279001</v>
      </c>
      <c r="P70" s="22">
        <v>1.5117321127057799</v>
      </c>
      <c r="Q70" s="22">
        <v>0.81499999999999995</v>
      </c>
      <c r="R70" s="22">
        <v>1.54849999999999</v>
      </c>
      <c r="S70" s="22">
        <v>1.54849999999999</v>
      </c>
      <c r="T70" s="22">
        <v>1.54849999999999</v>
      </c>
      <c r="U70" s="22">
        <v>1.7669999999999999</v>
      </c>
      <c r="V70" s="22">
        <v>1.7669999999999999</v>
      </c>
      <c r="W70" s="22">
        <v>1.7669999999999999</v>
      </c>
      <c r="X70" s="22">
        <v>1.7669999999999999</v>
      </c>
      <c r="Y70" s="22">
        <v>1.74986428872942</v>
      </c>
      <c r="Z70" s="22">
        <v>1.7669999999999999</v>
      </c>
      <c r="AA70" s="22">
        <v>1.7669999999999999</v>
      </c>
      <c r="AB70" s="22">
        <v>0</v>
      </c>
      <c r="AC70" s="22">
        <v>1.085</v>
      </c>
      <c r="AD70" s="22">
        <v>1.085</v>
      </c>
      <c r="AE70" s="22">
        <v>0</v>
      </c>
      <c r="AF70" s="22">
        <v>1.085</v>
      </c>
      <c r="AG70" s="22">
        <v>1.085</v>
      </c>
      <c r="AH70" s="22">
        <v>2.2844149948114798</v>
      </c>
      <c r="AI70" s="22">
        <v>3.03162990713381</v>
      </c>
      <c r="AJ70" s="43">
        <v>3.0874999999999999</v>
      </c>
      <c r="AK70" s="22">
        <v>0</v>
      </c>
      <c r="AL70" s="22">
        <v>3.1392499999999899</v>
      </c>
      <c r="AM70" s="22">
        <v>0</v>
      </c>
      <c r="AN70" s="22">
        <v>3.1392499999999899</v>
      </c>
      <c r="AO70" s="75" t="str">
        <f>VLOOKUP(A70,'Overall scores and ranking'!$A$3:$D$71,4,FALSE)</f>
        <v>Good</v>
      </c>
    </row>
    <row r="71" spans="1:41" x14ac:dyDescent="0.25">
      <c r="A71" s="19" t="s">
        <v>2707</v>
      </c>
      <c r="B71" s="22">
        <v>1.1098889999999999</v>
      </c>
      <c r="C71" s="22">
        <v>2.9636999999999998</v>
      </c>
      <c r="D71" s="22">
        <v>3.33</v>
      </c>
      <c r="E71" s="22">
        <v>2.5</v>
      </c>
      <c r="F71" s="22">
        <v>2.5</v>
      </c>
      <c r="G71" s="22">
        <v>2.5</v>
      </c>
      <c r="H71" s="22">
        <v>2.5</v>
      </c>
      <c r="I71" s="22">
        <v>2.5</v>
      </c>
      <c r="J71" s="22">
        <v>2.78</v>
      </c>
      <c r="K71" s="22">
        <v>2.3514677938722501</v>
      </c>
      <c r="L71" s="22">
        <v>4.17</v>
      </c>
      <c r="M71" s="22">
        <v>1.54849999999999</v>
      </c>
      <c r="N71" s="22">
        <v>1.54849999999999</v>
      </c>
      <c r="O71" s="22">
        <v>1.53885743427017</v>
      </c>
      <c r="P71" s="22">
        <v>1.5465049864007201</v>
      </c>
      <c r="Q71" s="22">
        <v>1.54849999999999</v>
      </c>
      <c r="R71" s="22">
        <v>1.54849999999999</v>
      </c>
      <c r="S71" s="22">
        <v>1.54849999999999</v>
      </c>
      <c r="T71" s="22">
        <v>1.54849999999999</v>
      </c>
      <c r="U71" s="22">
        <v>1.7669999999999999</v>
      </c>
      <c r="V71" s="22">
        <v>1.7669999999999999</v>
      </c>
      <c r="W71" s="22">
        <v>1.7669999999999999</v>
      </c>
      <c r="X71" s="22">
        <v>1.7669999999999999</v>
      </c>
      <c r="Y71" s="22">
        <v>1.76662058023572</v>
      </c>
      <c r="Z71" s="22">
        <v>1.5029238440616399</v>
      </c>
      <c r="AA71" s="22">
        <v>1.7669999999999999</v>
      </c>
      <c r="AB71" s="22">
        <v>1.90037307343608</v>
      </c>
      <c r="AC71" s="22">
        <v>2.0299999999999998</v>
      </c>
      <c r="AD71" s="22">
        <v>2.0393671804170399</v>
      </c>
      <c r="AE71" s="22">
        <v>2.0393671804170399</v>
      </c>
      <c r="AF71" s="22">
        <v>2.0615000000000001</v>
      </c>
      <c r="AG71" s="22">
        <v>2.0615000000000001</v>
      </c>
      <c r="AH71" s="22">
        <v>0.54161249999999905</v>
      </c>
      <c r="AI71" s="22">
        <v>3.0874999999999999</v>
      </c>
      <c r="AJ71" s="43">
        <v>2.9244106980961</v>
      </c>
      <c r="AK71" s="22">
        <v>0</v>
      </c>
      <c r="AL71" s="22">
        <v>3.0986194469628199</v>
      </c>
      <c r="AM71" s="22">
        <v>3.8202533998186698</v>
      </c>
      <c r="AN71" s="22">
        <v>2.9784943336355401</v>
      </c>
      <c r="AO71" s="75" t="str">
        <f>VLOOKUP(A71,'Overall scores and ranking'!$A$3:$D$71,4,FALSE)</f>
        <v>Very good</v>
      </c>
    </row>
    <row r="72" spans="1:41" x14ac:dyDescent="0.25">
      <c r="A72" s="19" t="s">
        <v>2503</v>
      </c>
      <c r="B72" s="22">
        <v>2.2197779999999998</v>
      </c>
      <c r="C72" s="22">
        <v>0</v>
      </c>
      <c r="D72" s="22">
        <v>3.33</v>
      </c>
      <c r="E72" s="22">
        <v>1.25</v>
      </c>
      <c r="F72" s="22">
        <v>1.25</v>
      </c>
      <c r="G72" s="22">
        <v>1.25</v>
      </c>
      <c r="H72" s="22">
        <v>1.25</v>
      </c>
      <c r="I72" s="22">
        <v>1.25</v>
      </c>
      <c r="J72" s="22">
        <v>0.463287</v>
      </c>
      <c r="K72" s="22">
        <v>0.463287</v>
      </c>
      <c r="L72" s="22">
        <v>2.085</v>
      </c>
      <c r="M72" s="22">
        <v>0.81499999999999995</v>
      </c>
      <c r="N72" s="22">
        <v>0.81499999999999995</v>
      </c>
      <c r="O72" s="22">
        <v>0.81499999999999995</v>
      </c>
      <c r="P72" s="22">
        <v>0.54327899999999996</v>
      </c>
      <c r="Q72" s="22">
        <v>0</v>
      </c>
      <c r="R72" s="22">
        <v>0</v>
      </c>
      <c r="S72" s="22">
        <v>0.81499999999999995</v>
      </c>
      <c r="T72" s="22">
        <v>0.54327899999999996</v>
      </c>
      <c r="U72" s="22">
        <v>0</v>
      </c>
      <c r="V72" s="22">
        <v>0</v>
      </c>
      <c r="W72" s="22">
        <v>0.92999999999999905</v>
      </c>
      <c r="X72" s="22">
        <v>0.92999999999999905</v>
      </c>
      <c r="Y72" s="22">
        <v>0.92999999999999905</v>
      </c>
      <c r="Z72" s="22">
        <v>0</v>
      </c>
      <c r="AA72" s="22">
        <v>0</v>
      </c>
      <c r="AB72" s="22">
        <v>0</v>
      </c>
      <c r="AC72" s="22">
        <v>1.085</v>
      </c>
      <c r="AD72" s="22">
        <v>1.085</v>
      </c>
      <c r="AE72" s="22">
        <v>0</v>
      </c>
      <c r="AF72" s="22">
        <v>0</v>
      </c>
      <c r="AG72" s="22">
        <v>1.085</v>
      </c>
      <c r="AH72" s="22">
        <v>1.625</v>
      </c>
      <c r="AI72" s="22">
        <v>1.625</v>
      </c>
      <c r="AJ72" s="43">
        <v>0</v>
      </c>
      <c r="AK72" s="22">
        <v>0</v>
      </c>
      <c r="AL72" s="22">
        <v>0</v>
      </c>
      <c r="AM72" s="22">
        <v>2.165</v>
      </c>
      <c r="AN72" s="22">
        <v>0</v>
      </c>
      <c r="AO72" s="75" t="str">
        <f>VLOOKUP(A72,'Overall scores and ranking'!$A$3:$D$71,4,FALSE)</f>
        <v>Poor</v>
      </c>
    </row>
    <row r="73" spans="1:41" x14ac:dyDescent="0.25">
      <c r="A73" s="19" t="s">
        <v>2989</v>
      </c>
      <c r="B73" s="22">
        <v>1.1098889999999999</v>
      </c>
      <c r="C73" s="22">
        <v>0.93240000000000001</v>
      </c>
      <c r="D73" s="22">
        <v>0</v>
      </c>
      <c r="E73" s="22">
        <v>1.25</v>
      </c>
      <c r="F73" s="22">
        <v>0</v>
      </c>
      <c r="G73" s="22">
        <v>1.25</v>
      </c>
      <c r="H73" s="22">
        <v>0</v>
      </c>
      <c r="I73" s="22">
        <v>1.25</v>
      </c>
      <c r="J73" s="22">
        <v>0.69493050000000001</v>
      </c>
      <c r="K73" s="22">
        <v>0</v>
      </c>
      <c r="L73" s="22">
        <v>2.085</v>
      </c>
      <c r="M73" s="22">
        <v>0</v>
      </c>
      <c r="N73" s="22">
        <v>0</v>
      </c>
      <c r="O73" s="22">
        <v>0</v>
      </c>
      <c r="P73" s="22">
        <v>0</v>
      </c>
      <c r="Q73" s="22">
        <v>0</v>
      </c>
      <c r="R73" s="22">
        <v>0</v>
      </c>
      <c r="S73" s="22">
        <v>0</v>
      </c>
      <c r="T73" s="22">
        <v>0.54327899999999996</v>
      </c>
      <c r="U73" s="22">
        <v>0</v>
      </c>
      <c r="V73" s="22">
        <v>0</v>
      </c>
      <c r="W73" s="22">
        <v>0</v>
      </c>
      <c r="X73" s="22">
        <v>0</v>
      </c>
      <c r="Y73" s="22">
        <v>0</v>
      </c>
      <c r="Z73" s="22">
        <v>0</v>
      </c>
      <c r="AA73" s="22">
        <v>0</v>
      </c>
      <c r="AB73" s="22">
        <v>0</v>
      </c>
      <c r="AC73" s="22">
        <v>0</v>
      </c>
      <c r="AD73" s="22">
        <v>0</v>
      </c>
      <c r="AE73" s="22">
        <v>0</v>
      </c>
      <c r="AF73" s="22">
        <v>0</v>
      </c>
      <c r="AG73" s="22">
        <v>0</v>
      </c>
      <c r="AH73" s="22">
        <v>0</v>
      </c>
      <c r="AI73" s="22">
        <v>0</v>
      </c>
      <c r="AJ73" s="43">
        <v>0</v>
      </c>
      <c r="AK73" s="22">
        <v>0</v>
      </c>
      <c r="AL73" s="22">
        <v>0</v>
      </c>
      <c r="AM73" s="22">
        <v>0</v>
      </c>
      <c r="AN73" s="22">
        <v>0</v>
      </c>
      <c r="AO73" s="75" t="str">
        <f>VLOOKUP(A73,'Overall scores and ranking'!$A$3:$D$71,4,FALSE)</f>
        <v>Very Poor</v>
      </c>
    </row>
    <row r="74" spans="1:41" x14ac:dyDescent="0.25">
      <c r="A74" s="19" t="s">
        <v>3188</v>
      </c>
      <c r="B74" s="22">
        <v>2.2197779999999998</v>
      </c>
      <c r="C74" s="22">
        <v>0.41625000000000001</v>
      </c>
      <c r="D74" s="22">
        <v>0</v>
      </c>
      <c r="E74" s="22">
        <v>2.5</v>
      </c>
      <c r="F74" s="22">
        <v>2.5</v>
      </c>
      <c r="G74" s="22">
        <v>1.25</v>
      </c>
      <c r="H74" s="22">
        <v>1.25</v>
      </c>
      <c r="I74" s="22">
        <v>0</v>
      </c>
      <c r="J74" s="22">
        <v>0.69493050000000001</v>
      </c>
      <c r="K74" s="22">
        <v>0</v>
      </c>
      <c r="L74" s="22">
        <v>0</v>
      </c>
      <c r="M74" s="22">
        <v>1.54849999999999</v>
      </c>
      <c r="N74" s="22">
        <v>1.54849999999999</v>
      </c>
      <c r="O74" s="22">
        <v>1.54399693042291</v>
      </c>
      <c r="P74" s="22">
        <v>1.3878905184174599</v>
      </c>
      <c r="Q74" s="22">
        <v>0.924074351978172</v>
      </c>
      <c r="R74" s="22">
        <v>0</v>
      </c>
      <c r="S74" s="22">
        <v>0.924074351978172</v>
      </c>
      <c r="T74" s="22">
        <v>0</v>
      </c>
      <c r="U74" s="22">
        <v>1.76585499316005</v>
      </c>
      <c r="V74" s="22">
        <v>1.76585499316005</v>
      </c>
      <c r="W74" s="22">
        <v>1.76585499316005</v>
      </c>
      <c r="X74" s="22">
        <v>1.6937195622435</v>
      </c>
      <c r="Y74" s="22">
        <v>1.7561521145975401</v>
      </c>
      <c r="Z74" s="22">
        <v>1.04386107091172</v>
      </c>
      <c r="AA74" s="22">
        <v>1.7669999999999999</v>
      </c>
      <c r="AB74" s="22">
        <v>0</v>
      </c>
      <c r="AC74" s="22">
        <v>1.085</v>
      </c>
      <c r="AD74" s="22">
        <v>1.09702257181942</v>
      </c>
      <c r="AE74" s="22">
        <v>0</v>
      </c>
      <c r="AF74" s="22">
        <v>1.085</v>
      </c>
      <c r="AG74" s="22">
        <v>1.085</v>
      </c>
      <c r="AH74" s="22">
        <v>0</v>
      </c>
      <c r="AI74" s="22">
        <v>2.4932968536251701</v>
      </c>
      <c r="AJ74" s="43">
        <v>3.0554890560875498</v>
      </c>
      <c r="AK74" s="22">
        <v>0</v>
      </c>
      <c r="AL74" s="22">
        <v>2.23563645690834</v>
      </c>
      <c r="AM74" s="22">
        <v>0</v>
      </c>
      <c r="AN74" s="22">
        <v>0</v>
      </c>
      <c r="AO74" s="75" t="str">
        <f>VLOOKUP(A74,'Overall scores and ranking'!$A$3:$D$71,4,FALSE)</f>
        <v>Fair</v>
      </c>
    </row>
    <row r="76" spans="1:41" x14ac:dyDescent="0.25">
      <c r="A76" s="46" t="s">
        <v>3095</v>
      </c>
      <c r="B76" s="81">
        <f>SUBTOTAL(1,B7:B74)</f>
        <v>2.1708906617647075</v>
      </c>
      <c r="C76" s="81">
        <f t="shared" ref="C76:AN76" si="0">SUBTOTAL(1,C7:C74)</f>
        <v>1.188761029411765</v>
      </c>
      <c r="D76" s="81">
        <f t="shared" si="0"/>
        <v>1.2405278382352942</v>
      </c>
      <c r="E76" s="81">
        <f t="shared" si="0"/>
        <v>1.6176470588235294</v>
      </c>
      <c r="F76" s="81">
        <f t="shared" si="0"/>
        <v>1.5625</v>
      </c>
      <c r="G76" s="81">
        <f t="shared" si="0"/>
        <v>1.5073529411764706</v>
      </c>
      <c r="H76" s="81">
        <f t="shared" si="0"/>
        <v>1.5441176470588236</v>
      </c>
      <c r="I76" s="81">
        <f t="shared" si="0"/>
        <v>0.98384786224732634</v>
      </c>
      <c r="J76" s="81">
        <f t="shared" si="0"/>
        <v>1.3899785367647062</v>
      </c>
      <c r="K76" s="81">
        <f t="shared" si="0"/>
        <v>1.2277737191113647</v>
      </c>
      <c r="L76" s="81">
        <f t="shared" si="0"/>
        <v>2.0861717871862107</v>
      </c>
      <c r="M76" s="81">
        <f t="shared" si="0"/>
        <v>0.85084087011434573</v>
      </c>
      <c r="N76" s="81">
        <f t="shared" si="0"/>
        <v>0.94122833460910849</v>
      </c>
      <c r="O76" s="81">
        <f t="shared" si="0"/>
        <v>1.0003593241651865</v>
      </c>
      <c r="P76" s="81">
        <f t="shared" si="0"/>
        <v>0.90933854463954777</v>
      </c>
      <c r="Q76" s="81">
        <f t="shared" si="0"/>
        <v>0.7506071782317969</v>
      </c>
      <c r="R76" s="81">
        <f t="shared" si="0"/>
        <v>0.63727376365991939</v>
      </c>
      <c r="S76" s="81">
        <f t="shared" si="0"/>
        <v>0.70651116642647604</v>
      </c>
      <c r="T76" s="81">
        <f t="shared" si="0"/>
        <v>0.81539753154631256</v>
      </c>
      <c r="U76" s="81">
        <f t="shared" si="0"/>
        <v>0.90832847240479064</v>
      </c>
      <c r="V76" s="81">
        <f t="shared" si="0"/>
        <v>0.93471332770349014</v>
      </c>
      <c r="W76" s="81">
        <f t="shared" si="0"/>
        <v>0.95051145336694176</v>
      </c>
      <c r="X76" s="81">
        <f t="shared" si="0"/>
        <v>0.92484008621530933</v>
      </c>
      <c r="Y76" s="81">
        <f t="shared" si="0"/>
        <v>1.0978553113118392</v>
      </c>
      <c r="Z76" s="81">
        <f t="shared" si="0"/>
        <v>0.39772577896221667</v>
      </c>
      <c r="AA76" s="81">
        <f t="shared" si="0"/>
        <v>0.8250876872153865</v>
      </c>
      <c r="AB76" s="81">
        <f t="shared" si="0"/>
        <v>0.34559263536082768</v>
      </c>
      <c r="AC76" s="81">
        <f t="shared" si="0"/>
        <v>0.68486786057648974</v>
      </c>
      <c r="AD76" s="81">
        <f t="shared" si="0"/>
        <v>0.65294011658191797</v>
      </c>
      <c r="AE76" s="81">
        <f t="shared" si="0"/>
        <v>0.31905932872820808</v>
      </c>
      <c r="AF76" s="81">
        <f t="shared" si="0"/>
        <v>0.66317984648297623</v>
      </c>
      <c r="AG76" s="81">
        <f t="shared" si="0"/>
        <v>0.88371026347635206</v>
      </c>
      <c r="AH76" s="81">
        <f t="shared" si="0"/>
        <v>0.68498914389878385</v>
      </c>
      <c r="AI76" s="81">
        <f t="shared" si="0"/>
        <v>1.7093020765717644</v>
      </c>
      <c r="AJ76" s="81">
        <f t="shared" si="0"/>
        <v>1.4252291372438191</v>
      </c>
      <c r="AK76" s="81">
        <f t="shared" si="0"/>
        <v>0.27008516423263174</v>
      </c>
      <c r="AL76" s="81">
        <f t="shared" si="0"/>
        <v>0.63713708327135743</v>
      </c>
      <c r="AM76" s="81">
        <f t="shared" si="0"/>
        <v>0.66112567553622437</v>
      </c>
      <c r="AN76" s="81">
        <f t="shared" si="0"/>
        <v>0.8196434467654371</v>
      </c>
    </row>
    <row r="78" spans="1:41" x14ac:dyDescent="0.25">
      <c r="A78" s="52" t="s">
        <v>3075</v>
      </c>
      <c r="B78" s="82">
        <f t="shared" ref="B78:AN78" si="1">COUNTIF(B7:B74,"&gt;0")</f>
        <v>65</v>
      </c>
      <c r="C78" s="82">
        <f t="shared" si="1"/>
        <v>42</v>
      </c>
      <c r="D78" s="82">
        <f t="shared" si="1"/>
        <v>38</v>
      </c>
      <c r="E78" s="82">
        <f t="shared" si="1"/>
        <v>65</v>
      </c>
      <c r="F78" s="82">
        <f t="shared" si="1"/>
        <v>62</v>
      </c>
      <c r="G78" s="82">
        <f t="shared" si="1"/>
        <v>63</v>
      </c>
      <c r="H78" s="82">
        <f t="shared" si="1"/>
        <v>63</v>
      </c>
      <c r="I78" s="82">
        <f t="shared" si="1"/>
        <v>43</v>
      </c>
      <c r="J78" s="82">
        <f t="shared" si="1"/>
        <v>54</v>
      </c>
      <c r="K78" s="82">
        <f t="shared" si="1"/>
        <v>40</v>
      </c>
      <c r="L78" s="82">
        <f t="shared" si="1"/>
        <v>49</v>
      </c>
      <c r="M78" s="82">
        <f t="shared" si="1"/>
        <v>50</v>
      </c>
      <c r="N78" s="82">
        <f t="shared" si="1"/>
        <v>51</v>
      </c>
      <c r="O78" s="82">
        <f t="shared" si="1"/>
        <v>58</v>
      </c>
      <c r="P78" s="82">
        <f t="shared" si="1"/>
        <v>54</v>
      </c>
      <c r="Q78" s="82">
        <f t="shared" si="1"/>
        <v>42</v>
      </c>
      <c r="R78" s="82">
        <f t="shared" si="1"/>
        <v>29</v>
      </c>
      <c r="S78" s="82">
        <f t="shared" si="1"/>
        <v>40</v>
      </c>
      <c r="T78" s="82">
        <f t="shared" si="1"/>
        <v>53</v>
      </c>
      <c r="U78" s="82">
        <f t="shared" si="1"/>
        <v>46</v>
      </c>
      <c r="V78" s="82">
        <f t="shared" si="1"/>
        <v>44</v>
      </c>
      <c r="W78" s="82">
        <f t="shared" si="1"/>
        <v>47</v>
      </c>
      <c r="X78" s="82">
        <f t="shared" si="1"/>
        <v>46</v>
      </c>
      <c r="Y78" s="82">
        <f t="shared" si="1"/>
        <v>53</v>
      </c>
      <c r="Z78" s="82">
        <f t="shared" si="1"/>
        <v>26</v>
      </c>
      <c r="AA78" s="82">
        <f t="shared" si="1"/>
        <v>40</v>
      </c>
      <c r="AB78" s="82">
        <f t="shared" si="1"/>
        <v>16</v>
      </c>
      <c r="AC78" s="82">
        <f t="shared" si="1"/>
        <v>39</v>
      </c>
      <c r="AD78" s="82">
        <f t="shared" si="1"/>
        <v>33</v>
      </c>
      <c r="AE78" s="82">
        <f t="shared" si="1"/>
        <v>13</v>
      </c>
      <c r="AF78" s="82">
        <f t="shared" si="1"/>
        <v>37</v>
      </c>
      <c r="AG78" s="82">
        <f t="shared" si="1"/>
        <v>53</v>
      </c>
      <c r="AH78" s="82">
        <f t="shared" si="1"/>
        <v>26</v>
      </c>
      <c r="AI78" s="82">
        <f t="shared" si="1"/>
        <v>53</v>
      </c>
      <c r="AJ78" s="82">
        <f t="shared" si="1"/>
        <v>33</v>
      </c>
      <c r="AK78" s="82">
        <f t="shared" si="1"/>
        <v>7</v>
      </c>
      <c r="AL78" s="82">
        <f t="shared" si="1"/>
        <v>16</v>
      </c>
      <c r="AM78" s="82">
        <f t="shared" si="1"/>
        <v>16</v>
      </c>
      <c r="AN78" s="82">
        <f t="shared" si="1"/>
        <v>18</v>
      </c>
    </row>
    <row r="79" spans="1:41" x14ac:dyDescent="0.25">
      <c r="A79" s="47" t="s">
        <v>3110</v>
      </c>
      <c r="B79" s="47">
        <f>COUNTIF(B7:B74,"=0")</f>
        <v>3</v>
      </c>
      <c r="C79" s="47">
        <f>COUNTIF(C7:C74,"=0")</f>
        <v>26</v>
      </c>
      <c r="D79" s="47">
        <f t="shared" ref="D79:AN79" si="2">COUNTIF(D7:D74,"=0")</f>
        <v>30</v>
      </c>
      <c r="E79" s="47">
        <f t="shared" si="2"/>
        <v>3</v>
      </c>
      <c r="F79" s="47">
        <f t="shared" si="2"/>
        <v>6</v>
      </c>
      <c r="G79" s="47">
        <f t="shared" si="2"/>
        <v>5</v>
      </c>
      <c r="H79" s="47">
        <f t="shared" si="2"/>
        <v>5</v>
      </c>
      <c r="I79" s="47">
        <f t="shared" si="2"/>
        <v>25</v>
      </c>
      <c r="J79" s="47">
        <f t="shared" si="2"/>
        <v>14</v>
      </c>
      <c r="K79" s="47">
        <f t="shared" si="2"/>
        <v>28</v>
      </c>
      <c r="L79" s="47">
        <f t="shared" si="2"/>
        <v>19</v>
      </c>
      <c r="M79" s="47">
        <f t="shared" si="2"/>
        <v>18</v>
      </c>
      <c r="N79" s="47">
        <f t="shared" si="2"/>
        <v>17</v>
      </c>
      <c r="O79" s="47">
        <f t="shared" si="2"/>
        <v>10</v>
      </c>
      <c r="P79" s="47">
        <f t="shared" si="2"/>
        <v>14</v>
      </c>
      <c r="Q79" s="47">
        <f t="shared" si="2"/>
        <v>26</v>
      </c>
      <c r="R79" s="47">
        <f t="shared" si="2"/>
        <v>39</v>
      </c>
      <c r="S79" s="47">
        <f t="shared" si="2"/>
        <v>28</v>
      </c>
      <c r="T79" s="47">
        <f t="shared" si="2"/>
        <v>15</v>
      </c>
      <c r="U79" s="47">
        <f t="shared" si="2"/>
        <v>22</v>
      </c>
      <c r="V79" s="47">
        <f t="shared" si="2"/>
        <v>24</v>
      </c>
      <c r="W79" s="47">
        <f t="shared" si="2"/>
        <v>21</v>
      </c>
      <c r="X79" s="47">
        <f t="shared" si="2"/>
        <v>22</v>
      </c>
      <c r="Y79" s="47">
        <f t="shared" si="2"/>
        <v>15</v>
      </c>
      <c r="Z79" s="47">
        <f t="shared" si="2"/>
        <v>42</v>
      </c>
      <c r="AA79" s="47">
        <f t="shared" si="2"/>
        <v>28</v>
      </c>
      <c r="AB79" s="47">
        <f t="shared" si="2"/>
        <v>52</v>
      </c>
      <c r="AC79" s="47">
        <f t="shared" si="2"/>
        <v>29</v>
      </c>
      <c r="AD79" s="47">
        <f t="shared" si="2"/>
        <v>35</v>
      </c>
      <c r="AE79" s="47">
        <f t="shared" si="2"/>
        <v>55</v>
      </c>
      <c r="AF79" s="47">
        <f t="shared" si="2"/>
        <v>31</v>
      </c>
      <c r="AG79" s="47">
        <f t="shared" si="2"/>
        <v>15</v>
      </c>
      <c r="AH79" s="47">
        <f t="shared" si="2"/>
        <v>42</v>
      </c>
      <c r="AI79" s="47">
        <f t="shared" si="2"/>
        <v>15</v>
      </c>
      <c r="AJ79" s="47">
        <f t="shared" si="2"/>
        <v>35</v>
      </c>
      <c r="AK79" s="47">
        <f t="shared" si="2"/>
        <v>61</v>
      </c>
      <c r="AL79" s="47">
        <f t="shared" si="2"/>
        <v>52</v>
      </c>
      <c r="AM79" s="47">
        <f t="shared" si="2"/>
        <v>52</v>
      </c>
      <c r="AN79" s="47">
        <f t="shared" si="2"/>
        <v>50</v>
      </c>
    </row>
    <row r="81" spans="1:40" x14ac:dyDescent="0.25">
      <c r="A81" t="s">
        <v>3082</v>
      </c>
      <c r="B81">
        <f>68-SUM(B78:B79)</f>
        <v>0</v>
      </c>
      <c r="C81">
        <f t="shared" ref="C81:AN81" si="3">68-SUM(C78:C79)</f>
        <v>0</v>
      </c>
      <c r="D81">
        <f t="shared" si="3"/>
        <v>0</v>
      </c>
      <c r="E81">
        <f t="shared" si="3"/>
        <v>0</v>
      </c>
      <c r="F81">
        <f t="shared" si="3"/>
        <v>0</v>
      </c>
      <c r="G81">
        <f t="shared" si="3"/>
        <v>0</v>
      </c>
      <c r="H81">
        <f t="shared" si="3"/>
        <v>0</v>
      </c>
      <c r="I81">
        <f t="shared" si="3"/>
        <v>0</v>
      </c>
      <c r="J81">
        <f t="shared" si="3"/>
        <v>0</v>
      </c>
      <c r="K81">
        <f t="shared" si="3"/>
        <v>0</v>
      </c>
      <c r="L81">
        <f t="shared" si="3"/>
        <v>0</v>
      </c>
      <c r="M81">
        <f t="shared" si="3"/>
        <v>0</v>
      </c>
      <c r="N81">
        <f t="shared" si="3"/>
        <v>0</v>
      </c>
      <c r="O81">
        <f t="shared" si="3"/>
        <v>0</v>
      </c>
      <c r="P81">
        <f t="shared" si="3"/>
        <v>0</v>
      </c>
      <c r="Q81">
        <f t="shared" si="3"/>
        <v>0</v>
      </c>
      <c r="R81">
        <f t="shared" si="3"/>
        <v>0</v>
      </c>
      <c r="S81">
        <f t="shared" si="3"/>
        <v>0</v>
      </c>
      <c r="T81">
        <f t="shared" si="3"/>
        <v>0</v>
      </c>
      <c r="U81">
        <f t="shared" si="3"/>
        <v>0</v>
      </c>
      <c r="V81">
        <f t="shared" si="3"/>
        <v>0</v>
      </c>
      <c r="W81">
        <f t="shared" si="3"/>
        <v>0</v>
      </c>
      <c r="X81">
        <f t="shared" si="3"/>
        <v>0</v>
      </c>
      <c r="Y81">
        <f t="shared" si="3"/>
        <v>0</v>
      </c>
      <c r="Z81">
        <f t="shared" si="3"/>
        <v>0</v>
      </c>
      <c r="AA81">
        <f t="shared" si="3"/>
        <v>0</v>
      </c>
      <c r="AB81">
        <f t="shared" si="3"/>
        <v>0</v>
      </c>
      <c r="AC81">
        <f t="shared" si="3"/>
        <v>0</v>
      </c>
      <c r="AD81">
        <f t="shared" si="3"/>
        <v>0</v>
      </c>
      <c r="AE81">
        <f t="shared" si="3"/>
        <v>0</v>
      </c>
      <c r="AF81">
        <f t="shared" si="3"/>
        <v>0</v>
      </c>
      <c r="AG81">
        <f t="shared" si="3"/>
        <v>0</v>
      </c>
      <c r="AH81">
        <f t="shared" si="3"/>
        <v>0</v>
      </c>
      <c r="AI81">
        <f t="shared" si="3"/>
        <v>0</v>
      </c>
      <c r="AJ81">
        <f t="shared" si="3"/>
        <v>0</v>
      </c>
      <c r="AK81">
        <f t="shared" si="3"/>
        <v>0</v>
      </c>
      <c r="AL81">
        <f t="shared" si="3"/>
        <v>0</v>
      </c>
      <c r="AM81">
        <f t="shared" si="3"/>
        <v>0</v>
      </c>
      <c r="AN81">
        <f t="shared" si="3"/>
        <v>0</v>
      </c>
    </row>
    <row r="143" spans="1:2" x14ac:dyDescent="0.25">
      <c r="A143" s="20" t="s">
        <v>3074</v>
      </c>
      <c r="B143">
        <f>COUNTIF(B7:B142,"&gt;0")</f>
        <v>68</v>
      </c>
    </row>
  </sheetData>
  <autoFilter ref="A3:AO74"/>
  <pageMargins left="0.7" right="0.7" top="0.75" bottom="0.75" header="0.3" footer="0.3"/>
  <pageSetup paperSize="9" orientation="portrait"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63"/>
  <sheetViews>
    <sheetView zoomScale="115" zoomScaleNormal="115" workbookViewId="0">
      <selection sqref="A1:XFD1"/>
    </sheetView>
  </sheetViews>
  <sheetFormatPr defaultRowHeight="15" x14ac:dyDescent="0.25"/>
  <cols>
    <col min="2" max="2" width="28.28515625" bestFit="1" customWidth="1"/>
    <col min="3" max="3" width="16.42578125" customWidth="1"/>
    <col min="4" max="4" width="14.85546875" customWidth="1"/>
    <col min="5" max="5" width="20" customWidth="1"/>
    <col min="6" max="6" width="20.42578125" customWidth="1"/>
    <col min="7" max="7" width="11.5703125" customWidth="1"/>
    <col min="8" max="9" width="19.140625" customWidth="1"/>
    <col min="10" max="10" width="22.5703125" customWidth="1"/>
    <col min="11" max="11" width="22.7109375" customWidth="1"/>
    <col min="12" max="12" width="19.140625" customWidth="1"/>
    <col min="13" max="13" width="22.85546875" customWidth="1"/>
    <col min="14" max="14" width="27" customWidth="1"/>
    <col min="15" max="15" width="19.140625" customWidth="1"/>
    <col min="16" max="16" width="21.7109375" customWidth="1"/>
    <col min="17" max="17" width="19.140625" customWidth="1"/>
    <col min="18" max="18" width="26.85546875" customWidth="1"/>
    <col min="19" max="19" width="14.140625" customWidth="1"/>
    <col min="20" max="20" width="22" customWidth="1"/>
    <col min="21" max="21" width="15.42578125" customWidth="1"/>
    <col min="22" max="22" width="17.85546875" customWidth="1"/>
    <col min="23" max="23" width="20.42578125" customWidth="1"/>
    <col min="24" max="24" width="17.7109375" customWidth="1"/>
    <col min="25" max="25" width="14.28515625" customWidth="1"/>
    <col min="26" max="26" width="23.28515625" customWidth="1"/>
    <col min="28" max="28" width="14.85546875" customWidth="1"/>
    <col min="29" max="29" width="12" customWidth="1"/>
    <col min="31" max="31" width="13.28515625" customWidth="1"/>
    <col min="32" max="32" width="15.7109375" customWidth="1"/>
    <col min="33" max="33" width="14" customWidth="1"/>
    <col min="34" max="34" width="15.7109375" customWidth="1"/>
    <col min="35" max="35" width="16.28515625" customWidth="1"/>
    <col min="36" max="36" width="19.85546875" customWidth="1"/>
    <col min="37" max="37" width="12.140625" customWidth="1"/>
    <col min="38" max="38" width="10.85546875" customWidth="1"/>
    <col min="39" max="39" width="14.7109375" customWidth="1"/>
    <col min="41" max="41" width="22" customWidth="1"/>
    <col min="42" max="42" width="16.28515625" customWidth="1"/>
    <col min="44" max="44" width="13.28515625" customWidth="1"/>
    <col min="45" max="45" width="12.5703125" customWidth="1"/>
    <col min="46" max="46" width="14" customWidth="1"/>
    <col min="47" max="47" width="11.42578125" customWidth="1"/>
    <col min="48" max="48" width="10.28515625" customWidth="1"/>
    <col min="49" max="49" width="9.42578125" customWidth="1"/>
    <col min="50" max="50" width="15.7109375" customWidth="1"/>
    <col min="51" max="51" width="20.5703125" customWidth="1"/>
    <col min="52" max="52" width="18.28515625" customWidth="1"/>
    <col min="53" max="53" width="9.5703125" customWidth="1"/>
    <col min="54" max="54" width="18.7109375" customWidth="1"/>
    <col min="55" max="55" width="12.7109375" customWidth="1"/>
    <col min="56" max="56" width="30.85546875" customWidth="1"/>
    <col min="57" max="57" width="40.5703125" customWidth="1"/>
  </cols>
  <sheetData>
    <row r="1" spans="1:59" s="20" customFormat="1" x14ac:dyDescent="0.25">
      <c r="A1" s="20" t="s">
        <v>3270</v>
      </c>
    </row>
    <row r="3" spans="1:59" x14ac:dyDescent="0.25">
      <c r="A3" s="49" t="s">
        <v>2909</v>
      </c>
      <c r="B3" s="106" t="s">
        <v>3083</v>
      </c>
      <c r="C3" s="106" t="s">
        <v>3087</v>
      </c>
      <c r="D3" s="106" t="s">
        <v>3065</v>
      </c>
      <c r="E3" s="106" t="s">
        <v>3182</v>
      </c>
      <c r="F3" s="106" t="s">
        <v>3123</v>
      </c>
      <c r="G3" s="106" t="s">
        <v>2932</v>
      </c>
      <c r="H3" s="106" t="s">
        <v>3124</v>
      </c>
      <c r="I3" s="106" t="s">
        <v>3092</v>
      </c>
      <c r="J3" s="106" t="s">
        <v>3125</v>
      </c>
      <c r="K3" s="106" t="s">
        <v>3126</v>
      </c>
      <c r="L3" s="106" t="s">
        <v>3127</v>
      </c>
      <c r="M3" s="106" t="s">
        <v>3128</v>
      </c>
      <c r="N3" s="106" t="s">
        <v>3129</v>
      </c>
      <c r="O3" s="106" t="s">
        <v>3130</v>
      </c>
      <c r="P3" s="106" t="s">
        <v>3131</v>
      </c>
      <c r="Q3" s="106" t="s">
        <v>162</v>
      </c>
      <c r="R3" s="106" t="s">
        <v>171</v>
      </c>
      <c r="S3" s="106" t="s">
        <v>168</v>
      </c>
      <c r="T3" s="106" t="s">
        <v>145</v>
      </c>
      <c r="U3" s="106" t="s">
        <v>150</v>
      </c>
      <c r="V3" s="106" t="s">
        <v>153</v>
      </c>
      <c r="W3" s="106" t="s">
        <v>156</v>
      </c>
      <c r="X3" s="106" t="s">
        <v>159</v>
      </c>
      <c r="Y3" s="106" t="s">
        <v>138</v>
      </c>
      <c r="Z3" s="106" t="s">
        <v>141</v>
      </c>
      <c r="AA3" s="106" t="s">
        <v>133</v>
      </c>
      <c r="AB3" s="106" t="s">
        <v>50</v>
      </c>
      <c r="AC3" s="106" t="s">
        <v>59</v>
      </c>
      <c r="AD3" s="106" t="s">
        <v>56</v>
      </c>
      <c r="AE3" s="106" t="s">
        <v>47</v>
      </c>
      <c r="AF3" s="106" t="s">
        <v>53</v>
      </c>
      <c r="AG3" s="106" t="s">
        <v>31</v>
      </c>
      <c r="AH3" s="106" t="s">
        <v>44</v>
      </c>
      <c r="AI3" s="106" t="s">
        <v>39</v>
      </c>
      <c r="AJ3" s="106" t="s">
        <v>67</v>
      </c>
      <c r="AK3" s="106" t="s">
        <v>73</v>
      </c>
      <c r="AL3" s="106" t="s">
        <v>62</v>
      </c>
      <c r="AM3" s="106" t="s">
        <v>70</v>
      </c>
      <c r="AN3" s="106" t="s">
        <v>76</v>
      </c>
      <c r="AO3" s="106" t="s">
        <v>79</v>
      </c>
      <c r="AP3" s="106" t="s">
        <v>83</v>
      </c>
      <c r="AQ3" s="106" t="s">
        <v>124</v>
      </c>
      <c r="AR3" s="106" t="s">
        <v>121</v>
      </c>
      <c r="AS3" s="106" t="s">
        <v>127</v>
      </c>
      <c r="AT3" s="106" t="s">
        <v>113</v>
      </c>
      <c r="AU3" s="106" t="s">
        <v>118</v>
      </c>
      <c r="AV3" s="106" t="s">
        <v>130</v>
      </c>
      <c r="AW3" s="106" t="s">
        <v>91</v>
      </c>
      <c r="AX3" s="106" t="s">
        <v>94</v>
      </c>
      <c r="AY3" s="106" t="s">
        <v>86</v>
      </c>
      <c r="AZ3" s="106" t="s">
        <v>97</v>
      </c>
      <c r="BA3" s="106" t="s">
        <v>109</v>
      </c>
      <c r="BB3" s="106" t="s">
        <v>106</v>
      </c>
      <c r="BC3" s="106" t="s">
        <v>100</v>
      </c>
      <c r="BD3" s="106" t="s">
        <v>3180</v>
      </c>
      <c r="BE3" s="106" t="s">
        <v>3181</v>
      </c>
      <c r="BG3" t="s">
        <v>3183</v>
      </c>
    </row>
    <row r="4" spans="1:59" x14ac:dyDescent="0.25">
      <c r="A4" s="104" t="s">
        <v>2544</v>
      </c>
      <c r="B4" s="102" t="s">
        <v>2543</v>
      </c>
      <c r="C4" s="157">
        <f>VLOOKUP(Table13[[#This Row],[Donor Name]],'Overall scores and ranking'!$A$3:$D$72,2,FALSE)</f>
        <v>88.336740299014735</v>
      </c>
      <c r="D4" s="107">
        <f>VLOOKUP(Table13[[#This Row],[Donor Name]],'Overall scores and ranking'!$A$3:$D$72,3,FALSE)</f>
        <v>2</v>
      </c>
      <c r="E4" s="107">
        <f>RANK(Table13[[#This Row],[Overall Score]],Table13[Overall Score],0)</f>
        <v>1</v>
      </c>
      <c r="F4" s="61" t="str">
        <f>VLOOKUP(Table13[[#This Row],[Donor Name]],'Overall scores and ranking'!$A$3:$D$72,4,FALSE)</f>
        <v>Very good</v>
      </c>
      <c r="G4" s="109">
        <f>VLOOKUP(Table13[[#This Row],[Donor Name]],'Wtd - IATI vs Others'!$A$5:$D$72,2,FALSE)</f>
        <v>78.746340299014733</v>
      </c>
      <c r="H4" s="61">
        <f>VLOOKUP(Table13[[#This Row],[Donor Name]],'Wtd - IATI vs Others'!$A$5:$D$72,3,FALSE)</f>
        <v>9.5904000000000007</v>
      </c>
      <c r="I4" s="61">
        <f>VLOOKUP(Table13[[#This Row],[Donor Name]],'Wtd scores by sub-groups'!$A$5:$K$72,2,FALSE)</f>
        <v>9.5904000000000007</v>
      </c>
      <c r="J4" s="61">
        <f>VLOOKUP(Table13[[#This Row],[Donor Name]],'Wtd scores by sub-groups'!$A$5:$K$72,3,FALSE)</f>
        <v>12.5</v>
      </c>
      <c r="K4" s="61">
        <f>VLOOKUP(Table13[[#This Row],[Donor Name]],'Wtd scores by sub-groups'!$A$5:$K$72,4,FALSE)</f>
        <v>9.7299999999999986</v>
      </c>
      <c r="L4" s="61">
        <f>VLOOKUP(Table13[[#This Row],[Donor Name]],'Wtd scores by sub-groups'!$A$5:$K$72,5,FALSE)</f>
        <v>12.90579159420632</v>
      </c>
      <c r="M4" s="61">
        <f>VLOOKUP(Table13[[#This Row],[Donor Name]],'Wtd scores by sub-groups'!$A$5:$K$72,6,FALSE)</f>
        <v>12.10410942932552</v>
      </c>
      <c r="N4" s="61">
        <f>VLOOKUP(Table13[[#This Row],[Donor Name]],'Wtd scores by sub-groups'!$A$5:$K$72,7,FALSE)</f>
        <v>8.9072758930460605</v>
      </c>
      <c r="O4" s="61">
        <f>VLOOKUP(Table13[[#This Row],[Donor Name]],'Wtd scores by sub-groups'!$A$5:$K$72,8,FALSE)</f>
        <v>12.10196706695038</v>
      </c>
      <c r="P4" s="61">
        <f>VLOOKUP(Table13[[#This Row],[Donor Name]],'Wtd scores by sub-groups'!$A$5:$K$72,9,FALSE)</f>
        <v>10.49719631548645</v>
      </c>
      <c r="Q4" s="61">
        <f>VLOOKUP(Table13[[#This Row],[Donor Name]],'Weighted scores by indicator'!$A$7:$AO$74,2,FALSE)</f>
        <v>3.33</v>
      </c>
      <c r="R4" s="61">
        <f>VLOOKUP(Table13[[#This Row],[Donor Name]],'Weighted scores by indicator'!$A$7:$AO$74,3,FALSE)</f>
        <v>2.9304000000000001</v>
      </c>
      <c r="S4" s="61">
        <f>VLOOKUP(Table13[[#This Row],[Donor Name]],'Weighted scores by indicator'!$A$7:$AO$74,4,FALSE)</f>
        <v>3.33</v>
      </c>
      <c r="T4" s="61">
        <f>VLOOKUP(Table13[[#This Row],[Donor Name]],'Weighted scores by indicator'!$A$7:$AO$74,5,FALSE)</f>
        <v>2.5</v>
      </c>
      <c r="U4" s="61">
        <f>VLOOKUP(Table13[[#This Row],[Donor Name]],'Weighted scores by indicator'!$A$7:$AO$74,6,FALSE)</f>
        <v>2.5</v>
      </c>
      <c r="V4" s="61">
        <f>VLOOKUP(Table13[[#This Row],[Donor Name]],'Weighted scores by indicator'!$A$7:$AO$74,7,FALSE)</f>
        <v>2.5</v>
      </c>
      <c r="W4" s="61">
        <f>VLOOKUP(Table13[[#This Row],[Donor Name]],'Weighted scores by indicator'!$A$7:$AO$74,8,FALSE)</f>
        <v>2.5</v>
      </c>
      <c r="X4" s="61">
        <f>VLOOKUP(Table13[[#This Row],[Donor Name]],'Weighted scores by indicator'!$A$7:$AO$74,9,FALSE)</f>
        <v>2.5</v>
      </c>
      <c r="Y4" s="61">
        <f>VLOOKUP(Table13[[#This Row],[Donor Name]],'Weighted scores by indicator'!$A$7:$AO$74,10,FALSE)</f>
        <v>2.78</v>
      </c>
      <c r="Z4" s="61">
        <f>VLOOKUP(Table13[[#This Row],[Donor Name]],'Weighted scores by indicator'!$A$7:$AO$74,11,FALSE)</f>
        <v>2.78</v>
      </c>
      <c r="AA4" s="61">
        <f>VLOOKUP(Table13[[#This Row],[Donor Name]],'Weighted scores by indicator'!$A$7:$AO$74,12,FALSE)</f>
        <v>4.17</v>
      </c>
      <c r="AB4" s="61">
        <f>VLOOKUP(Table13[[#This Row],[Donor Name]],'Weighted scores by indicator'!$A$7:$AO$74,13,FALSE)</f>
        <v>1.5065817201666201</v>
      </c>
      <c r="AC4" s="61">
        <f>VLOOKUP(Table13[[#This Row],[Donor Name]],'Weighted scores by indicator'!$A$7:$AO$74,14,FALSE)</f>
        <v>1.63</v>
      </c>
      <c r="AD4" s="61">
        <f>VLOOKUP(Table13[[#This Row],[Donor Name]],'Weighted scores by indicator'!$A$7:$AO$74,15,FALSE)</f>
        <v>1.6287756634952399</v>
      </c>
      <c r="AE4" s="61">
        <f>VLOOKUP(Table13[[#This Row],[Donor Name]],'Weighted scores by indicator'!$A$7:$AO$74,16,FALSE)</f>
        <v>1.6205702479338799</v>
      </c>
      <c r="AF4" s="61">
        <f>VLOOKUP(Table13[[#This Row],[Donor Name]],'Weighted scores by indicator'!$A$7:$AO$74,17,FALSE)</f>
        <v>1.62986396261058</v>
      </c>
      <c r="AG4" s="61">
        <f>VLOOKUP(Table13[[#This Row],[Donor Name]],'Weighted scores by indicator'!$A$7:$AO$74,18,FALSE)</f>
        <v>1.63</v>
      </c>
      <c r="AH4" s="61">
        <f>VLOOKUP(Table13[[#This Row],[Donor Name]],'Weighted scores by indicator'!$A$7:$AO$74,19,FALSE)</f>
        <v>1.63</v>
      </c>
      <c r="AI4" s="61">
        <f>VLOOKUP(Table13[[#This Row],[Donor Name]],'Weighted scores by indicator'!$A$7:$AO$74,20,FALSE)</f>
        <v>1.63</v>
      </c>
      <c r="AJ4" s="61">
        <f>VLOOKUP(Table13[[#This Row],[Donor Name]],'Weighted scores by indicator'!$A$7:$AO$74,21,FALSE)</f>
        <v>1.85817691742219</v>
      </c>
      <c r="AK4" s="61">
        <f>VLOOKUP(Table13[[#This Row],[Donor Name]],'Weighted scores by indicator'!$A$7:$AO$74,22,FALSE)</f>
        <v>1.8599999999999901</v>
      </c>
      <c r="AL4" s="61">
        <f>VLOOKUP(Table13[[#This Row],[Donor Name]],'Weighted scores by indicator'!$A$7:$AO$74,23,FALSE)</f>
        <v>1.8599999999999901</v>
      </c>
      <c r="AM4" s="61">
        <f>VLOOKUP(Table13[[#This Row],[Donor Name]],'Weighted scores by indicator'!$A$7:$AO$74,24,FALSE)</f>
        <v>1.7456015682430699</v>
      </c>
      <c r="AN4" s="61">
        <f>VLOOKUP(Table13[[#This Row],[Donor Name]],'Weighted scores by indicator'!$A$7:$AO$74,25,FALSE)</f>
        <v>1.8575502873563201</v>
      </c>
      <c r="AO4" s="61">
        <f>VLOOKUP(Table13[[#This Row],[Donor Name]],'Weighted scores by indicator'!$A$7:$AO$74,26,FALSE)</f>
        <v>1.0627806563039699</v>
      </c>
      <c r="AP4" s="61">
        <f>VLOOKUP(Table13[[#This Row],[Donor Name]],'Weighted scores by indicator'!$A$7:$AO$74,27,FALSE)</f>
        <v>1.8599999999999901</v>
      </c>
      <c r="AQ4" s="61">
        <f>VLOOKUP(Table13[[#This Row],[Donor Name]],'Weighted scores by indicator'!$A$7:$AO$74,28,FALSE)</f>
        <v>1.13996833621185</v>
      </c>
      <c r="AR4" s="61">
        <f>VLOOKUP(Table13[[#This Row],[Donor Name]],'Weighted scores by indicator'!$A$7:$AO$74,29,FALSE)</f>
        <v>1.6595758354755701</v>
      </c>
      <c r="AS4" s="61">
        <f>VLOOKUP(Table13[[#This Row],[Donor Name]],'Weighted scores by indicator'!$A$7:$AO$74,30,FALSE)</f>
        <v>1.9138975244674701</v>
      </c>
      <c r="AT4" s="61">
        <f>VLOOKUP(Table13[[#This Row],[Donor Name]],'Weighted scores by indicator'!$A$7:$AO$74,31,FALSE)</f>
        <v>1.7352504317789199</v>
      </c>
      <c r="AU4" s="61">
        <f>VLOOKUP(Table13[[#This Row],[Donor Name]],'Weighted scores by indicator'!$A$7:$AO$74,32,FALSE)</f>
        <v>1.2461571675302201</v>
      </c>
      <c r="AV4" s="61">
        <f>VLOOKUP(Table13[[#This Row],[Donor Name]],'Weighted scores by indicator'!$A$7:$AO$74,33,FALSE)</f>
        <v>1.2124265975820301</v>
      </c>
      <c r="AW4" s="61">
        <f>VLOOKUP(Table13[[#This Row],[Donor Name]],'Weighted scores by indicator'!$A$7:$AO$74,34,FALSE)</f>
        <v>2.8053630062021102</v>
      </c>
      <c r="AX4" s="61">
        <f>VLOOKUP(Table13[[#This Row],[Donor Name]],'Weighted scores by indicator'!$A$7:$AO$74,35,FALSE)</f>
        <v>3.1898738054398401</v>
      </c>
      <c r="AY4" s="61">
        <f>VLOOKUP(Table13[[#This Row],[Donor Name]],'Weighted scores by indicator'!$A$7:$AO$74,36,FALSE)</f>
        <v>2.9656946826758102</v>
      </c>
      <c r="AZ4" s="61">
        <f>VLOOKUP(Table13[[#This Row],[Donor Name]],'Weighted scores by indicator'!$A$7:$AO$74,37,FALSE)</f>
        <v>3.14103557263262</v>
      </c>
      <c r="BA4" s="61">
        <f>VLOOKUP(Table13[[#This Row],[Donor Name]],'Weighted scores by indicator'!$A$7:$AO$74,38,FALSE)</f>
        <v>2.9907412204950998</v>
      </c>
      <c r="BB4" s="61">
        <f>VLOOKUP(Table13[[#This Row],[Donor Name]],'Weighted scores by indicator'!$A$7:$AO$74,39,FALSE)</f>
        <v>3.5908837075417299</v>
      </c>
      <c r="BC4" s="111">
        <f>VLOOKUP(Table13[[#This Row],[Donor Name]],'Weighted scores by indicator'!$A$7:$AO$74,40,FALSE)</f>
        <v>3.9155713874496199</v>
      </c>
      <c r="BD4" s="60">
        <f>COUNTIF(Table13[[#This Row],[FOIA]:[Conditions]],"0")</f>
        <v>0</v>
      </c>
      <c r="BE4" s="60">
        <f>COUNTIF(Table13[[#This Row],[FOIA]:[Conditions]],"&gt;0")</f>
        <v>39</v>
      </c>
      <c r="BG4">
        <f>39-SUM(Table13[[#This Row],[No of indicators not scoring on]:[No of indicators scoring on]])</f>
        <v>0</v>
      </c>
    </row>
    <row r="5" spans="1:59" x14ac:dyDescent="0.25">
      <c r="A5" s="104" t="s">
        <v>2626</v>
      </c>
      <c r="B5" s="102" t="s">
        <v>2625</v>
      </c>
      <c r="C5" s="157">
        <f>VLOOKUP(Table13[[#This Row],[Donor Name]],'Overall scores and ranking'!$A$3:$D$72,2,FALSE)</f>
        <v>86.894622379238967</v>
      </c>
      <c r="D5" s="107">
        <f>VLOOKUP(Table13[[#This Row],[Donor Name]],'Overall scores and ranking'!$A$3:$D$72,3,FALSE)</f>
        <v>3</v>
      </c>
      <c r="E5" s="107">
        <f>RANK(Table13[[#This Row],[Overall Score]],Table13[Overall Score],0)</f>
        <v>2</v>
      </c>
      <c r="F5" s="61" t="str">
        <f>VLOOKUP(Table13[[#This Row],[Donor Name]],'Overall scores and ranking'!$A$3:$D$72,4,FALSE)</f>
        <v>Very good</v>
      </c>
      <c r="G5" s="109">
        <f>VLOOKUP(Table13[[#This Row],[Donor Name]],'Wtd - IATI vs Others'!$A$5:$D$72,2,FALSE)</f>
        <v>72.957344379239004</v>
      </c>
      <c r="H5" s="61">
        <f>VLOOKUP(Table13[[#This Row],[Donor Name]],'Wtd - IATI vs Others'!$A$5:$D$72,3,FALSE)</f>
        <v>13.937277999999996</v>
      </c>
      <c r="I5" s="61">
        <f>VLOOKUP(Table13[[#This Row],[Donor Name]],'Wtd scores by sub-groups'!$A$5:$K$72,2,FALSE)</f>
        <v>8.0472780000000004</v>
      </c>
      <c r="J5" s="61">
        <f>VLOOKUP(Table13[[#This Row],[Donor Name]],'Wtd scores by sub-groups'!$A$5:$K$72,3,FALSE)</f>
        <v>12.38636363636363</v>
      </c>
      <c r="K5" s="61">
        <f>VLOOKUP(Table13[[#This Row],[Donor Name]],'Wtd scores by sub-groups'!$A$5:$K$72,4,FALSE)</f>
        <v>11.12</v>
      </c>
      <c r="L5" s="61">
        <f>VLOOKUP(Table13[[#This Row],[Donor Name]],'Wtd scores by sub-groups'!$A$5:$K$72,5,FALSE)</f>
        <v>13.037243517474629</v>
      </c>
      <c r="M5" s="61">
        <f>VLOOKUP(Table13[[#This Row],[Donor Name]],'Wtd scores by sub-groups'!$A$5:$K$72,6,FALSE)</f>
        <v>8.3956936430252753</v>
      </c>
      <c r="N5" s="61">
        <f>VLOOKUP(Table13[[#This Row],[Donor Name]],'Wtd scores by sub-groups'!$A$5:$K$72,7,FALSE)</f>
        <v>9.9458333333333293</v>
      </c>
      <c r="O5" s="61">
        <f>VLOOKUP(Table13[[#This Row],[Donor Name]],'Wtd scores by sub-groups'!$A$5:$K$72,8,FALSE)</f>
        <v>12.09722222222222</v>
      </c>
      <c r="P5" s="61">
        <f>VLOOKUP(Table13[[#This Row],[Donor Name]],'Wtd scores by sub-groups'!$A$5:$K$72,9,FALSE)</f>
        <v>11.864988026819912</v>
      </c>
      <c r="Q5" s="61">
        <f>VLOOKUP(Table13[[#This Row],[Donor Name]],'Weighted scores by indicator'!$A$7:$AO$74,2,FALSE)</f>
        <v>2.2197779999999998</v>
      </c>
      <c r="R5" s="61">
        <f>VLOOKUP(Table13[[#This Row],[Donor Name]],'Weighted scores by indicator'!$A$7:$AO$74,3,FALSE)</f>
        <v>2.4975000000000001</v>
      </c>
      <c r="S5" s="61">
        <f>VLOOKUP(Table13[[#This Row],[Donor Name]],'Weighted scores by indicator'!$A$7:$AO$74,4,FALSE)</f>
        <v>3.33</v>
      </c>
      <c r="T5" s="61">
        <f>VLOOKUP(Table13[[#This Row],[Donor Name]],'Weighted scores by indicator'!$A$7:$AO$74,5,FALSE)</f>
        <v>2.5</v>
      </c>
      <c r="U5" s="61">
        <f>VLOOKUP(Table13[[#This Row],[Donor Name]],'Weighted scores by indicator'!$A$7:$AO$74,6,FALSE)</f>
        <v>2.5</v>
      </c>
      <c r="V5" s="61">
        <f>VLOOKUP(Table13[[#This Row],[Donor Name]],'Weighted scores by indicator'!$A$7:$AO$74,7,FALSE)</f>
        <v>2.5</v>
      </c>
      <c r="W5" s="61">
        <f>VLOOKUP(Table13[[#This Row],[Donor Name]],'Weighted scores by indicator'!$A$7:$AO$74,8,FALSE)</f>
        <v>2.5</v>
      </c>
      <c r="X5" s="61">
        <f>VLOOKUP(Table13[[#This Row],[Donor Name]],'Weighted scores by indicator'!$A$7:$AO$74,9,FALSE)</f>
        <v>2.38636363636363</v>
      </c>
      <c r="Y5" s="61">
        <f>VLOOKUP(Table13[[#This Row],[Donor Name]],'Weighted scores by indicator'!$A$7:$AO$74,10,FALSE)</f>
        <v>2.78</v>
      </c>
      <c r="Z5" s="61">
        <f>VLOOKUP(Table13[[#This Row],[Donor Name]],'Weighted scores by indicator'!$A$7:$AO$74,11,FALSE)</f>
        <v>4.17</v>
      </c>
      <c r="AA5" s="61">
        <f>VLOOKUP(Table13[[#This Row],[Donor Name]],'Weighted scores by indicator'!$A$7:$AO$74,12,FALSE)</f>
        <v>4.17</v>
      </c>
      <c r="AB5" s="61">
        <f>VLOOKUP(Table13[[#This Row],[Donor Name]],'Weighted scores by indicator'!$A$7:$AO$74,13,FALSE)</f>
        <v>1.63</v>
      </c>
      <c r="AC5" s="61">
        <f>VLOOKUP(Table13[[#This Row],[Donor Name]],'Weighted scores by indicator'!$A$7:$AO$74,14,FALSE)</f>
        <v>1.63</v>
      </c>
      <c r="AD5" s="61">
        <f>VLOOKUP(Table13[[#This Row],[Donor Name]],'Weighted scores by indicator'!$A$7:$AO$74,15,FALSE)</f>
        <v>1.63</v>
      </c>
      <c r="AE5" s="61">
        <f>VLOOKUP(Table13[[#This Row],[Donor Name]],'Weighted scores by indicator'!$A$7:$AO$74,16,FALSE)</f>
        <v>1.62724351747463</v>
      </c>
      <c r="AF5" s="61">
        <f>VLOOKUP(Table13[[#This Row],[Donor Name]],'Weighted scores by indicator'!$A$7:$AO$74,17,FALSE)</f>
        <v>1.63</v>
      </c>
      <c r="AG5" s="61">
        <f>VLOOKUP(Table13[[#This Row],[Donor Name]],'Weighted scores by indicator'!$A$7:$AO$74,18,FALSE)</f>
        <v>1.63</v>
      </c>
      <c r="AH5" s="61">
        <f>VLOOKUP(Table13[[#This Row],[Donor Name]],'Weighted scores by indicator'!$A$7:$AO$74,19,FALSE)</f>
        <v>1.63</v>
      </c>
      <c r="AI5" s="61">
        <f>VLOOKUP(Table13[[#This Row],[Donor Name]],'Weighted scores by indicator'!$A$7:$AO$74,20,FALSE)</f>
        <v>1.63</v>
      </c>
      <c r="AJ5" s="61">
        <f>VLOOKUP(Table13[[#This Row],[Donor Name]],'Weighted scores by indicator'!$A$7:$AO$74,21,FALSE)</f>
        <v>1.8599999999999901</v>
      </c>
      <c r="AK5" s="61">
        <f>VLOOKUP(Table13[[#This Row],[Donor Name]],'Weighted scores by indicator'!$A$7:$AO$74,22,FALSE)</f>
        <v>0.92999999999999905</v>
      </c>
      <c r="AL5" s="61">
        <f>VLOOKUP(Table13[[#This Row],[Donor Name]],'Weighted scores by indicator'!$A$7:$AO$74,23,FALSE)</f>
        <v>0.92999999999999905</v>
      </c>
      <c r="AM5" s="61">
        <f>VLOOKUP(Table13[[#This Row],[Donor Name]],'Weighted scores by indicator'!$A$7:$AO$74,24,FALSE)</f>
        <v>0.92999999999999905</v>
      </c>
      <c r="AN5" s="61">
        <f>VLOOKUP(Table13[[#This Row],[Donor Name]],'Weighted scores by indicator'!$A$7:$AO$74,25,FALSE)</f>
        <v>1.8595967042497801</v>
      </c>
      <c r="AO5" s="61">
        <f>VLOOKUP(Table13[[#This Row],[Donor Name]],'Weighted scores by indicator'!$A$7:$AO$74,26,FALSE)</f>
        <v>0.95609693877551005</v>
      </c>
      <c r="AP5" s="61">
        <f>VLOOKUP(Table13[[#This Row],[Donor Name]],'Weighted scores by indicator'!$A$7:$AO$74,27,FALSE)</f>
        <v>0.92999999999999905</v>
      </c>
      <c r="AQ5" s="61">
        <f>VLOOKUP(Table13[[#This Row],[Donor Name]],'Weighted scores by indicator'!$A$7:$AO$74,28,FALSE)</f>
        <v>2.17</v>
      </c>
      <c r="AR5" s="61">
        <f>VLOOKUP(Table13[[#This Row],[Donor Name]],'Weighted scores by indicator'!$A$7:$AO$74,29,FALSE)</f>
        <v>1.26583333333333</v>
      </c>
      <c r="AS5" s="61">
        <f>VLOOKUP(Table13[[#This Row],[Donor Name]],'Weighted scores by indicator'!$A$7:$AO$74,30,FALSE)</f>
        <v>2.17</v>
      </c>
      <c r="AT5" s="61">
        <f>VLOOKUP(Table13[[#This Row],[Donor Name]],'Weighted scores by indicator'!$A$7:$AO$74,31,FALSE)</f>
        <v>2.17</v>
      </c>
      <c r="AU5" s="61">
        <f>VLOOKUP(Table13[[#This Row],[Donor Name]],'Weighted scores by indicator'!$A$7:$AO$74,32,FALSE)</f>
        <v>1.085</v>
      </c>
      <c r="AV5" s="61">
        <f>VLOOKUP(Table13[[#This Row],[Donor Name]],'Weighted scores by indicator'!$A$7:$AO$74,33,FALSE)</f>
        <v>1.085</v>
      </c>
      <c r="AW5" s="61">
        <f>VLOOKUP(Table13[[#This Row],[Donor Name]],'Weighted scores by indicator'!$A$7:$AO$74,34,FALSE)</f>
        <v>2.3472222222222201</v>
      </c>
      <c r="AX5" s="61">
        <f>VLOOKUP(Table13[[#This Row],[Donor Name]],'Weighted scores by indicator'!$A$7:$AO$74,35,FALSE)</f>
        <v>3.25</v>
      </c>
      <c r="AY5" s="61">
        <f>VLOOKUP(Table13[[#This Row],[Donor Name]],'Weighted scores by indicator'!$A$7:$AO$74,36,FALSE)</f>
        <v>3.25</v>
      </c>
      <c r="AZ5" s="61">
        <f>VLOOKUP(Table13[[#This Row],[Donor Name]],'Weighted scores by indicator'!$A$7:$AO$74,37,FALSE)</f>
        <v>3.25</v>
      </c>
      <c r="BA5" s="61">
        <f>VLOOKUP(Table13[[#This Row],[Donor Name]],'Weighted scores by indicator'!$A$7:$AO$74,38,FALSE)</f>
        <v>3.56582136015325</v>
      </c>
      <c r="BB5" s="61">
        <f>VLOOKUP(Table13[[#This Row],[Donor Name]],'Weighted scores by indicator'!$A$7:$AO$74,39,FALSE)</f>
        <v>3.9691666666666601</v>
      </c>
      <c r="BC5" s="111">
        <f>VLOOKUP(Table13[[#This Row],[Donor Name]],'Weighted scores by indicator'!$A$7:$AO$74,40,FALSE)</f>
        <v>4.33</v>
      </c>
      <c r="BD5" s="61">
        <f>COUNTIF(Table13[[#This Row],[FOIA]:[Conditions]],"0")</f>
        <v>0</v>
      </c>
      <c r="BE5" s="61">
        <f>COUNTIF(Table13[[#This Row],[FOIA]:[Conditions]],"&gt;0")</f>
        <v>39</v>
      </c>
      <c r="BG5">
        <f>39-SUM(Table13[[#This Row],[No of indicators not scoring on]:[No of indicators scoring on]])</f>
        <v>0</v>
      </c>
    </row>
    <row r="6" spans="1:59" x14ac:dyDescent="0.25">
      <c r="A6" s="104" t="s">
        <v>1116</v>
      </c>
      <c r="B6" s="102" t="s">
        <v>1115</v>
      </c>
      <c r="C6" s="157">
        <f>VLOOKUP(Table13[[#This Row],[Donor Name]],'Overall scores and ranking'!$A$3:$D$72,2,FALSE)</f>
        <v>83.274009759093047</v>
      </c>
      <c r="D6" s="107">
        <f>VLOOKUP(Table13[[#This Row],[Donor Name]],'Overall scores and ranking'!$A$3:$D$72,3,FALSE)</f>
        <v>6</v>
      </c>
      <c r="E6" s="107">
        <f>RANK(Table13[[#This Row],[Overall Score]],Table13[Overall Score],0)</f>
        <v>3</v>
      </c>
      <c r="F6" s="61" t="str">
        <f>VLOOKUP(Table13[[#This Row],[Donor Name]],'Overall scores and ranking'!$A$3:$D$72,4,FALSE)</f>
        <v>Very good</v>
      </c>
      <c r="G6" s="109">
        <f>VLOOKUP(Table13[[#This Row],[Donor Name]],'Wtd - IATI vs Others'!$A$5:$D$72,2,FALSE)</f>
        <v>73.450509759093052</v>
      </c>
      <c r="H6" s="61">
        <f>VLOOKUP(Table13[[#This Row],[Donor Name]],'Wtd - IATI vs Others'!$A$5:$D$72,3,FALSE)</f>
        <v>9.8234999999999992</v>
      </c>
      <c r="I6" s="61">
        <f>VLOOKUP(Table13[[#This Row],[Donor Name]],'Wtd scores by sub-groups'!$A$5:$K$72,2,FALSE)</f>
        <v>9.8234999999999992</v>
      </c>
      <c r="J6" s="61">
        <f>VLOOKUP(Table13[[#This Row],[Donor Name]],'Wtd scores by sub-groups'!$A$5:$K$72,3,FALSE)</f>
        <v>12.43055555555555</v>
      </c>
      <c r="K6" s="61">
        <f>VLOOKUP(Table13[[#This Row],[Donor Name]],'Wtd scores by sub-groups'!$A$5:$K$72,4,FALSE)</f>
        <v>12.389337092346519</v>
      </c>
      <c r="L6" s="61">
        <f>VLOOKUP(Table13[[#This Row],[Donor Name]],'Wtd scores by sub-groups'!$A$5:$K$72,5,FALSE)</f>
        <v>12.011144536628638</v>
      </c>
      <c r="M6" s="61">
        <f>VLOOKUP(Table13[[#This Row],[Donor Name]],'Wtd scores by sub-groups'!$A$5:$K$72,6,FALSE)</f>
        <v>12.05397713179739</v>
      </c>
      <c r="N6" s="61">
        <f>VLOOKUP(Table13[[#This Row],[Donor Name]],'Wtd scores by sub-groups'!$A$5:$K$72,7,FALSE)</f>
        <v>6.8203116079108694</v>
      </c>
      <c r="O6" s="61">
        <f>VLOOKUP(Table13[[#This Row],[Donor Name]],'Wtd scores by sub-groups'!$A$5:$K$72,8,FALSE)</f>
        <v>9.9584213503307915</v>
      </c>
      <c r="P6" s="61">
        <f>VLOOKUP(Table13[[#This Row],[Donor Name]],'Wtd scores by sub-groups'!$A$5:$K$72,9,FALSE)</f>
        <v>7.7867624845233001</v>
      </c>
      <c r="Q6" s="61">
        <f>VLOOKUP(Table13[[#This Row],[Donor Name]],'Weighted scores by indicator'!$A$7:$AO$74,2,FALSE)</f>
        <v>3.33</v>
      </c>
      <c r="R6" s="61">
        <f>VLOOKUP(Table13[[#This Row],[Donor Name]],'Weighted scores by indicator'!$A$7:$AO$74,3,FALSE)</f>
        <v>3.1635</v>
      </c>
      <c r="S6" s="61">
        <f>VLOOKUP(Table13[[#This Row],[Donor Name]],'Weighted scores by indicator'!$A$7:$AO$74,4,FALSE)</f>
        <v>3.33</v>
      </c>
      <c r="T6" s="61">
        <f>VLOOKUP(Table13[[#This Row],[Donor Name]],'Weighted scores by indicator'!$A$7:$AO$74,5,FALSE)</f>
        <v>2.5</v>
      </c>
      <c r="U6" s="61">
        <f>VLOOKUP(Table13[[#This Row],[Donor Name]],'Weighted scores by indicator'!$A$7:$AO$74,6,FALSE)</f>
        <v>2.5</v>
      </c>
      <c r="V6" s="61">
        <f>VLOOKUP(Table13[[#This Row],[Donor Name]],'Weighted scores by indicator'!$A$7:$AO$74,7,FALSE)</f>
        <v>2.5</v>
      </c>
      <c r="W6" s="61">
        <f>VLOOKUP(Table13[[#This Row],[Donor Name]],'Weighted scores by indicator'!$A$7:$AO$74,8,FALSE)</f>
        <v>2.5</v>
      </c>
      <c r="X6" s="61">
        <f>VLOOKUP(Table13[[#This Row],[Donor Name]],'Weighted scores by indicator'!$A$7:$AO$74,9,FALSE)</f>
        <v>2.43055555555555</v>
      </c>
      <c r="Y6" s="61">
        <f>VLOOKUP(Table13[[#This Row],[Donor Name]],'Weighted scores by indicator'!$A$7:$AO$74,10,FALSE)</f>
        <v>4.17</v>
      </c>
      <c r="Z6" s="61">
        <f>VLOOKUP(Table13[[#This Row],[Donor Name]],'Weighted scores by indicator'!$A$7:$AO$74,11,FALSE)</f>
        <v>4.0493370923465202</v>
      </c>
      <c r="AA6" s="61">
        <f>VLOOKUP(Table13[[#This Row],[Donor Name]],'Weighted scores by indicator'!$A$7:$AO$74,12,FALSE)</f>
        <v>4.17</v>
      </c>
      <c r="AB6" s="61">
        <f>VLOOKUP(Table13[[#This Row],[Donor Name]],'Weighted scores by indicator'!$A$7:$AO$74,13,FALSE)</f>
        <v>1.5318501857201801</v>
      </c>
      <c r="AC6" s="61">
        <f>VLOOKUP(Table13[[#This Row],[Donor Name]],'Weighted scores by indicator'!$A$7:$AO$74,14,FALSE)</f>
        <v>1.6299664111440799</v>
      </c>
      <c r="AD6" s="61">
        <f>VLOOKUP(Table13[[#This Row],[Donor Name]],'Weighted scores by indicator'!$A$7:$AO$74,15,FALSE)</f>
        <v>1.6298320557204</v>
      </c>
      <c r="AE6" s="61">
        <f>VLOOKUP(Table13[[#This Row],[Donor Name]],'Weighted scores by indicator'!$A$7:$AO$74,16,FALSE)</f>
        <v>1.5150589350478001</v>
      </c>
      <c r="AF6" s="61">
        <f>VLOOKUP(Table13[[#This Row],[Donor Name]],'Weighted scores by indicator'!$A$7:$AO$74,17,FALSE)</f>
        <v>0.815403066271018</v>
      </c>
      <c r="AG6" s="61">
        <f>VLOOKUP(Table13[[#This Row],[Donor Name]],'Weighted scores by indicator'!$A$7:$AO$74,18,FALSE)</f>
        <v>1.62903388272516</v>
      </c>
      <c r="AH6" s="61">
        <f>VLOOKUP(Table13[[#This Row],[Donor Name]],'Weighted scores by indicator'!$A$7:$AO$74,19,FALSE)</f>
        <v>1.63</v>
      </c>
      <c r="AI6" s="61">
        <f>VLOOKUP(Table13[[#This Row],[Donor Name]],'Weighted scores by indicator'!$A$7:$AO$74,20,FALSE)</f>
        <v>1.63</v>
      </c>
      <c r="AJ6" s="61">
        <f>VLOOKUP(Table13[[#This Row],[Donor Name]],'Weighted scores by indicator'!$A$7:$AO$74,21,FALSE)</f>
        <v>1.8599999999999901</v>
      </c>
      <c r="AK6" s="61">
        <f>VLOOKUP(Table13[[#This Row],[Donor Name]],'Weighted scores by indicator'!$A$7:$AO$74,22,FALSE)</f>
        <v>1.8599999999999901</v>
      </c>
      <c r="AL6" s="61">
        <f>VLOOKUP(Table13[[#This Row],[Donor Name]],'Weighted scores by indicator'!$A$7:$AO$74,23,FALSE)</f>
        <v>1.8598464713165399</v>
      </c>
      <c r="AM6" s="61">
        <f>VLOOKUP(Table13[[#This Row],[Donor Name]],'Weighted scores by indicator'!$A$7:$AO$74,24,FALSE)</f>
        <v>1.8599999999999901</v>
      </c>
      <c r="AN6" s="61">
        <f>VLOOKUP(Table13[[#This Row],[Donor Name]],'Weighted scores by indicator'!$A$7:$AO$74,25,FALSE)</f>
        <v>1.85942507418397</v>
      </c>
      <c r="AO6" s="61">
        <f>VLOOKUP(Table13[[#This Row],[Donor Name]],'Weighted scores by indicator'!$A$7:$AO$74,26,FALSE)</f>
        <v>0.93170599900842799</v>
      </c>
      <c r="AP6" s="61">
        <f>VLOOKUP(Table13[[#This Row],[Donor Name]],'Weighted scores by indicator'!$A$7:$AO$74,27,FALSE)</f>
        <v>1.8229995872884801</v>
      </c>
      <c r="AQ6" s="61">
        <f>VLOOKUP(Table13[[#This Row],[Donor Name]],'Weighted scores by indicator'!$A$7:$AO$74,28,FALSE)</f>
        <v>1.18942509286009</v>
      </c>
      <c r="AR6" s="61">
        <f>VLOOKUP(Table13[[#This Row],[Donor Name]],'Weighted scores by indicator'!$A$7:$AO$74,29,FALSE)</f>
        <v>1.1457111597374099</v>
      </c>
      <c r="AS6" s="61">
        <f>VLOOKUP(Table13[[#This Row],[Donor Name]],'Weighted scores by indicator'!$A$7:$AO$74,30,FALSE)</f>
        <v>1.10801650846058</v>
      </c>
      <c r="AT6" s="61">
        <f>VLOOKUP(Table13[[#This Row],[Donor Name]],'Weighted scores by indicator'!$A$7:$AO$74,31,FALSE)</f>
        <v>1.1436147364942999</v>
      </c>
      <c r="AU6" s="61">
        <f>VLOOKUP(Table13[[#This Row],[Donor Name]],'Weighted scores by indicator'!$A$7:$AO$74,32,FALSE)</f>
        <v>1.1323219890963101</v>
      </c>
      <c r="AV6" s="61">
        <f>VLOOKUP(Table13[[#This Row],[Donor Name]],'Weighted scores by indicator'!$A$7:$AO$74,33,FALSE)</f>
        <v>1.10122212126218</v>
      </c>
      <c r="AW6" s="61">
        <f>VLOOKUP(Table13[[#This Row],[Donor Name]],'Weighted scores by indicator'!$A$7:$AO$74,34,FALSE)</f>
        <v>2.0706317867719601</v>
      </c>
      <c r="AX6" s="61">
        <f>VLOOKUP(Table13[[#This Row],[Donor Name]],'Weighted scores by indicator'!$A$7:$AO$74,35,FALSE)</f>
        <v>2.63621543541064</v>
      </c>
      <c r="AY6" s="61">
        <f>VLOOKUP(Table13[[#This Row],[Donor Name]],'Weighted scores by indicator'!$A$7:$AO$74,36,FALSE)</f>
        <v>3.1091621956252502</v>
      </c>
      <c r="AZ6" s="61">
        <f>VLOOKUP(Table13[[#This Row],[Donor Name]],'Weighted scores by indicator'!$A$7:$AO$74,37,FALSE)</f>
        <v>2.1424119325229398</v>
      </c>
      <c r="BA6" s="61">
        <f>VLOOKUP(Table13[[#This Row],[Donor Name]],'Weighted scores by indicator'!$A$7:$AO$74,38,FALSE)</f>
        <v>2.22415105241436</v>
      </c>
      <c r="BB6" s="61">
        <f>VLOOKUP(Table13[[#This Row],[Donor Name]],'Weighted scores by indicator'!$A$7:$AO$74,39,FALSE)</f>
        <v>2.2109269500619</v>
      </c>
      <c r="BC6" s="111">
        <f>VLOOKUP(Table13[[#This Row],[Donor Name]],'Weighted scores by indicator'!$A$7:$AO$74,40,FALSE)</f>
        <v>3.3516844820470402</v>
      </c>
      <c r="BD6" s="61">
        <f>COUNTIF(Table13[[#This Row],[FOIA]:[Conditions]],"0")</f>
        <v>0</v>
      </c>
      <c r="BE6" s="61">
        <f>COUNTIF(Table13[[#This Row],[FOIA]:[Conditions]],"&gt;0")</f>
        <v>39</v>
      </c>
      <c r="BG6">
        <f>39-SUM(Table13[[#This Row],[No of indicators not scoring on]:[No of indicators scoring on]])</f>
        <v>0</v>
      </c>
    </row>
    <row r="7" spans="1:59" x14ac:dyDescent="0.25">
      <c r="A7" s="105" t="s">
        <v>911</v>
      </c>
      <c r="B7" s="103" t="s">
        <v>910</v>
      </c>
      <c r="C7" s="157">
        <f>VLOOKUP(Table13[[#This Row],[Donor Name]],'Overall scores and ranking'!$A$3:$D$72,2,FALSE)</f>
        <v>71.671348938086496</v>
      </c>
      <c r="D7" s="107">
        <f>VLOOKUP(Table13[[#This Row],[Donor Name]],'Overall scores and ranking'!$A$3:$D$72,3,FALSE)</f>
        <v>11</v>
      </c>
      <c r="E7" s="107">
        <f>RANK(Table13[[#This Row],[Overall Score]],Table13[Overall Score],0)</f>
        <v>4</v>
      </c>
      <c r="F7" s="61" t="str">
        <f>VLOOKUP(Table13[[#This Row],[Donor Name]],'Overall scores and ranking'!$A$3:$D$72,4,FALSE)</f>
        <v>Good</v>
      </c>
      <c r="G7" s="109">
        <f>VLOOKUP(Table13[[#This Row],[Donor Name]],'Wtd - IATI vs Others'!$A$5:$D$72,2,FALSE)</f>
        <v>58.496494938086499</v>
      </c>
      <c r="H7" s="61">
        <f>VLOOKUP(Table13[[#This Row],[Donor Name]],'Wtd - IATI vs Others'!$A$5:$D$72,3,FALSE)</f>
        <v>13.174853999999998</v>
      </c>
      <c r="I7" s="61">
        <f>VLOOKUP(Table13[[#This Row],[Donor Name]],'Wtd scores by sub-groups'!$A$5:$K$72,2,FALSE)</f>
        <v>8.6799780000000002</v>
      </c>
      <c r="J7" s="61">
        <f>VLOOKUP(Table13[[#This Row],[Donor Name]],'Wtd scores by sub-groups'!$A$5:$K$72,3,FALSE)</f>
        <v>11.756756756756751</v>
      </c>
      <c r="K7" s="61">
        <f>VLOOKUP(Table13[[#This Row],[Donor Name]],'Wtd scores by sub-groups'!$A$5:$K$72,4,FALSE)</f>
        <v>12.51</v>
      </c>
      <c r="L7" s="61">
        <f>VLOOKUP(Table13[[#This Row],[Donor Name]],'Wtd scores by sub-groups'!$A$5:$K$72,5,FALSE)</f>
        <v>11.95131612478024</v>
      </c>
      <c r="M7" s="61">
        <f>VLOOKUP(Table13[[#This Row],[Donor Name]],'Wtd scores by sub-groups'!$A$5:$K$72,6,FALSE)</f>
        <v>10.074875999999998</v>
      </c>
      <c r="N7" s="61">
        <f>VLOOKUP(Table13[[#This Row],[Donor Name]],'Wtd scores by sub-groups'!$A$5:$K$72,7,FALSE)</f>
        <v>5.3165000000000004</v>
      </c>
      <c r="O7" s="61">
        <f>VLOOKUP(Table13[[#This Row],[Donor Name]],'Wtd scores by sub-groups'!$A$5:$K$72,8,FALSE)</f>
        <v>5.2977583922261395</v>
      </c>
      <c r="P7" s="61">
        <f>VLOOKUP(Table13[[#This Row],[Donor Name]],'Wtd scores by sub-groups'!$A$5:$K$72,9,FALSE)</f>
        <v>6.0841636643233601</v>
      </c>
      <c r="Q7" s="61">
        <f>VLOOKUP(Table13[[#This Row],[Donor Name]],'Weighted scores by indicator'!$A$7:$AO$74,2,FALSE)</f>
        <v>2.2197779999999998</v>
      </c>
      <c r="R7" s="61">
        <f>VLOOKUP(Table13[[#This Row],[Donor Name]],'Weighted scores by indicator'!$A$7:$AO$74,3,FALSE)</f>
        <v>3.1301999999999999</v>
      </c>
      <c r="S7" s="61">
        <f>VLOOKUP(Table13[[#This Row],[Donor Name]],'Weighted scores by indicator'!$A$7:$AO$74,4,FALSE)</f>
        <v>3.33</v>
      </c>
      <c r="T7" s="61">
        <f>VLOOKUP(Table13[[#This Row],[Donor Name]],'Weighted scores by indicator'!$A$7:$AO$74,5,FALSE)</f>
        <v>2.5</v>
      </c>
      <c r="U7" s="61">
        <f>VLOOKUP(Table13[[#This Row],[Donor Name]],'Weighted scores by indicator'!$A$7:$AO$74,6,FALSE)</f>
        <v>2.5</v>
      </c>
      <c r="V7" s="61">
        <f>VLOOKUP(Table13[[#This Row],[Donor Name]],'Weighted scores by indicator'!$A$7:$AO$74,7,FALSE)</f>
        <v>2.5</v>
      </c>
      <c r="W7" s="61">
        <f>VLOOKUP(Table13[[#This Row],[Donor Name]],'Weighted scores by indicator'!$A$7:$AO$74,8,FALSE)</f>
        <v>2.5</v>
      </c>
      <c r="X7" s="61">
        <f>VLOOKUP(Table13[[#This Row],[Donor Name]],'Weighted scores by indicator'!$A$7:$AO$74,9,FALSE)</f>
        <v>1.7567567567567499</v>
      </c>
      <c r="Y7" s="61">
        <f>VLOOKUP(Table13[[#This Row],[Donor Name]],'Weighted scores by indicator'!$A$7:$AO$74,10,FALSE)</f>
        <v>4.17</v>
      </c>
      <c r="Z7" s="61">
        <f>VLOOKUP(Table13[[#This Row],[Donor Name]],'Weighted scores by indicator'!$A$7:$AO$74,11,FALSE)</f>
        <v>4.17</v>
      </c>
      <c r="AA7" s="61">
        <f>VLOOKUP(Table13[[#This Row],[Donor Name]],'Weighted scores by indicator'!$A$7:$AO$74,12,FALSE)</f>
        <v>4.17</v>
      </c>
      <c r="AB7" s="61">
        <f>VLOOKUP(Table13[[#This Row],[Donor Name]],'Weighted scores by indicator'!$A$7:$AO$74,13,FALSE)</f>
        <v>1.54849999999999</v>
      </c>
      <c r="AC7" s="61">
        <f>VLOOKUP(Table13[[#This Row],[Donor Name]],'Weighted scores by indicator'!$A$7:$AO$74,14,FALSE)</f>
        <v>1.54849999999999</v>
      </c>
      <c r="AD7" s="61">
        <f>VLOOKUP(Table13[[#This Row],[Donor Name]],'Weighted scores by indicator'!$A$7:$AO$74,15,FALSE)</f>
        <v>1.54849999999999</v>
      </c>
      <c r="AE7" s="61">
        <f>VLOOKUP(Table13[[#This Row],[Donor Name]],'Weighted scores by indicator'!$A$7:$AO$74,16,FALSE)</f>
        <v>1.54849999999999</v>
      </c>
      <c r="AF7" s="61">
        <f>VLOOKUP(Table13[[#This Row],[Donor Name]],'Weighted scores by indicator'!$A$7:$AO$74,17,FALSE)</f>
        <v>1.11181612478031</v>
      </c>
      <c r="AG7" s="61">
        <f>VLOOKUP(Table13[[#This Row],[Donor Name]],'Weighted scores by indicator'!$A$7:$AO$74,18,FALSE)</f>
        <v>1.54849999999999</v>
      </c>
      <c r="AH7" s="61">
        <f>VLOOKUP(Table13[[#This Row],[Donor Name]],'Weighted scores by indicator'!$A$7:$AO$74,19,FALSE)</f>
        <v>1.54849999999999</v>
      </c>
      <c r="AI7" s="61">
        <f>VLOOKUP(Table13[[#This Row],[Donor Name]],'Weighted scores by indicator'!$A$7:$AO$74,20,FALSE)</f>
        <v>1.54849999999999</v>
      </c>
      <c r="AJ7" s="61">
        <f>VLOOKUP(Table13[[#This Row],[Donor Name]],'Weighted scores by indicator'!$A$7:$AO$74,21,FALSE)</f>
        <v>1.7669999999999999</v>
      </c>
      <c r="AK7" s="61">
        <f>VLOOKUP(Table13[[#This Row],[Donor Name]],'Weighted scores by indicator'!$A$7:$AO$74,22,FALSE)</f>
        <v>1.7669999999999999</v>
      </c>
      <c r="AL7" s="61">
        <f>VLOOKUP(Table13[[#This Row],[Donor Name]],'Weighted scores by indicator'!$A$7:$AO$74,23,FALSE)</f>
        <v>1.7669999999999999</v>
      </c>
      <c r="AM7" s="61">
        <f>VLOOKUP(Table13[[#This Row],[Donor Name]],'Weighted scores by indicator'!$A$7:$AO$74,24,FALSE)</f>
        <v>1.7669999999999999</v>
      </c>
      <c r="AN7" s="61">
        <f>VLOOKUP(Table13[[#This Row],[Donor Name]],'Weighted scores by indicator'!$A$7:$AO$74,25,FALSE)</f>
        <v>1.7669999999999999</v>
      </c>
      <c r="AO7" s="61">
        <f>VLOOKUP(Table13[[#This Row],[Donor Name]],'Weighted scores by indicator'!$A$7:$AO$74,26,FALSE)</f>
        <v>0.61993799999999899</v>
      </c>
      <c r="AP7" s="61">
        <f>VLOOKUP(Table13[[#This Row],[Donor Name]],'Weighted scores by indicator'!$A$7:$AO$74,27,FALSE)</f>
        <v>0.61993799999999899</v>
      </c>
      <c r="AQ7" s="61">
        <f>VLOOKUP(Table13[[#This Row],[Donor Name]],'Weighted scores by indicator'!$A$7:$AO$74,28,FALSE)</f>
        <v>0</v>
      </c>
      <c r="AR7" s="61">
        <f>VLOOKUP(Table13[[#This Row],[Donor Name]],'Weighted scores by indicator'!$A$7:$AO$74,29,FALSE)</f>
        <v>1.085</v>
      </c>
      <c r="AS7" s="61">
        <f>VLOOKUP(Table13[[#This Row],[Donor Name]],'Weighted scores by indicator'!$A$7:$AO$74,30,FALSE)</f>
        <v>2.0615000000000001</v>
      </c>
      <c r="AT7" s="61">
        <f>VLOOKUP(Table13[[#This Row],[Donor Name]],'Weighted scores by indicator'!$A$7:$AO$74,31,FALSE)</f>
        <v>0</v>
      </c>
      <c r="AU7" s="61">
        <f>VLOOKUP(Table13[[#This Row],[Donor Name]],'Weighted scores by indicator'!$A$7:$AO$74,32,FALSE)</f>
        <v>1.085</v>
      </c>
      <c r="AV7" s="61">
        <f>VLOOKUP(Table13[[#This Row],[Donor Name]],'Weighted scores by indicator'!$A$7:$AO$74,33,FALSE)</f>
        <v>1.085</v>
      </c>
      <c r="AW7" s="61">
        <f>VLOOKUP(Table13[[#This Row],[Donor Name]],'Weighted scores by indicator'!$A$7:$AO$74,34,FALSE)</f>
        <v>2.2102583922261401</v>
      </c>
      <c r="AX7" s="61">
        <f>VLOOKUP(Table13[[#This Row],[Donor Name]],'Weighted scores by indicator'!$A$7:$AO$74,35,FALSE)</f>
        <v>3.0874999999999999</v>
      </c>
      <c r="AY7" s="61">
        <f>VLOOKUP(Table13[[#This Row],[Donor Name]],'Weighted scores by indicator'!$A$7:$AO$74,36,FALSE)</f>
        <v>0</v>
      </c>
      <c r="AZ7" s="61">
        <f>VLOOKUP(Table13[[#This Row],[Donor Name]],'Weighted scores by indicator'!$A$7:$AO$74,37,FALSE)</f>
        <v>0</v>
      </c>
      <c r="BA7" s="61">
        <f>VLOOKUP(Table13[[#This Row],[Donor Name]],'Weighted scores by indicator'!$A$7:$AO$74,38,FALSE)</f>
        <v>2.9449136643233702</v>
      </c>
      <c r="BB7" s="61">
        <f>VLOOKUP(Table13[[#This Row],[Donor Name]],'Weighted scores by indicator'!$A$7:$AO$74,39,FALSE)</f>
        <v>0</v>
      </c>
      <c r="BC7" s="111">
        <f>VLOOKUP(Table13[[#This Row],[Donor Name]],'Weighted scores by indicator'!$A$7:$AO$74,40,FALSE)</f>
        <v>3.1392499999999899</v>
      </c>
      <c r="BD7" s="61">
        <f>COUNTIF(Table13[[#This Row],[FOIA]:[Conditions]],"0")</f>
        <v>5</v>
      </c>
      <c r="BE7" s="61">
        <f>COUNTIF(Table13[[#This Row],[FOIA]:[Conditions]],"&gt;0")</f>
        <v>34</v>
      </c>
      <c r="BG7">
        <f>39-SUM(Table13[[#This Row],[No of indicators not scoring on]:[No of indicators scoring on]])</f>
        <v>0</v>
      </c>
    </row>
    <row r="8" spans="1:59" x14ac:dyDescent="0.25">
      <c r="A8" s="104" t="s">
        <v>2422</v>
      </c>
      <c r="B8" s="102" t="s">
        <v>2421</v>
      </c>
      <c r="C8" s="157">
        <f>VLOOKUP(Table13[[#This Row],[Donor Name]],'Overall scores and ranking'!$A$3:$D$72,2,FALSE)</f>
        <v>53.922389450033187</v>
      </c>
      <c r="D8" s="107">
        <f>VLOOKUP(Table13[[#This Row],[Donor Name]],'Overall scores and ranking'!$A$3:$D$72,3,FALSE)</f>
        <v>17</v>
      </c>
      <c r="E8" s="107">
        <f>RANK(Table13[[#This Row],[Overall Score]],Table13[Overall Score],0)</f>
        <v>5</v>
      </c>
      <c r="F8" s="61" t="str">
        <f>VLOOKUP(Table13[[#This Row],[Donor Name]],'Overall scores and ranking'!$A$3:$D$72,4,FALSE)</f>
        <v>Fair</v>
      </c>
      <c r="G8" s="109">
        <f>VLOOKUP(Table13[[#This Row],[Donor Name]],'Wtd - IATI vs Others'!$A$5:$D$72,2,FALSE)</f>
        <v>40.630391950033186</v>
      </c>
      <c r="H8" s="61">
        <f>VLOOKUP(Table13[[#This Row],[Donor Name]],'Wtd - IATI vs Others'!$A$5:$D$72,3,FALSE)</f>
        <v>13.291997499999997</v>
      </c>
      <c r="I8" s="61">
        <f>VLOOKUP(Table13[[#This Row],[Donor Name]],'Wtd scores by sub-groups'!$A$5:$K$72,2,FALSE)</f>
        <v>4.262067</v>
      </c>
      <c r="J8" s="61">
        <f>VLOOKUP(Table13[[#This Row],[Donor Name]],'Wtd scores by sub-groups'!$A$5:$K$72,3,FALSE)</f>
        <v>10.05040322580645</v>
      </c>
      <c r="K8" s="61">
        <f>VLOOKUP(Table13[[#This Row],[Donor Name]],'Wtd scores by sub-groups'!$A$5:$K$72,4,FALSE)</f>
        <v>6.9499304999999998</v>
      </c>
      <c r="L8" s="61">
        <f>VLOOKUP(Table13[[#This Row],[Donor Name]],'Wtd scores by sub-groups'!$A$5:$K$72,5,FALSE)</f>
        <v>11.306654639175211</v>
      </c>
      <c r="M8" s="61">
        <f>VLOOKUP(Table13[[#This Row],[Donor Name]],'Wtd scores by sub-groups'!$A$5:$K$72,6,FALSE)</f>
        <v>9.7520567010309183</v>
      </c>
      <c r="N8" s="61">
        <f>VLOOKUP(Table13[[#This Row],[Donor Name]],'Wtd scores by sub-groups'!$A$5:$K$72,7,FALSE)</f>
        <v>3.2549999999999999</v>
      </c>
      <c r="O8" s="61">
        <f>VLOOKUP(Table13[[#This Row],[Donor Name]],'Wtd scores by sub-groups'!$A$5:$K$72,8,FALSE)</f>
        <v>6.1749999999999998</v>
      </c>
      <c r="P8" s="61">
        <f>VLOOKUP(Table13[[#This Row],[Donor Name]],'Wtd scores by sub-groups'!$A$5:$K$72,9,FALSE)</f>
        <v>2.1712773840206099</v>
      </c>
      <c r="Q8" s="61">
        <f>VLOOKUP(Table13[[#This Row],[Donor Name]],'Weighted scores by indicator'!$A$7:$AO$74,2,FALSE)</f>
        <v>1.1098889999999999</v>
      </c>
      <c r="R8" s="61">
        <f>VLOOKUP(Table13[[#This Row],[Donor Name]],'Weighted scores by indicator'!$A$7:$AO$74,3,FALSE)</f>
        <v>0.93240000000000001</v>
      </c>
      <c r="S8" s="61">
        <f>VLOOKUP(Table13[[#This Row],[Donor Name]],'Weighted scores by indicator'!$A$7:$AO$74,4,FALSE)</f>
        <v>2.2197779999999998</v>
      </c>
      <c r="T8" s="61">
        <f>VLOOKUP(Table13[[#This Row],[Donor Name]],'Weighted scores by indicator'!$A$7:$AO$74,5,FALSE)</f>
        <v>2.5</v>
      </c>
      <c r="U8" s="61">
        <f>VLOOKUP(Table13[[#This Row],[Donor Name]],'Weighted scores by indicator'!$A$7:$AO$74,6,FALSE)</f>
        <v>2.5</v>
      </c>
      <c r="V8" s="61">
        <f>VLOOKUP(Table13[[#This Row],[Donor Name]],'Weighted scores by indicator'!$A$7:$AO$74,7,FALSE)</f>
        <v>1.25</v>
      </c>
      <c r="W8" s="61">
        <f>VLOOKUP(Table13[[#This Row],[Donor Name]],'Weighted scores by indicator'!$A$7:$AO$74,8,FALSE)</f>
        <v>2.5</v>
      </c>
      <c r="X8" s="61">
        <f>VLOOKUP(Table13[[#This Row],[Donor Name]],'Weighted scores by indicator'!$A$7:$AO$74,9,FALSE)</f>
        <v>1.30040322580645</v>
      </c>
      <c r="Y8" s="61">
        <f>VLOOKUP(Table13[[#This Row],[Donor Name]],'Weighted scores by indicator'!$A$7:$AO$74,10,FALSE)</f>
        <v>0.69493050000000001</v>
      </c>
      <c r="Z8" s="61">
        <f>VLOOKUP(Table13[[#This Row],[Donor Name]],'Weighted scores by indicator'!$A$7:$AO$74,11,FALSE)</f>
        <v>2.085</v>
      </c>
      <c r="AA8" s="61">
        <f>VLOOKUP(Table13[[#This Row],[Donor Name]],'Weighted scores by indicator'!$A$7:$AO$74,12,FALSE)</f>
        <v>4.17</v>
      </c>
      <c r="AB8" s="61">
        <f>VLOOKUP(Table13[[#This Row],[Donor Name]],'Weighted scores by indicator'!$A$7:$AO$74,13,FALSE)</f>
        <v>1.54849999999999</v>
      </c>
      <c r="AC8" s="61">
        <f>VLOOKUP(Table13[[#This Row],[Donor Name]],'Weighted scores by indicator'!$A$7:$AO$74,14,FALSE)</f>
        <v>1.54849999999999</v>
      </c>
      <c r="AD8" s="61">
        <f>VLOOKUP(Table13[[#This Row],[Donor Name]],'Weighted scores by indicator'!$A$7:$AO$74,15,FALSE)</f>
        <v>1.54849999999999</v>
      </c>
      <c r="AE8" s="61">
        <f>VLOOKUP(Table13[[#This Row],[Donor Name]],'Weighted scores by indicator'!$A$7:$AO$74,16,FALSE)</f>
        <v>1.51588949742268</v>
      </c>
      <c r="AF8" s="61">
        <f>VLOOKUP(Table13[[#This Row],[Donor Name]],'Weighted scores by indicator'!$A$7:$AO$74,17,FALSE)</f>
        <v>1.5371572164948399</v>
      </c>
      <c r="AG8" s="61">
        <f>VLOOKUP(Table13[[#This Row],[Donor Name]],'Weighted scores by indicator'!$A$7:$AO$74,18,FALSE)</f>
        <v>1.24460792525773</v>
      </c>
      <c r="AH8" s="61">
        <f>VLOOKUP(Table13[[#This Row],[Donor Name]],'Weighted scores by indicator'!$A$7:$AO$74,19,FALSE)</f>
        <v>0.81499999999999995</v>
      </c>
      <c r="AI8" s="61">
        <f>VLOOKUP(Table13[[#This Row],[Donor Name]],'Weighted scores by indicator'!$A$7:$AO$74,20,FALSE)</f>
        <v>1.54849999999999</v>
      </c>
      <c r="AJ8" s="61">
        <f>VLOOKUP(Table13[[#This Row],[Donor Name]],'Weighted scores by indicator'!$A$7:$AO$74,21,FALSE)</f>
        <v>1.7669999999999999</v>
      </c>
      <c r="AK8" s="61">
        <f>VLOOKUP(Table13[[#This Row],[Donor Name]],'Weighted scores by indicator'!$A$7:$AO$74,22,FALSE)</f>
        <v>1.7669999999999999</v>
      </c>
      <c r="AL8" s="61">
        <f>VLOOKUP(Table13[[#This Row],[Donor Name]],'Weighted scores by indicator'!$A$7:$AO$74,23,FALSE)</f>
        <v>1.75405670103092</v>
      </c>
      <c r="AM8" s="61">
        <f>VLOOKUP(Table13[[#This Row],[Donor Name]],'Weighted scores by indicator'!$A$7:$AO$74,24,FALSE)</f>
        <v>1.7669999999999999</v>
      </c>
      <c r="AN8" s="61">
        <f>VLOOKUP(Table13[[#This Row],[Donor Name]],'Weighted scores by indicator'!$A$7:$AO$74,25,FALSE)</f>
        <v>1.7669999999999999</v>
      </c>
      <c r="AO8" s="61">
        <f>VLOOKUP(Table13[[#This Row],[Donor Name]],'Weighted scores by indicator'!$A$7:$AO$74,26,FALSE)</f>
        <v>0</v>
      </c>
      <c r="AP8" s="61">
        <f>VLOOKUP(Table13[[#This Row],[Donor Name]],'Weighted scores by indicator'!$A$7:$AO$74,27,FALSE)</f>
        <v>0.92999999999999905</v>
      </c>
      <c r="AQ8" s="61">
        <f>VLOOKUP(Table13[[#This Row],[Donor Name]],'Weighted scores by indicator'!$A$7:$AO$74,28,FALSE)</f>
        <v>0</v>
      </c>
      <c r="AR8" s="61">
        <f>VLOOKUP(Table13[[#This Row],[Donor Name]],'Weighted scores by indicator'!$A$7:$AO$74,29,FALSE)</f>
        <v>0</v>
      </c>
      <c r="AS8" s="61">
        <f>VLOOKUP(Table13[[#This Row],[Donor Name]],'Weighted scores by indicator'!$A$7:$AO$74,30,FALSE)</f>
        <v>1.085</v>
      </c>
      <c r="AT8" s="61">
        <f>VLOOKUP(Table13[[#This Row],[Donor Name]],'Weighted scores by indicator'!$A$7:$AO$74,31,FALSE)</f>
        <v>0</v>
      </c>
      <c r="AU8" s="61">
        <f>VLOOKUP(Table13[[#This Row],[Donor Name]],'Weighted scores by indicator'!$A$7:$AO$74,32,FALSE)</f>
        <v>1.085</v>
      </c>
      <c r="AV8" s="61">
        <f>VLOOKUP(Table13[[#This Row],[Donor Name]],'Weighted scores by indicator'!$A$7:$AO$74,33,FALSE)</f>
        <v>1.085</v>
      </c>
      <c r="AW8" s="61">
        <f>VLOOKUP(Table13[[#This Row],[Donor Name]],'Weighted scores by indicator'!$A$7:$AO$74,34,FALSE)</f>
        <v>0</v>
      </c>
      <c r="AX8" s="61">
        <f>VLOOKUP(Table13[[#This Row],[Donor Name]],'Weighted scores by indicator'!$A$7:$AO$74,35,FALSE)</f>
        <v>3.0874999999999999</v>
      </c>
      <c r="AY8" s="61">
        <f>VLOOKUP(Table13[[#This Row],[Donor Name]],'Weighted scores by indicator'!$A$7:$AO$74,36,FALSE)</f>
        <v>3.0874999999999999</v>
      </c>
      <c r="AZ8" s="61">
        <f>VLOOKUP(Table13[[#This Row],[Donor Name]],'Weighted scores by indicator'!$A$7:$AO$74,37,FALSE)</f>
        <v>0</v>
      </c>
      <c r="BA8" s="61">
        <f>VLOOKUP(Table13[[#This Row],[Donor Name]],'Weighted scores by indicator'!$A$7:$AO$74,38,FALSE)</f>
        <v>0</v>
      </c>
      <c r="BB8" s="61">
        <f>VLOOKUP(Table13[[#This Row],[Donor Name]],'Weighted scores by indicator'!$A$7:$AO$74,39,FALSE)</f>
        <v>0</v>
      </c>
      <c r="BC8" s="111">
        <f>VLOOKUP(Table13[[#This Row],[Donor Name]],'Weighted scores by indicator'!$A$7:$AO$74,40,FALSE)</f>
        <v>2.1712773840206099</v>
      </c>
      <c r="BD8" s="61">
        <f>COUNTIF(Table13[[#This Row],[FOIA]:[Conditions]],"0")</f>
        <v>8</v>
      </c>
      <c r="BE8" s="61">
        <f>COUNTIF(Table13[[#This Row],[FOIA]:[Conditions]],"&gt;0")</f>
        <v>31</v>
      </c>
      <c r="BG8">
        <f>39-SUM(Table13[[#This Row],[No of indicators not scoring on]:[No of indicators scoring on]])</f>
        <v>0</v>
      </c>
    </row>
    <row r="9" spans="1:59" x14ac:dyDescent="0.25">
      <c r="A9" s="104" t="s">
        <v>1198</v>
      </c>
      <c r="B9" s="102" t="s">
        <v>1197</v>
      </c>
      <c r="C9" s="157">
        <f>VLOOKUP(Table13[[#This Row],[Donor Name]],'Overall scores and ranking'!$A$3:$D$72,2,FALSE)</f>
        <v>53.780289086474419</v>
      </c>
      <c r="D9" s="107">
        <f>VLOOKUP(Table13[[#This Row],[Donor Name]],'Overall scores and ranking'!$A$3:$D$72,3,FALSE)</f>
        <v>18</v>
      </c>
      <c r="E9" s="107">
        <f>RANK(Table13[[#This Row],[Overall Score]],Table13[Overall Score],0)</f>
        <v>6</v>
      </c>
      <c r="F9" s="61" t="str">
        <f>VLOOKUP(Table13[[#This Row],[Donor Name]],'Overall scores and ranking'!$A$3:$D$72,4,FALSE)</f>
        <v>Fair</v>
      </c>
      <c r="G9" s="109">
        <f>VLOOKUP(Table13[[#This Row],[Donor Name]],'Wtd - IATI vs Others'!$A$5:$D$72,2,FALSE)</f>
        <v>40.390761086474413</v>
      </c>
      <c r="H9" s="61">
        <f>VLOOKUP(Table13[[#This Row],[Donor Name]],'Wtd - IATI vs Others'!$A$5:$D$72,3,FALSE)</f>
        <v>13.389527999999999</v>
      </c>
      <c r="I9" s="61">
        <f>VLOOKUP(Table13[[#This Row],[Donor Name]],'Wtd scores by sub-groups'!$A$5:$K$72,2,FALSE)</f>
        <v>4.9946669999999997</v>
      </c>
      <c r="J9" s="61">
        <f>VLOOKUP(Table13[[#This Row],[Donor Name]],'Wtd scores by sub-groups'!$A$5:$K$72,3,FALSE)</f>
        <v>8.75</v>
      </c>
      <c r="K9" s="61">
        <f>VLOOKUP(Table13[[#This Row],[Donor Name]],'Wtd scores by sub-groups'!$A$5:$K$72,4,FALSE)</f>
        <v>5.5598609999999997</v>
      </c>
      <c r="L9" s="61">
        <f>VLOOKUP(Table13[[#This Row],[Donor Name]],'Wtd scores by sub-groups'!$A$5:$K$72,5,FALSE)</f>
        <v>11.818493902438959</v>
      </c>
      <c r="M9" s="61">
        <f>VLOOKUP(Table13[[#This Row],[Donor Name]],'Wtd scores by sub-groups'!$A$5:$K$72,6,FALSE)</f>
        <v>10.601999999999999</v>
      </c>
      <c r="N9" s="61">
        <f>VLOOKUP(Table13[[#This Row],[Donor Name]],'Wtd scores by sub-groups'!$A$5:$K$72,7,FALSE)</f>
        <v>3.2549999999999999</v>
      </c>
      <c r="O9" s="61">
        <f>VLOOKUP(Table13[[#This Row],[Donor Name]],'Wtd scores by sub-groups'!$A$5:$K$72,8,FALSE)</f>
        <v>5.6610171840354697</v>
      </c>
      <c r="P9" s="61">
        <f>VLOOKUP(Table13[[#This Row],[Donor Name]],'Wtd scores by sub-groups'!$A$5:$K$72,9,FALSE)</f>
        <v>3.1392499999999899</v>
      </c>
      <c r="Q9" s="61">
        <f>VLOOKUP(Table13[[#This Row],[Donor Name]],'Weighted scores by indicator'!$A$7:$AO$74,2,FALSE)</f>
        <v>2.2197779999999998</v>
      </c>
      <c r="R9" s="61">
        <f>VLOOKUP(Table13[[#This Row],[Donor Name]],'Weighted scores by indicator'!$A$7:$AO$74,3,FALSE)</f>
        <v>1.665</v>
      </c>
      <c r="S9" s="61">
        <f>VLOOKUP(Table13[[#This Row],[Donor Name]],'Weighted scores by indicator'!$A$7:$AO$74,4,FALSE)</f>
        <v>1.1098889999999999</v>
      </c>
      <c r="T9" s="61">
        <f>VLOOKUP(Table13[[#This Row],[Donor Name]],'Weighted scores by indicator'!$A$7:$AO$74,5,FALSE)</f>
        <v>2.5</v>
      </c>
      <c r="U9" s="61">
        <f>VLOOKUP(Table13[[#This Row],[Donor Name]],'Weighted scores by indicator'!$A$7:$AO$74,6,FALSE)</f>
        <v>2.5</v>
      </c>
      <c r="V9" s="61">
        <f>VLOOKUP(Table13[[#This Row],[Donor Name]],'Weighted scores by indicator'!$A$7:$AO$74,7,FALSE)</f>
        <v>1.25</v>
      </c>
      <c r="W9" s="61">
        <f>VLOOKUP(Table13[[#This Row],[Donor Name]],'Weighted scores by indicator'!$A$7:$AO$74,8,FALSE)</f>
        <v>1.25</v>
      </c>
      <c r="X9" s="61">
        <f>VLOOKUP(Table13[[#This Row],[Donor Name]],'Weighted scores by indicator'!$A$7:$AO$74,9,FALSE)</f>
        <v>1.25</v>
      </c>
      <c r="Y9" s="61">
        <f>VLOOKUP(Table13[[#This Row],[Donor Name]],'Weighted scores by indicator'!$A$7:$AO$74,10,FALSE)</f>
        <v>4.17</v>
      </c>
      <c r="Z9" s="61">
        <f>VLOOKUP(Table13[[#This Row],[Donor Name]],'Weighted scores by indicator'!$A$7:$AO$74,11,FALSE)</f>
        <v>1.389861</v>
      </c>
      <c r="AA9" s="61">
        <f>VLOOKUP(Table13[[#This Row],[Donor Name]],'Weighted scores by indicator'!$A$7:$AO$74,12,FALSE)</f>
        <v>0</v>
      </c>
      <c r="AB9" s="61">
        <f>VLOOKUP(Table13[[#This Row],[Donor Name]],'Weighted scores by indicator'!$A$7:$AO$74,13,FALSE)</f>
        <v>1.54849999999999</v>
      </c>
      <c r="AC9" s="61">
        <f>VLOOKUP(Table13[[#This Row],[Donor Name]],'Weighted scores by indicator'!$A$7:$AO$74,14,FALSE)</f>
        <v>1.54849999999999</v>
      </c>
      <c r="AD9" s="61">
        <f>VLOOKUP(Table13[[#This Row],[Donor Name]],'Weighted scores by indicator'!$A$7:$AO$74,15,FALSE)</f>
        <v>1.5483644678492201</v>
      </c>
      <c r="AE9" s="61">
        <f>VLOOKUP(Table13[[#This Row],[Donor Name]],'Weighted scores by indicator'!$A$7:$AO$74,16,FALSE)</f>
        <v>1.3458794345898</v>
      </c>
      <c r="AF9" s="61">
        <f>VLOOKUP(Table13[[#This Row],[Donor Name]],'Weighted scores by indicator'!$A$7:$AO$74,17,FALSE)</f>
        <v>1.1817499999999901</v>
      </c>
      <c r="AG9" s="61">
        <f>VLOOKUP(Table13[[#This Row],[Donor Name]],'Weighted scores by indicator'!$A$7:$AO$74,18,FALSE)</f>
        <v>1.54849999999999</v>
      </c>
      <c r="AH9" s="61">
        <f>VLOOKUP(Table13[[#This Row],[Donor Name]],'Weighted scores by indicator'!$A$7:$AO$74,19,FALSE)</f>
        <v>1.54849999999999</v>
      </c>
      <c r="AI9" s="61">
        <f>VLOOKUP(Table13[[#This Row],[Donor Name]],'Weighted scores by indicator'!$A$7:$AO$74,20,FALSE)</f>
        <v>1.54849999999999</v>
      </c>
      <c r="AJ9" s="61">
        <f>VLOOKUP(Table13[[#This Row],[Donor Name]],'Weighted scores by indicator'!$A$7:$AO$74,21,FALSE)</f>
        <v>1.7669999999999999</v>
      </c>
      <c r="AK9" s="61">
        <f>VLOOKUP(Table13[[#This Row],[Donor Name]],'Weighted scores by indicator'!$A$7:$AO$74,22,FALSE)</f>
        <v>1.7669999999999999</v>
      </c>
      <c r="AL9" s="61">
        <f>VLOOKUP(Table13[[#This Row],[Donor Name]],'Weighted scores by indicator'!$A$7:$AO$74,23,FALSE)</f>
        <v>1.7669999999999999</v>
      </c>
      <c r="AM9" s="61">
        <f>VLOOKUP(Table13[[#This Row],[Donor Name]],'Weighted scores by indicator'!$A$7:$AO$74,24,FALSE)</f>
        <v>1.7669999999999999</v>
      </c>
      <c r="AN9" s="61">
        <f>VLOOKUP(Table13[[#This Row],[Donor Name]],'Weighted scores by indicator'!$A$7:$AO$74,25,FALSE)</f>
        <v>1.7669999999999999</v>
      </c>
      <c r="AO9" s="61">
        <f>VLOOKUP(Table13[[#This Row],[Donor Name]],'Weighted scores by indicator'!$A$7:$AO$74,26,FALSE)</f>
        <v>0</v>
      </c>
      <c r="AP9" s="61">
        <f>VLOOKUP(Table13[[#This Row],[Donor Name]],'Weighted scores by indicator'!$A$7:$AO$74,27,FALSE)</f>
        <v>1.7669999999999999</v>
      </c>
      <c r="AQ9" s="61">
        <f>VLOOKUP(Table13[[#This Row],[Donor Name]],'Weighted scores by indicator'!$A$7:$AO$74,28,FALSE)</f>
        <v>0</v>
      </c>
      <c r="AR9" s="61">
        <f>VLOOKUP(Table13[[#This Row],[Donor Name]],'Weighted scores by indicator'!$A$7:$AO$74,29,FALSE)</f>
        <v>0</v>
      </c>
      <c r="AS9" s="61">
        <f>VLOOKUP(Table13[[#This Row],[Donor Name]],'Weighted scores by indicator'!$A$7:$AO$74,30,FALSE)</f>
        <v>1.085</v>
      </c>
      <c r="AT9" s="61">
        <f>VLOOKUP(Table13[[#This Row],[Donor Name]],'Weighted scores by indicator'!$A$7:$AO$74,31,FALSE)</f>
        <v>0</v>
      </c>
      <c r="AU9" s="61">
        <f>VLOOKUP(Table13[[#This Row],[Donor Name]],'Weighted scores by indicator'!$A$7:$AO$74,32,FALSE)</f>
        <v>1.085</v>
      </c>
      <c r="AV9" s="61">
        <f>VLOOKUP(Table13[[#This Row],[Donor Name]],'Weighted scores by indicator'!$A$7:$AO$74,33,FALSE)</f>
        <v>1.085</v>
      </c>
      <c r="AW9" s="61">
        <f>VLOOKUP(Table13[[#This Row],[Donor Name]],'Weighted scores by indicator'!$A$7:$AO$74,34,FALSE)</f>
        <v>0</v>
      </c>
      <c r="AX9" s="61">
        <f>VLOOKUP(Table13[[#This Row],[Donor Name]],'Weighted scores by indicator'!$A$7:$AO$74,35,FALSE)</f>
        <v>2.5735171840354698</v>
      </c>
      <c r="AY9" s="61">
        <f>VLOOKUP(Table13[[#This Row],[Donor Name]],'Weighted scores by indicator'!$A$7:$AO$74,36,FALSE)</f>
        <v>3.0874999999999999</v>
      </c>
      <c r="AZ9" s="61">
        <f>VLOOKUP(Table13[[#This Row],[Donor Name]],'Weighted scores by indicator'!$A$7:$AO$74,37,FALSE)</f>
        <v>0</v>
      </c>
      <c r="BA9" s="61">
        <f>VLOOKUP(Table13[[#This Row],[Donor Name]],'Weighted scores by indicator'!$A$7:$AO$74,38,FALSE)</f>
        <v>0</v>
      </c>
      <c r="BB9" s="61">
        <f>VLOOKUP(Table13[[#This Row],[Donor Name]],'Weighted scores by indicator'!$A$7:$AO$74,39,FALSE)</f>
        <v>0</v>
      </c>
      <c r="BC9" s="111">
        <f>VLOOKUP(Table13[[#This Row],[Donor Name]],'Weighted scores by indicator'!$A$7:$AO$74,40,FALSE)</f>
        <v>3.1392499999999899</v>
      </c>
      <c r="BD9" s="61">
        <f>COUNTIF(Table13[[#This Row],[FOIA]:[Conditions]],"0")</f>
        <v>9</v>
      </c>
      <c r="BE9" s="61">
        <f>COUNTIF(Table13[[#This Row],[FOIA]:[Conditions]],"&gt;0")</f>
        <v>30</v>
      </c>
      <c r="BG9">
        <f>39-SUM(Table13[[#This Row],[No of indicators not scoring on]:[No of indicators scoring on]])</f>
        <v>0</v>
      </c>
    </row>
    <row r="10" spans="1:59" x14ac:dyDescent="0.25">
      <c r="A10" s="104" t="s">
        <v>1768</v>
      </c>
      <c r="B10" s="102" t="s">
        <v>1767</v>
      </c>
      <c r="C10" s="157">
        <f>VLOOKUP(Table13[[#This Row],[Donor Name]],'Overall scores and ranking'!$A$3:$D$72,2,FALSE)</f>
        <v>53.764271701626981</v>
      </c>
      <c r="D10" s="107">
        <f>VLOOKUP(Table13[[#This Row],[Donor Name]],'Overall scores and ranking'!$A$3:$D$72,3,FALSE)</f>
        <v>19</v>
      </c>
      <c r="E10" s="107">
        <f>RANK(Table13[[#This Row],[Overall Score]],Table13[Overall Score],0)</f>
        <v>7</v>
      </c>
      <c r="F10" s="61" t="str">
        <f>VLOOKUP(Table13[[#This Row],[Donor Name]],'Overall scores and ranking'!$A$3:$D$72,4,FALSE)</f>
        <v>Fair</v>
      </c>
      <c r="G10" s="109">
        <f>VLOOKUP(Table13[[#This Row],[Donor Name]],'Wtd - IATI vs Others'!$A$5:$D$72,2,FALSE)</f>
        <v>37.830636701626986</v>
      </c>
      <c r="H10" s="61">
        <f>VLOOKUP(Table13[[#This Row],[Donor Name]],'Wtd - IATI vs Others'!$A$5:$D$72,3,FALSE)</f>
        <v>15.933634999999999</v>
      </c>
      <c r="I10" s="61">
        <f>VLOOKUP(Table13[[#This Row],[Donor Name]],'Wtd scores by sub-groups'!$A$5:$K$72,2,FALSE)</f>
        <v>6.9703559999999998</v>
      </c>
      <c r="J10" s="61">
        <f>VLOOKUP(Table13[[#This Row],[Donor Name]],'Wtd scores by sub-groups'!$A$5:$K$72,3,FALSE)</f>
        <v>6.25</v>
      </c>
      <c r="K10" s="61">
        <f>VLOOKUP(Table13[[#This Row],[Donor Name]],'Wtd scores by sub-groups'!$A$5:$K$72,4,FALSE)</f>
        <v>5.5034335133540297</v>
      </c>
      <c r="L10" s="61">
        <f>VLOOKUP(Table13[[#This Row],[Donor Name]],'Wtd scores by sub-groups'!$A$5:$K$72,5,FALSE)</f>
        <v>11.785540944537248</v>
      </c>
      <c r="M10" s="61">
        <f>VLOOKUP(Table13[[#This Row],[Donor Name]],'Wtd scores by sub-groups'!$A$5:$K$72,6,FALSE)</f>
        <v>12.188704190611759</v>
      </c>
      <c r="N10" s="61">
        <f>VLOOKUP(Table13[[#This Row],[Donor Name]],'Wtd scores by sub-groups'!$A$5:$K$72,7,FALSE)</f>
        <v>2.17</v>
      </c>
      <c r="O10" s="61">
        <f>VLOOKUP(Table13[[#This Row],[Donor Name]],'Wtd scores by sub-groups'!$A$5:$K$72,8,FALSE)</f>
        <v>8.8962370531239507</v>
      </c>
      <c r="P10" s="61">
        <f>VLOOKUP(Table13[[#This Row],[Donor Name]],'Wtd scores by sub-groups'!$A$5:$K$72,9,FALSE)</f>
        <v>0</v>
      </c>
      <c r="Q10" s="61">
        <f>VLOOKUP(Table13[[#This Row],[Donor Name]],'Weighted scores by indicator'!$A$7:$AO$74,2,FALSE)</f>
        <v>2.2197779999999998</v>
      </c>
      <c r="R10" s="61">
        <f>VLOOKUP(Table13[[#This Row],[Donor Name]],'Weighted scores by indicator'!$A$7:$AO$74,3,FALSE)</f>
        <v>2.5308000000000002</v>
      </c>
      <c r="S10" s="61">
        <f>VLOOKUP(Table13[[#This Row],[Donor Name]],'Weighted scores by indicator'!$A$7:$AO$74,4,FALSE)</f>
        <v>2.2197779999999998</v>
      </c>
      <c r="T10" s="61">
        <f>VLOOKUP(Table13[[#This Row],[Donor Name]],'Weighted scores by indicator'!$A$7:$AO$74,5,FALSE)</f>
        <v>1.25</v>
      </c>
      <c r="U10" s="61">
        <f>VLOOKUP(Table13[[#This Row],[Donor Name]],'Weighted scores by indicator'!$A$7:$AO$74,6,FALSE)</f>
        <v>1.25</v>
      </c>
      <c r="V10" s="61">
        <f>VLOOKUP(Table13[[#This Row],[Donor Name]],'Weighted scores by indicator'!$A$7:$AO$74,7,FALSE)</f>
        <v>1.25</v>
      </c>
      <c r="W10" s="61">
        <f>VLOOKUP(Table13[[#This Row],[Donor Name]],'Weighted scores by indicator'!$A$7:$AO$74,8,FALSE)</f>
        <v>1.25</v>
      </c>
      <c r="X10" s="61">
        <f>VLOOKUP(Table13[[#This Row],[Donor Name]],'Weighted scores by indicator'!$A$7:$AO$74,9,FALSE)</f>
        <v>1.25</v>
      </c>
      <c r="Y10" s="61">
        <f>VLOOKUP(Table13[[#This Row],[Donor Name]],'Weighted scores by indicator'!$A$7:$AO$74,10,FALSE)</f>
        <v>2.78</v>
      </c>
      <c r="Z10" s="61">
        <f>VLOOKUP(Table13[[#This Row],[Donor Name]],'Weighted scores by indicator'!$A$7:$AO$74,11,FALSE)</f>
        <v>2.7234335133540299</v>
      </c>
      <c r="AA10" s="61">
        <f>VLOOKUP(Table13[[#This Row],[Donor Name]],'Weighted scores by indicator'!$A$7:$AO$74,12,FALSE)</f>
        <v>0</v>
      </c>
      <c r="AB10" s="61">
        <f>VLOOKUP(Table13[[#This Row],[Donor Name]],'Weighted scores by indicator'!$A$7:$AO$74,13,FALSE)</f>
        <v>1.63</v>
      </c>
      <c r="AC10" s="61">
        <f>VLOOKUP(Table13[[#This Row],[Donor Name]],'Weighted scores by indicator'!$A$7:$AO$74,14,FALSE)</f>
        <v>1.63</v>
      </c>
      <c r="AD10" s="61">
        <f>VLOOKUP(Table13[[#This Row],[Donor Name]],'Weighted scores by indicator'!$A$7:$AO$74,15,FALSE)</f>
        <v>1.6067181757433999</v>
      </c>
      <c r="AE10" s="61">
        <f>VLOOKUP(Table13[[#This Row],[Donor Name]],'Weighted scores by indicator'!$A$7:$AO$74,16,FALSE)</f>
        <v>1.48554376879385</v>
      </c>
      <c r="AF10" s="61">
        <f>VLOOKUP(Table13[[#This Row],[Donor Name]],'Weighted scores by indicator'!$A$7:$AO$74,17,FALSE)</f>
        <v>1.63</v>
      </c>
      <c r="AG10" s="61">
        <f>VLOOKUP(Table13[[#This Row],[Donor Name]],'Weighted scores by indicator'!$A$7:$AO$74,18,FALSE)</f>
        <v>1.63</v>
      </c>
      <c r="AH10" s="61">
        <f>VLOOKUP(Table13[[#This Row],[Donor Name]],'Weighted scores by indicator'!$A$7:$AO$74,19,FALSE)</f>
        <v>1.63</v>
      </c>
      <c r="AI10" s="61">
        <f>VLOOKUP(Table13[[#This Row],[Donor Name]],'Weighted scores by indicator'!$A$7:$AO$74,20,FALSE)</f>
        <v>0.54327899999999996</v>
      </c>
      <c r="AJ10" s="61">
        <f>VLOOKUP(Table13[[#This Row],[Donor Name]],'Weighted scores by indicator'!$A$7:$AO$74,21,FALSE)</f>
        <v>1.8599999999999901</v>
      </c>
      <c r="AK10" s="61">
        <f>VLOOKUP(Table13[[#This Row],[Donor Name]],'Weighted scores by indicator'!$A$7:$AO$74,22,FALSE)</f>
        <v>1.8599999999999901</v>
      </c>
      <c r="AL10" s="61">
        <f>VLOOKUP(Table13[[#This Row],[Donor Name]],'Weighted scores by indicator'!$A$7:$AO$74,23,FALSE)</f>
        <v>1.8599999999999901</v>
      </c>
      <c r="AM10" s="61">
        <f>VLOOKUP(Table13[[#This Row],[Donor Name]],'Weighted scores by indicator'!$A$7:$AO$74,24,FALSE)</f>
        <v>1.8599999999999901</v>
      </c>
      <c r="AN10" s="61">
        <f>VLOOKUP(Table13[[#This Row],[Donor Name]],'Weighted scores by indicator'!$A$7:$AO$74,25,FALSE)</f>
        <v>1.8596892749749401</v>
      </c>
      <c r="AO10" s="61">
        <f>VLOOKUP(Table13[[#This Row],[Donor Name]],'Weighted scores by indicator'!$A$7:$AO$74,26,FALSE)</f>
        <v>1.0437743543271401</v>
      </c>
      <c r="AP10" s="61">
        <f>VLOOKUP(Table13[[#This Row],[Donor Name]],'Weighted scores by indicator'!$A$7:$AO$74,27,FALSE)</f>
        <v>1.84524056130972</v>
      </c>
      <c r="AQ10" s="61">
        <f>VLOOKUP(Table13[[#This Row],[Donor Name]],'Weighted scores by indicator'!$A$7:$AO$74,28,FALSE)</f>
        <v>0</v>
      </c>
      <c r="AR10" s="61">
        <f>VLOOKUP(Table13[[#This Row],[Donor Name]],'Weighted scores by indicator'!$A$7:$AO$74,29,FALSE)</f>
        <v>1.085</v>
      </c>
      <c r="AS10" s="61">
        <f>VLOOKUP(Table13[[#This Row],[Donor Name]],'Weighted scores by indicator'!$A$7:$AO$74,30,FALSE)</f>
        <v>0</v>
      </c>
      <c r="AT10" s="61">
        <f>VLOOKUP(Table13[[#This Row],[Donor Name]],'Weighted scores by indicator'!$A$7:$AO$74,31,FALSE)</f>
        <v>0</v>
      </c>
      <c r="AU10" s="61">
        <f>VLOOKUP(Table13[[#This Row],[Donor Name]],'Weighted scores by indicator'!$A$7:$AO$74,32,FALSE)</f>
        <v>0</v>
      </c>
      <c r="AV10" s="61">
        <f>VLOOKUP(Table13[[#This Row],[Donor Name]],'Weighted scores by indicator'!$A$7:$AO$74,33,FALSE)</f>
        <v>1.085</v>
      </c>
      <c r="AW10" s="61">
        <f>VLOOKUP(Table13[[#This Row],[Donor Name]],'Weighted scores by indicator'!$A$7:$AO$74,34,FALSE)</f>
        <v>2.4375</v>
      </c>
      <c r="AX10" s="61">
        <f>VLOOKUP(Table13[[#This Row],[Donor Name]],'Weighted scores by indicator'!$A$7:$AO$74,35,FALSE)</f>
        <v>3.2445706648847299</v>
      </c>
      <c r="AY10" s="61">
        <f>VLOOKUP(Table13[[#This Row],[Donor Name]],'Weighted scores by indicator'!$A$7:$AO$74,36,FALSE)</f>
        <v>3.21416638823922</v>
      </c>
      <c r="AZ10" s="61">
        <f>VLOOKUP(Table13[[#This Row],[Donor Name]],'Weighted scores by indicator'!$A$7:$AO$74,37,FALSE)</f>
        <v>0</v>
      </c>
      <c r="BA10" s="61">
        <f>VLOOKUP(Table13[[#This Row],[Donor Name]],'Weighted scores by indicator'!$A$7:$AO$74,38,FALSE)</f>
        <v>0</v>
      </c>
      <c r="BB10" s="61">
        <f>VLOOKUP(Table13[[#This Row],[Donor Name]],'Weighted scores by indicator'!$A$7:$AO$74,39,FALSE)</f>
        <v>0</v>
      </c>
      <c r="BC10" s="111">
        <f>VLOOKUP(Table13[[#This Row],[Donor Name]],'Weighted scores by indicator'!$A$7:$AO$74,40,FALSE)</f>
        <v>0</v>
      </c>
      <c r="BD10" s="61">
        <f>COUNTIF(Table13[[#This Row],[FOIA]:[Conditions]],"0")</f>
        <v>9</v>
      </c>
      <c r="BE10" s="61">
        <f>COUNTIF(Table13[[#This Row],[FOIA]:[Conditions]],"&gt;0")</f>
        <v>30</v>
      </c>
      <c r="BG10">
        <f>39-SUM(Table13[[#This Row],[No of indicators not scoring on]:[No of indicators scoring on]])</f>
        <v>0</v>
      </c>
    </row>
    <row r="11" spans="1:59" x14ac:dyDescent="0.25">
      <c r="A11" s="104" t="s">
        <v>2463</v>
      </c>
      <c r="B11" s="102" t="s">
        <v>2993</v>
      </c>
      <c r="C11" s="157">
        <f>VLOOKUP(Table13[[#This Row],[Donor Name]],'Overall scores and ranking'!$A$3:$D$72,2,FALSE)</f>
        <v>50.824189529418135</v>
      </c>
      <c r="D11" s="107">
        <f>VLOOKUP(Table13[[#This Row],[Donor Name]],'Overall scores and ranking'!$A$3:$D$72,3,FALSE)</f>
        <v>20</v>
      </c>
      <c r="E11" s="107">
        <f>RANK(Table13[[#This Row],[Overall Score]],Table13[Overall Score],0)</f>
        <v>8</v>
      </c>
      <c r="F11" s="61" t="str">
        <f>VLOOKUP(Table13[[#This Row],[Donor Name]],'Overall scores and ranking'!$A$3:$D$72,4,FALSE)</f>
        <v>Fair</v>
      </c>
      <c r="G11" s="109">
        <f>VLOOKUP(Table13[[#This Row],[Donor Name]],'Wtd - IATI vs Others'!$A$5:$D$72,2,FALSE)</f>
        <v>40.347112029418128</v>
      </c>
      <c r="H11" s="61">
        <f>VLOOKUP(Table13[[#This Row],[Donor Name]],'Wtd - IATI vs Others'!$A$5:$D$72,3,FALSE)</f>
        <v>10.477077499999998</v>
      </c>
      <c r="I11" s="61">
        <f>VLOOKUP(Table13[[#This Row],[Donor Name]],'Wtd scores by sub-groups'!$A$5:$K$72,2,FALSE)</f>
        <v>3.1521779999999997</v>
      </c>
      <c r="J11" s="61">
        <f>VLOOKUP(Table13[[#This Row],[Donor Name]],'Wtd scores by sub-groups'!$A$5:$K$72,3,FALSE)</f>
        <v>10.05040322580645</v>
      </c>
      <c r="K11" s="61">
        <f>VLOOKUP(Table13[[#This Row],[Donor Name]],'Wtd scores by sub-groups'!$A$5:$K$72,4,FALSE)</f>
        <v>6.9499304999999998</v>
      </c>
      <c r="L11" s="61">
        <f>VLOOKUP(Table13[[#This Row],[Donor Name]],'Wtd scores by sub-groups'!$A$5:$K$72,5,FALSE)</f>
        <v>11.171019187358869</v>
      </c>
      <c r="M11" s="61">
        <f>VLOOKUP(Table13[[#This Row],[Donor Name]],'Wtd scores by sub-groups'!$A$5:$K$72,6,FALSE)</f>
        <v>8.9862601963882582</v>
      </c>
      <c r="N11" s="61">
        <f>VLOOKUP(Table13[[#This Row],[Donor Name]],'Wtd scores by sub-groups'!$A$5:$K$72,7,FALSE)</f>
        <v>2.17</v>
      </c>
      <c r="O11" s="61">
        <f>VLOOKUP(Table13[[#This Row],[Donor Name]],'Wtd scores by sub-groups'!$A$5:$K$72,8,FALSE)</f>
        <v>6.1749999999999998</v>
      </c>
      <c r="P11" s="61">
        <f>VLOOKUP(Table13[[#This Row],[Donor Name]],'Wtd scores by sub-groups'!$A$5:$K$72,9,FALSE)</f>
        <v>2.16939841986455</v>
      </c>
      <c r="Q11" s="61">
        <f>VLOOKUP(Table13[[#This Row],[Donor Name]],'Weighted scores by indicator'!$A$7:$AO$74,2,FALSE)</f>
        <v>1.1098889999999999</v>
      </c>
      <c r="R11" s="61">
        <f>VLOOKUP(Table13[[#This Row],[Donor Name]],'Weighted scores by indicator'!$A$7:$AO$74,3,FALSE)</f>
        <v>0.93240000000000001</v>
      </c>
      <c r="S11" s="61">
        <f>VLOOKUP(Table13[[#This Row],[Donor Name]],'Weighted scores by indicator'!$A$7:$AO$74,4,FALSE)</f>
        <v>1.1098889999999999</v>
      </c>
      <c r="T11" s="61">
        <f>VLOOKUP(Table13[[#This Row],[Donor Name]],'Weighted scores by indicator'!$A$7:$AO$74,5,FALSE)</f>
        <v>2.5</v>
      </c>
      <c r="U11" s="61">
        <f>VLOOKUP(Table13[[#This Row],[Donor Name]],'Weighted scores by indicator'!$A$7:$AO$74,6,FALSE)</f>
        <v>2.5</v>
      </c>
      <c r="V11" s="61">
        <f>VLOOKUP(Table13[[#This Row],[Donor Name]],'Weighted scores by indicator'!$A$7:$AO$74,7,FALSE)</f>
        <v>1.25</v>
      </c>
      <c r="W11" s="61">
        <f>VLOOKUP(Table13[[#This Row],[Donor Name]],'Weighted scores by indicator'!$A$7:$AO$74,8,FALSE)</f>
        <v>2.5</v>
      </c>
      <c r="X11" s="61">
        <f>VLOOKUP(Table13[[#This Row],[Donor Name]],'Weighted scores by indicator'!$A$7:$AO$74,9,FALSE)</f>
        <v>1.30040322580645</v>
      </c>
      <c r="Y11" s="61">
        <f>VLOOKUP(Table13[[#This Row],[Donor Name]],'Weighted scores by indicator'!$A$7:$AO$74,10,FALSE)</f>
        <v>0.69493050000000001</v>
      </c>
      <c r="Z11" s="61">
        <f>VLOOKUP(Table13[[#This Row],[Donor Name]],'Weighted scores by indicator'!$A$7:$AO$74,11,FALSE)</f>
        <v>2.085</v>
      </c>
      <c r="AA11" s="61">
        <f>VLOOKUP(Table13[[#This Row],[Donor Name]],'Weighted scores by indicator'!$A$7:$AO$74,12,FALSE)</f>
        <v>4.17</v>
      </c>
      <c r="AB11" s="61">
        <f>VLOOKUP(Table13[[#This Row],[Donor Name]],'Weighted scores by indicator'!$A$7:$AO$74,13,FALSE)</f>
        <v>1.54849999999999</v>
      </c>
      <c r="AC11" s="61">
        <f>VLOOKUP(Table13[[#This Row],[Donor Name]],'Weighted scores by indicator'!$A$7:$AO$74,14,FALSE)</f>
        <v>1.54849999999999</v>
      </c>
      <c r="AD11" s="61">
        <f>VLOOKUP(Table13[[#This Row],[Donor Name]],'Weighted scores by indicator'!$A$7:$AO$74,15,FALSE)</f>
        <v>1.54849999999999</v>
      </c>
      <c r="AE11" s="61">
        <f>VLOOKUP(Table13[[#This Row],[Donor Name]],'Weighted scores by indicator'!$A$7:$AO$74,16,FALSE)</f>
        <v>1.44335948081264</v>
      </c>
      <c r="AF11" s="61">
        <f>VLOOKUP(Table13[[#This Row],[Donor Name]],'Weighted scores by indicator'!$A$7:$AO$74,17,FALSE)</f>
        <v>1.4789582392776499</v>
      </c>
      <c r="AG11" s="61">
        <f>VLOOKUP(Table13[[#This Row],[Donor Name]],'Weighted scores by indicator'!$A$7:$AO$74,18,FALSE)</f>
        <v>1.23970146726862</v>
      </c>
      <c r="AH11" s="61">
        <f>VLOOKUP(Table13[[#This Row],[Donor Name]],'Weighted scores by indicator'!$A$7:$AO$74,19,FALSE)</f>
        <v>0.81499999999999995</v>
      </c>
      <c r="AI11" s="61">
        <f>VLOOKUP(Table13[[#This Row],[Donor Name]],'Weighted scores by indicator'!$A$7:$AO$74,20,FALSE)</f>
        <v>1.54849999999999</v>
      </c>
      <c r="AJ11" s="61">
        <f>VLOOKUP(Table13[[#This Row],[Donor Name]],'Weighted scores by indicator'!$A$7:$AO$74,21,FALSE)</f>
        <v>1.7669999999999999</v>
      </c>
      <c r="AK11" s="61">
        <f>VLOOKUP(Table13[[#This Row],[Donor Name]],'Weighted scores by indicator'!$A$7:$AO$74,22,FALSE)</f>
        <v>1.7669999999999999</v>
      </c>
      <c r="AL11" s="61">
        <f>VLOOKUP(Table13[[#This Row],[Donor Name]],'Weighted scores by indicator'!$A$7:$AO$74,23,FALSE)</f>
        <v>1.6876455981941301</v>
      </c>
      <c r="AM11" s="61">
        <f>VLOOKUP(Table13[[#This Row],[Donor Name]],'Weighted scores by indicator'!$A$7:$AO$74,24,FALSE)</f>
        <v>1.6876455981941301</v>
      </c>
      <c r="AN11" s="61">
        <f>VLOOKUP(Table13[[#This Row],[Donor Name]],'Weighted scores by indicator'!$A$7:$AO$74,25,FALSE)</f>
        <v>1.7669999999999999</v>
      </c>
      <c r="AO11" s="61">
        <f>VLOOKUP(Table13[[#This Row],[Donor Name]],'Weighted scores by indicator'!$A$7:$AO$74,26,FALSE)</f>
        <v>0</v>
      </c>
      <c r="AP11" s="61">
        <f>VLOOKUP(Table13[[#This Row],[Donor Name]],'Weighted scores by indicator'!$A$7:$AO$74,27,FALSE)</f>
        <v>0.309968999999999</v>
      </c>
      <c r="AQ11" s="61">
        <f>VLOOKUP(Table13[[#This Row],[Donor Name]],'Weighted scores by indicator'!$A$7:$AO$74,28,FALSE)</f>
        <v>0</v>
      </c>
      <c r="AR11" s="61">
        <f>VLOOKUP(Table13[[#This Row],[Donor Name]],'Weighted scores by indicator'!$A$7:$AO$74,29,FALSE)</f>
        <v>1.085</v>
      </c>
      <c r="AS11" s="61">
        <f>VLOOKUP(Table13[[#This Row],[Donor Name]],'Weighted scores by indicator'!$A$7:$AO$74,30,FALSE)</f>
        <v>0</v>
      </c>
      <c r="AT11" s="61">
        <f>VLOOKUP(Table13[[#This Row],[Donor Name]],'Weighted scores by indicator'!$A$7:$AO$74,31,FALSE)</f>
        <v>0</v>
      </c>
      <c r="AU11" s="61">
        <f>VLOOKUP(Table13[[#This Row],[Donor Name]],'Weighted scores by indicator'!$A$7:$AO$74,32,FALSE)</f>
        <v>0</v>
      </c>
      <c r="AV11" s="61">
        <f>VLOOKUP(Table13[[#This Row],[Donor Name]],'Weighted scores by indicator'!$A$7:$AO$74,33,FALSE)</f>
        <v>1.085</v>
      </c>
      <c r="AW11" s="61">
        <f>VLOOKUP(Table13[[#This Row],[Donor Name]],'Weighted scores by indicator'!$A$7:$AO$74,34,FALSE)</f>
        <v>0</v>
      </c>
      <c r="AX11" s="61">
        <f>VLOOKUP(Table13[[#This Row],[Donor Name]],'Weighted scores by indicator'!$A$7:$AO$74,35,FALSE)</f>
        <v>3.0874999999999999</v>
      </c>
      <c r="AY11" s="61">
        <f>VLOOKUP(Table13[[#This Row],[Donor Name]],'Weighted scores by indicator'!$A$7:$AO$74,36,FALSE)</f>
        <v>3.0874999999999999</v>
      </c>
      <c r="AZ11" s="61">
        <f>VLOOKUP(Table13[[#This Row],[Donor Name]],'Weighted scores by indicator'!$A$7:$AO$74,37,FALSE)</f>
        <v>0</v>
      </c>
      <c r="BA11" s="61">
        <f>VLOOKUP(Table13[[#This Row],[Donor Name]],'Weighted scores by indicator'!$A$7:$AO$74,38,FALSE)</f>
        <v>0</v>
      </c>
      <c r="BB11" s="61">
        <f>VLOOKUP(Table13[[#This Row],[Donor Name]],'Weighted scores by indicator'!$A$7:$AO$74,39,FALSE)</f>
        <v>0</v>
      </c>
      <c r="BC11" s="111">
        <f>VLOOKUP(Table13[[#This Row],[Donor Name]],'Weighted scores by indicator'!$A$7:$AO$74,40,FALSE)</f>
        <v>2.16939841986455</v>
      </c>
      <c r="BD11" s="61">
        <f>COUNTIF(Table13[[#This Row],[FOIA]:[Conditions]],"0")</f>
        <v>9</v>
      </c>
      <c r="BE11" s="61">
        <f>COUNTIF(Table13[[#This Row],[FOIA]:[Conditions]],"&gt;0")</f>
        <v>30</v>
      </c>
      <c r="BG11">
        <f>39-SUM(Table13[[#This Row],[No of indicators not scoring on]:[No of indicators scoring on]])</f>
        <v>0</v>
      </c>
    </row>
    <row r="12" spans="1:59" x14ac:dyDescent="0.25">
      <c r="A12" s="104" t="s">
        <v>1891</v>
      </c>
      <c r="B12" s="102" t="s">
        <v>1890</v>
      </c>
      <c r="C12" s="157">
        <f>VLOOKUP(Table13[[#This Row],[Donor Name]],'Overall scores and ranking'!$A$3:$D$72,2,FALSE)</f>
        <v>50.598212522694539</v>
      </c>
      <c r="D12" s="107">
        <f>VLOOKUP(Table13[[#This Row],[Donor Name]],'Overall scores and ranking'!$A$3:$D$72,3,FALSE)</f>
        <v>21</v>
      </c>
      <c r="E12" s="107">
        <f>RANK(Table13[[#This Row],[Overall Score]],Table13[Overall Score],0)</f>
        <v>9</v>
      </c>
      <c r="F12" s="61" t="str">
        <f>VLOOKUP(Table13[[#This Row],[Donor Name]],'Overall scores and ranking'!$A$3:$D$72,4,FALSE)</f>
        <v>Fair</v>
      </c>
      <c r="G12" s="109">
        <f>VLOOKUP(Table13[[#This Row],[Donor Name]],'Wtd - IATI vs Others'!$A$5:$D$72,2,FALSE)</f>
        <v>45.295434522694542</v>
      </c>
      <c r="H12" s="61">
        <f>VLOOKUP(Table13[[#This Row],[Donor Name]],'Wtd - IATI vs Others'!$A$5:$D$72,3,FALSE)</f>
        <v>5.302778</v>
      </c>
      <c r="I12" s="61">
        <f>VLOOKUP(Table13[[#This Row],[Donor Name]],'Wtd scores by sub-groups'!$A$5:$K$72,2,FALSE)</f>
        <v>4.217778</v>
      </c>
      <c r="J12" s="61">
        <f>VLOOKUP(Table13[[#This Row],[Donor Name]],'Wtd scores by sub-groups'!$A$5:$K$72,3,FALSE)</f>
        <v>11.55612244897959</v>
      </c>
      <c r="K12" s="61">
        <f>VLOOKUP(Table13[[#This Row],[Donor Name]],'Wtd scores by sub-groups'!$A$5:$K$72,4,FALSE)</f>
        <v>5.56</v>
      </c>
      <c r="L12" s="61">
        <f>VLOOKUP(Table13[[#This Row],[Donor Name]],'Wtd scores by sub-groups'!$A$5:$K$72,5,FALSE)</f>
        <v>9.7538967971530077</v>
      </c>
      <c r="M12" s="61">
        <f>VLOOKUP(Table13[[#This Row],[Donor Name]],'Wtd scores by sub-groups'!$A$5:$K$72,6,FALSE)</f>
        <v>10.048226266900112</v>
      </c>
      <c r="N12" s="61">
        <f>VLOOKUP(Table13[[#This Row],[Donor Name]],'Wtd scores by sub-groups'!$A$5:$K$72,7,FALSE)</f>
        <v>1.085</v>
      </c>
      <c r="O12" s="61">
        <f>VLOOKUP(Table13[[#This Row],[Donor Name]],'Wtd scores by sub-groups'!$A$5:$K$72,8,FALSE)</f>
        <v>8.37718900966183</v>
      </c>
      <c r="P12" s="61">
        <f>VLOOKUP(Table13[[#This Row],[Donor Name]],'Wtd scores by sub-groups'!$A$5:$K$72,9,FALSE)</f>
        <v>0</v>
      </c>
      <c r="Q12" s="61">
        <f>VLOOKUP(Table13[[#This Row],[Donor Name]],'Weighted scores by indicator'!$A$7:$AO$74,2,FALSE)</f>
        <v>2.2197779999999998</v>
      </c>
      <c r="R12" s="61">
        <f>VLOOKUP(Table13[[#This Row],[Donor Name]],'Weighted scores by indicator'!$A$7:$AO$74,3,FALSE)</f>
        <v>1.998</v>
      </c>
      <c r="S12" s="61">
        <f>VLOOKUP(Table13[[#This Row],[Donor Name]],'Weighted scores by indicator'!$A$7:$AO$74,4,FALSE)</f>
        <v>0</v>
      </c>
      <c r="T12" s="61">
        <f>VLOOKUP(Table13[[#This Row],[Donor Name]],'Weighted scores by indicator'!$A$7:$AO$74,5,FALSE)</f>
        <v>2.5</v>
      </c>
      <c r="U12" s="61">
        <f>VLOOKUP(Table13[[#This Row],[Donor Name]],'Weighted scores by indicator'!$A$7:$AO$74,6,FALSE)</f>
        <v>2.5</v>
      </c>
      <c r="V12" s="61">
        <f>VLOOKUP(Table13[[#This Row],[Donor Name]],'Weighted scores by indicator'!$A$7:$AO$74,7,FALSE)</f>
        <v>2.5</v>
      </c>
      <c r="W12" s="61">
        <f>VLOOKUP(Table13[[#This Row],[Donor Name]],'Weighted scores by indicator'!$A$7:$AO$74,8,FALSE)</f>
        <v>2.5</v>
      </c>
      <c r="X12" s="61">
        <f>VLOOKUP(Table13[[#This Row],[Donor Name]],'Weighted scores by indicator'!$A$7:$AO$74,9,FALSE)</f>
        <v>1.55612244897959</v>
      </c>
      <c r="Y12" s="61">
        <f>VLOOKUP(Table13[[#This Row],[Donor Name]],'Weighted scores by indicator'!$A$7:$AO$74,10,FALSE)</f>
        <v>2.78</v>
      </c>
      <c r="Z12" s="61">
        <f>VLOOKUP(Table13[[#This Row],[Donor Name]],'Weighted scores by indicator'!$A$7:$AO$74,11,FALSE)</f>
        <v>2.78</v>
      </c>
      <c r="AA12" s="61">
        <f>VLOOKUP(Table13[[#This Row],[Donor Name]],'Weighted scores by indicator'!$A$7:$AO$74,12,FALSE)</f>
        <v>0</v>
      </c>
      <c r="AB12" s="61">
        <f>VLOOKUP(Table13[[#This Row],[Donor Name]],'Weighted scores by indicator'!$A$7:$AO$74,13,FALSE)</f>
        <v>1.63</v>
      </c>
      <c r="AC12" s="61">
        <f>VLOOKUP(Table13[[#This Row],[Donor Name]],'Weighted scores by indicator'!$A$7:$AO$74,14,FALSE)</f>
        <v>1.63</v>
      </c>
      <c r="AD12" s="61">
        <f>VLOOKUP(Table13[[#This Row],[Donor Name]],'Weighted scores by indicator'!$A$7:$AO$74,15,FALSE)</f>
        <v>1.6290030026690301</v>
      </c>
      <c r="AE12" s="61">
        <f>VLOOKUP(Table13[[#This Row],[Donor Name]],'Weighted scores by indicator'!$A$7:$AO$74,16,FALSE)</f>
        <v>1.6048937944839801</v>
      </c>
      <c r="AF12" s="61">
        <f>VLOOKUP(Table13[[#This Row],[Donor Name]],'Weighted scores by indicator'!$A$7:$AO$74,17,FALSE)</f>
        <v>1.63</v>
      </c>
      <c r="AG12" s="61">
        <f>VLOOKUP(Table13[[#This Row],[Donor Name]],'Weighted scores by indicator'!$A$7:$AO$74,18,FALSE)</f>
        <v>0</v>
      </c>
      <c r="AH12" s="61">
        <f>VLOOKUP(Table13[[#This Row],[Donor Name]],'Weighted scores by indicator'!$A$7:$AO$74,19,FALSE)</f>
        <v>0</v>
      </c>
      <c r="AI12" s="61">
        <f>VLOOKUP(Table13[[#This Row],[Donor Name]],'Weighted scores by indicator'!$A$7:$AO$74,20,FALSE)</f>
        <v>1.63</v>
      </c>
      <c r="AJ12" s="61">
        <f>VLOOKUP(Table13[[#This Row],[Donor Name]],'Weighted scores by indicator'!$A$7:$AO$74,21,FALSE)</f>
        <v>1.8599999999999901</v>
      </c>
      <c r="AK12" s="61">
        <f>VLOOKUP(Table13[[#This Row],[Donor Name]],'Weighted scores by indicator'!$A$7:$AO$74,22,FALSE)</f>
        <v>1.8599999999999901</v>
      </c>
      <c r="AL12" s="61">
        <f>VLOOKUP(Table13[[#This Row],[Donor Name]],'Weighted scores by indicator'!$A$7:$AO$74,23,FALSE)</f>
        <v>1.7943249555160099</v>
      </c>
      <c r="AM12" s="61">
        <f>VLOOKUP(Table13[[#This Row],[Donor Name]],'Weighted scores by indicator'!$A$7:$AO$74,24,FALSE)</f>
        <v>0</v>
      </c>
      <c r="AN12" s="61">
        <f>VLOOKUP(Table13[[#This Row],[Donor Name]],'Weighted scores by indicator'!$A$7:$AO$74,25,FALSE)</f>
        <v>1.8599999999999901</v>
      </c>
      <c r="AO12" s="61">
        <f>VLOOKUP(Table13[[#This Row],[Donor Name]],'Weighted scores by indicator'!$A$7:$AO$74,26,FALSE)</f>
        <v>0.98124339323467202</v>
      </c>
      <c r="AP12" s="61">
        <f>VLOOKUP(Table13[[#This Row],[Donor Name]],'Weighted scores by indicator'!$A$7:$AO$74,27,FALSE)</f>
        <v>1.6926579181494601</v>
      </c>
      <c r="AQ12" s="61">
        <f>VLOOKUP(Table13[[#This Row],[Donor Name]],'Weighted scores by indicator'!$A$7:$AO$74,28,FALSE)</f>
        <v>0</v>
      </c>
      <c r="AR12" s="61">
        <f>VLOOKUP(Table13[[#This Row],[Donor Name]],'Weighted scores by indicator'!$A$7:$AO$74,29,FALSE)</f>
        <v>0</v>
      </c>
      <c r="AS12" s="61">
        <f>VLOOKUP(Table13[[#This Row],[Donor Name]],'Weighted scores by indicator'!$A$7:$AO$74,30,FALSE)</f>
        <v>0</v>
      </c>
      <c r="AT12" s="61">
        <f>VLOOKUP(Table13[[#This Row],[Donor Name]],'Weighted scores by indicator'!$A$7:$AO$74,31,FALSE)</f>
        <v>0</v>
      </c>
      <c r="AU12" s="61">
        <f>VLOOKUP(Table13[[#This Row],[Donor Name]],'Weighted scores by indicator'!$A$7:$AO$74,32,FALSE)</f>
        <v>0</v>
      </c>
      <c r="AV12" s="61">
        <f>VLOOKUP(Table13[[#This Row],[Donor Name]],'Weighted scores by indicator'!$A$7:$AO$74,33,FALSE)</f>
        <v>1.085</v>
      </c>
      <c r="AW12" s="61">
        <f>VLOOKUP(Table13[[#This Row],[Donor Name]],'Weighted scores by indicator'!$A$7:$AO$74,34,FALSE)</f>
        <v>1.87718900966183</v>
      </c>
      <c r="AX12" s="61">
        <f>VLOOKUP(Table13[[#This Row],[Donor Name]],'Weighted scores by indicator'!$A$7:$AO$74,35,FALSE)</f>
        <v>3.25</v>
      </c>
      <c r="AY12" s="61">
        <f>VLOOKUP(Table13[[#This Row],[Donor Name]],'Weighted scores by indicator'!$A$7:$AO$74,36,FALSE)</f>
        <v>3.25</v>
      </c>
      <c r="AZ12" s="61">
        <f>VLOOKUP(Table13[[#This Row],[Donor Name]],'Weighted scores by indicator'!$A$7:$AO$74,37,FALSE)</f>
        <v>0</v>
      </c>
      <c r="BA12" s="61">
        <f>VLOOKUP(Table13[[#This Row],[Donor Name]],'Weighted scores by indicator'!$A$7:$AO$74,38,FALSE)</f>
        <v>0</v>
      </c>
      <c r="BB12" s="61">
        <f>VLOOKUP(Table13[[#This Row],[Donor Name]],'Weighted scores by indicator'!$A$7:$AO$74,39,FALSE)</f>
        <v>0</v>
      </c>
      <c r="BC12" s="111">
        <f>VLOOKUP(Table13[[#This Row],[Donor Name]],'Weighted scores by indicator'!$A$7:$AO$74,40,FALSE)</f>
        <v>0</v>
      </c>
      <c r="BD12" s="61">
        <f>COUNTIF(Table13[[#This Row],[FOIA]:[Conditions]],"0")</f>
        <v>14</v>
      </c>
      <c r="BE12" s="61">
        <f>COUNTIF(Table13[[#This Row],[FOIA]:[Conditions]],"&gt;0")</f>
        <v>25</v>
      </c>
      <c r="BG12">
        <f>39-SUM(Table13[[#This Row],[No of indicators not scoring on]:[No of indicators scoring on]])</f>
        <v>0</v>
      </c>
    </row>
    <row r="13" spans="1:59" x14ac:dyDescent="0.25">
      <c r="A13" s="104" t="s">
        <v>2788</v>
      </c>
      <c r="B13" s="102" t="s">
        <v>2787</v>
      </c>
      <c r="C13" s="157">
        <f>VLOOKUP(Table13[[#This Row],[Donor Name]],'Overall scores and ranking'!$A$3:$D$72,2,FALSE)</f>
        <v>49.639004137678008</v>
      </c>
      <c r="D13" s="107">
        <f>VLOOKUP(Table13[[#This Row],[Donor Name]],'Overall scores and ranking'!$A$3:$D$72,3,FALSE)</f>
        <v>22</v>
      </c>
      <c r="E13" s="107">
        <f>RANK(Table13[[#This Row],[Overall Score]],Table13[Overall Score],0)</f>
        <v>10</v>
      </c>
      <c r="F13" s="61" t="str">
        <f>VLOOKUP(Table13[[#This Row],[Donor Name]],'Overall scores and ranking'!$A$3:$D$72,4,FALSE)</f>
        <v>Fair</v>
      </c>
      <c r="G13" s="109">
        <f>VLOOKUP(Table13[[#This Row],[Donor Name]],'Wtd - IATI vs Others'!$A$5:$D$72,2,FALSE)</f>
        <v>28.730117637678006</v>
      </c>
      <c r="H13" s="61">
        <f>VLOOKUP(Table13[[#This Row],[Donor Name]],'Wtd - IATI vs Others'!$A$5:$D$72,3,FALSE)</f>
        <v>20.908886500000001</v>
      </c>
      <c r="I13" s="61">
        <f>VLOOKUP(Table13[[#This Row],[Donor Name]],'Wtd scores by sub-groups'!$A$5:$K$72,2,FALSE)</f>
        <v>6.7039559999999998</v>
      </c>
      <c r="J13" s="61">
        <f>VLOOKUP(Table13[[#This Row],[Donor Name]],'Wtd scores by sub-groups'!$A$5:$K$72,3,FALSE)</f>
        <v>5</v>
      </c>
      <c r="K13" s="61">
        <f>VLOOKUP(Table13[[#This Row],[Donor Name]],'Wtd scores by sub-groups'!$A$5:$K$72,4,FALSE)</f>
        <v>4.8649304999999998</v>
      </c>
      <c r="L13" s="61">
        <f>VLOOKUP(Table13[[#This Row],[Donor Name]],'Wtd scores by sub-groups'!$A$5:$K$72,5,FALSE)</f>
        <v>10.108114182436706</v>
      </c>
      <c r="M13" s="61">
        <f>VLOOKUP(Table13[[#This Row],[Donor Name]],'Wtd scores by sub-groups'!$A$5:$K$72,6,FALSE)</f>
        <v>10.291083776312979</v>
      </c>
      <c r="N13" s="61">
        <f>VLOOKUP(Table13[[#This Row],[Donor Name]],'Wtd scores by sub-groups'!$A$5:$K$72,7,FALSE)</f>
        <v>5.4530305124388603</v>
      </c>
      <c r="O13" s="61">
        <f>VLOOKUP(Table13[[#This Row],[Donor Name]],'Wtd scores by sub-groups'!$A$5:$K$72,8,FALSE)</f>
        <v>5.0253375504996693</v>
      </c>
      <c r="P13" s="61">
        <f>VLOOKUP(Table13[[#This Row],[Donor Name]],'Wtd scores by sub-groups'!$A$5:$K$72,9,FALSE)</f>
        <v>2.1925516159897902</v>
      </c>
      <c r="Q13" s="61">
        <f>VLOOKUP(Table13[[#This Row],[Donor Name]],'Weighted scores by indicator'!$A$7:$AO$74,2,FALSE)</f>
        <v>2.2197779999999998</v>
      </c>
      <c r="R13" s="61">
        <f>VLOOKUP(Table13[[#This Row],[Donor Name]],'Weighted scores by indicator'!$A$7:$AO$74,3,FALSE)</f>
        <v>2.2644000000000002</v>
      </c>
      <c r="S13" s="61">
        <f>VLOOKUP(Table13[[#This Row],[Donor Name]],'Weighted scores by indicator'!$A$7:$AO$74,4,FALSE)</f>
        <v>2.2197779999999998</v>
      </c>
      <c r="T13" s="61">
        <f>VLOOKUP(Table13[[#This Row],[Donor Name]],'Weighted scores by indicator'!$A$7:$AO$74,5,FALSE)</f>
        <v>1.25</v>
      </c>
      <c r="U13" s="61">
        <f>VLOOKUP(Table13[[#This Row],[Donor Name]],'Weighted scores by indicator'!$A$7:$AO$74,6,FALSE)</f>
        <v>1.25</v>
      </c>
      <c r="V13" s="61">
        <f>VLOOKUP(Table13[[#This Row],[Donor Name]],'Weighted scores by indicator'!$A$7:$AO$74,7,FALSE)</f>
        <v>1.25</v>
      </c>
      <c r="W13" s="61">
        <f>VLOOKUP(Table13[[#This Row],[Donor Name]],'Weighted scores by indicator'!$A$7:$AO$74,8,FALSE)</f>
        <v>1.25</v>
      </c>
      <c r="X13" s="61">
        <f>VLOOKUP(Table13[[#This Row],[Donor Name]],'Weighted scores by indicator'!$A$7:$AO$74,9,FALSE)</f>
        <v>0</v>
      </c>
      <c r="Y13" s="61">
        <f>VLOOKUP(Table13[[#This Row],[Donor Name]],'Weighted scores by indicator'!$A$7:$AO$74,10,FALSE)</f>
        <v>0.69493050000000001</v>
      </c>
      <c r="Z13" s="61">
        <f>VLOOKUP(Table13[[#This Row],[Donor Name]],'Weighted scores by indicator'!$A$7:$AO$74,11,FALSE)</f>
        <v>2.085</v>
      </c>
      <c r="AA13" s="61">
        <f>VLOOKUP(Table13[[#This Row],[Donor Name]],'Weighted scores by indicator'!$A$7:$AO$74,12,FALSE)</f>
        <v>2.085</v>
      </c>
      <c r="AB13" s="61">
        <f>VLOOKUP(Table13[[#This Row],[Donor Name]],'Weighted scores by indicator'!$A$7:$AO$74,13,FALSE)</f>
        <v>1.30379204762917</v>
      </c>
      <c r="AC13" s="61">
        <f>VLOOKUP(Table13[[#This Row],[Donor Name]],'Weighted scores by indicator'!$A$7:$AO$74,14,FALSE)</f>
        <v>1.54849999999999</v>
      </c>
      <c r="AD13" s="61">
        <f>VLOOKUP(Table13[[#This Row],[Donor Name]],'Weighted scores by indicator'!$A$7:$AO$74,15,FALSE)</f>
        <v>1.5276787688709299</v>
      </c>
      <c r="AE13" s="61">
        <f>VLOOKUP(Table13[[#This Row],[Donor Name]],'Weighted scores by indicator'!$A$7:$AO$74,16,FALSE)</f>
        <v>0.89422985328513704</v>
      </c>
      <c r="AF13" s="61">
        <f>VLOOKUP(Table13[[#This Row],[Donor Name]],'Weighted scores by indicator'!$A$7:$AO$74,17,FALSE)</f>
        <v>1.0597079523708199</v>
      </c>
      <c r="AG13" s="61">
        <f>VLOOKUP(Table13[[#This Row],[Donor Name]],'Weighted scores by indicator'!$A$7:$AO$74,18,FALSE)</f>
        <v>1.30379204762917</v>
      </c>
      <c r="AH13" s="61">
        <f>VLOOKUP(Table13[[#This Row],[Donor Name]],'Weighted scores by indicator'!$A$7:$AO$74,19,FALSE)</f>
        <v>1.1666214650223199</v>
      </c>
      <c r="AI13" s="61">
        <f>VLOOKUP(Table13[[#This Row],[Donor Name]],'Weighted scores by indicator'!$A$7:$AO$74,20,FALSE)</f>
        <v>1.30379204762917</v>
      </c>
      <c r="AJ13" s="61">
        <f>VLOOKUP(Table13[[#This Row],[Donor Name]],'Weighted scores by indicator'!$A$7:$AO$74,21,FALSE)</f>
        <v>1.7669999999999999</v>
      </c>
      <c r="AK13" s="61">
        <f>VLOOKUP(Table13[[#This Row],[Donor Name]],'Weighted scores by indicator'!$A$7:$AO$74,22,FALSE)</f>
        <v>1.7669999999999999</v>
      </c>
      <c r="AL13" s="61">
        <f>VLOOKUP(Table13[[#This Row],[Donor Name]],'Weighted scores by indicator'!$A$7:$AO$74,23,FALSE)</f>
        <v>1.7669999999999999</v>
      </c>
      <c r="AM13" s="61">
        <f>VLOOKUP(Table13[[#This Row],[Donor Name]],'Weighted scores by indicator'!$A$7:$AO$74,24,FALSE)</f>
        <v>1.7669999999999999</v>
      </c>
      <c r="AN13" s="61">
        <f>VLOOKUP(Table13[[#This Row],[Donor Name]],'Weighted scores by indicator'!$A$7:$AO$74,25,FALSE)</f>
        <v>1.7246427812034799</v>
      </c>
      <c r="AO13" s="61">
        <f>VLOOKUP(Table13[[#This Row],[Donor Name]],'Weighted scores by indicator'!$A$7:$AO$74,26,FALSE)</f>
        <v>0</v>
      </c>
      <c r="AP13" s="61">
        <f>VLOOKUP(Table13[[#This Row],[Donor Name]],'Weighted scores by indicator'!$A$7:$AO$74,27,FALSE)</f>
        <v>1.4984409951094999</v>
      </c>
      <c r="AQ13" s="61">
        <f>VLOOKUP(Table13[[#This Row],[Donor Name]],'Weighted scores by indicator'!$A$7:$AO$74,28,FALSE)</f>
        <v>1.085</v>
      </c>
      <c r="AR13" s="61">
        <f>VLOOKUP(Table13[[#This Row],[Donor Name]],'Weighted scores by indicator'!$A$7:$AO$74,29,FALSE)</f>
        <v>1.085</v>
      </c>
      <c r="AS13" s="61">
        <f>VLOOKUP(Table13[[#This Row],[Donor Name]],'Weighted scores by indicator'!$A$7:$AO$74,30,FALSE)</f>
        <v>1.11303051243886</v>
      </c>
      <c r="AT13" s="61">
        <f>VLOOKUP(Table13[[#This Row],[Donor Name]],'Weighted scores by indicator'!$A$7:$AO$74,31,FALSE)</f>
        <v>0</v>
      </c>
      <c r="AU13" s="61">
        <f>VLOOKUP(Table13[[#This Row],[Donor Name]],'Weighted scores by indicator'!$A$7:$AO$74,32,FALSE)</f>
        <v>1.085</v>
      </c>
      <c r="AV13" s="61">
        <f>VLOOKUP(Table13[[#This Row],[Donor Name]],'Weighted scores by indicator'!$A$7:$AO$74,33,FALSE)</f>
        <v>1.085</v>
      </c>
      <c r="AW13" s="61">
        <f>VLOOKUP(Table13[[#This Row],[Donor Name]],'Weighted scores by indicator'!$A$7:$AO$74,34,FALSE)</f>
        <v>0</v>
      </c>
      <c r="AX13" s="61">
        <f>VLOOKUP(Table13[[#This Row],[Donor Name]],'Weighted scores by indicator'!$A$7:$AO$74,35,FALSE)</f>
        <v>2.4761295981288498</v>
      </c>
      <c r="AY13" s="61">
        <f>VLOOKUP(Table13[[#This Row],[Donor Name]],'Weighted scores by indicator'!$A$7:$AO$74,36,FALSE)</f>
        <v>2.54920795237082</v>
      </c>
      <c r="AZ13" s="61">
        <f>VLOOKUP(Table13[[#This Row],[Donor Name]],'Weighted scores by indicator'!$A$7:$AO$74,37,FALSE)</f>
        <v>0</v>
      </c>
      <c r="BA13" s="61">
        <f>VLOOKUP(Table13[[#This Row],[Donor Name]],'Weighted scores by indicator'!$A$7:$AO$74,38,FALSE)</f>
        <v>2.1925516159897902</v>
      </c>
      <c r="BB13" s="61">
        <f>VLOOKUP(Table13[[#This Row],[Donor Name]],'Weighted scores by indicator'!$A$7:$AO$74,39,FALSE)</f>
        <v>0</v>
      </c>
      <c r="BC13" s="111">
        <f>VLOOKUP(Table13[[#This Row],[Donor Name]],'Weighted scores by indicator'!$A$7:$AO$74,40,FALSE)</f>
        <v>0</v>
      </c>
      <c r="BD13" s="61">
        <f>COUNTIF(Table13[[#This Row],[FOIA]:[Conditions]],"0")</f>
        <v>7</v>
      </c>
      <c r="BE13" s="61">
        <f>COUNTIF(Table13[[#This Row],[FOIA]:[Conditions]],"&gt;0")</f>
        <v>32</v>
      </c>
      <c r="BG13">
        <f>39-SUM(Table13[[#This Row],[No of indicators not scoring on]:[No of indicators scoring on]])</f>
        <v>0</v>
      </c>
    </row>
    <row r="14" spans="1:59" x14ac:dyDescent="0.25">
      <c r="A14" s="104" t="s">
        <v>992</v>
      </c>
      <c r="B14" s="102" t="s">
        <v>991</v>
      </c>
      <c r="C14" s="157">
        <f>VLOOKUP(Table13[[#This Row],[Donor Name]],'Overall scores and ranking'!$A$3:$D$72,2,FALSE)</f>
        <v>46.272840186650129</v>
      </c>
      <c r="D14" s="107">
        <f>VLOOKUP(Table13[[#This Row],[Donor Name]],'Overall scores and ranking'!$A$3:$D$72,3,FALSE)</f>
        <v>24</v>
      </c>
      <c r="E14" s="107">
        <f>RANK(Table13[[#This Row],[Overall Score]],Table13[Overall Score],0)</f>
        <v>11</v>
      </c>
      <c r="F14" s="61" t="str">
        <f>VLOOKUP(Table13[[#This Row],[Donor Name]],'Overall scores and ranking'!$A$3:$D$72,4,FALSE)</f>
        <v>Fair</v>
      </c>
      <c r="G14" s="109">
        <f>VLOOKUP(Table13[[#This Row],[Donor Name]],'Wtd - IATI vs Others'!$A$5:$D$72,2,FALSE)</f>
        <v>26.875436186650134</v>
      </c>
      <c r="H14" s="61">
        <f>VLOOKUP(Table13[[#This Row],[Donor Name]],'Wtd - IATI vs Others'!$A$5:$D$72,3,FALSE)</f>
        <v>19.397403999999991</v>
      </c>
      <c r="I14" s="61">
        <f>VLOOKUP(Table13[[#This Row],[Donor Name]],'Wtd scores by sub-groups'!$A$5:$K$72,2,FALSE)</f>
        <v>4.0959000000000003</v>
      </c>
      <c r="J14" s="61">
        <f>VLOOKUP(Table13[[#This Row],[Donor Name]],'Wtd scores by sub-groups'!$A$5:$K$72,3,FALSE)</f>
        <v>6.25</v>
      </c>
      <c r="K14" s="61">
        <f>VLOOKUP(Table13[[#This Row],[Donor Name]],'Wtd scores by sub-groups'!$A$5:$K$72,4,FALSE)</f>
        <v>6.95</v>
      </c>
      <c r="L14" s="61">
        <f>VLOOKUP(Table13[[#This Row],[Donor Name]],'Wtd scores by sub-groups'!$A$5:$K$72,5,FALSE)</f>
        <v>7.8834420098887108</v>
      </c>
      <c r="M14" s="61">
        <f>VLOOKUP(Table13[[#This Row],[Donor Name]],'Wtd scores by sub-groups'!$A$5:$K$72,6,FALSE)</f>
        <v>10.580273176761429</v>
      </c>
      <c r="N14" s="61">
        <f>VLOOKUP(Table13[[#This Row],[Donor Name]],'Wtd scores by sub-groups'!$A$5:$K$72,7,FALSE)</f>
        <v>3.2549999999999999</v>
      </c>
      <c r="O14" s="61">
        <f>VLOOKUP(Table13[[#This Row],[Donor Name]],'Wtd scores by sub-groups'!$A$5:$K$72,8,FALSE)</f>
        <v>7.2582249999999897</v>
      </c>
      <c r="P14" s="61">
        <f>VLOOKUP(Table13[[#This Row],[Donor Name]],'Wtd scores by sub-groups'!$A$5:$K$72,9,FALSE)</f>
        <v>0</v>
      </c>
      <c r="Q14" s="61">
        <f>VLOOKUP(Table13[[#This Row],[Donor Name]],'Weighted scores by indicator'!$A$7:$AO$74,2,FALSE)</f>
        <v>3.33</v>
      </c>
      <c r="R14" s="61">
        <f>VLOOKUP(Table13[[#This Row],[Donor Name]],'Weighted scores by indicator'!$A$7:$AO$74,3,FALSE)</f>
        <v>0.76590000000000003</v>
      </c>
      <c r="S14" s="61">
        <f>VLOOKUP(Table13[[#This Row],[Donor Name]],'Weighted scores by indicator'!$A$7:$AO$74,4,FALSE)</f>
        <v>0</v>
      </c>
      <c r="T14" s="61">
        <f>VLOOKUP(Table13[[#This Row],[Donor Name]],'Weighted scores by indicator'!$A$7:$AO$74,5,FALSE)</f>
        <v>1.25</v>
      </c>
      <c r="U14" s="61">
        <f>VLOOKUP(Table13[[#This Row],[Donor Name]],'Weighted scores by indicator'!$A$7:$AO$74,6,FALSE)</f>
        <v>1.25</v>
      </c>
      <c r="V14" s="61">
        <f>VLOOKUP(Table13[[#This Row],[Donor Name]],'Weighted scores by indicator'!$A$7:$AO$74,7,FALSE)</f>
        <v>1.25</v>
      </c>
      <c r="W14" s="61">
        <f>VLOOKUP(Table13[[#This Row],[Donor Name]],'Weighted scores by indicator'!$A$7:$AO$74,8,FALSE)</f>
        <v>1.25</v>
      </c>
      <c r="X14" s="61">
        <f>VLOOKUP(Table13[[#This Row],[Donor Name]],'Weighted scores by indicator'!$A$7:$AO$74,9,FALSE)</f>
        <v>1.25</v>
      </c>
      <c r="Y14" s="61">
        <f>VLOOKUP(Table13[[#This Row],[Donor Name]],'Weighted scores by indicator'!$A$7:$AO$74,10,FALSE)</f>
        <v>2.78</v>
      </c>
      <c r="Z14" s="61">
        <f>VLOOKUP(Table13[[#This Row],[Donor Name]],'Weighted scores by indicator'!$A$7:$AO$74,11,FALSE)</f>
        <v>2.085</v>
      </c>
      <c r="AA14" s="61">
        <f>VLOOKUP(Table13[[#This Row],[Donor Name]],'Weighted scores by indicator'!$A$7:$AO$74,12,FALSE)</f>
        <v>2.085</v>
      </c>
      <c r="AB14" s="61">
        <f>VLOOKUP(Table13[[#This Row],[Donor Name]],'Weighted scores by indicator'!$A$7:$AO$74,13,FALSE)</f>
        <v>1.54849999999999</v>
      </c>
      <c r="AC14" s="61">
        <f>VLOOKUP(Table13[[#This Row],[Donor Name]],'Weighted scores by indicator'!$A$7:$AO$74,14,FALSE)</f>
        <v>1.1817499999999901</v>
      </c>
      <c r="AD14" s="61">
        <f>VLOOKUP(Table13[[#This Row],[Donor Name]],'Weighted scores by indicator'!$A$7:$AO$74,15,FALSE)</f>
        <v>1.5469133189122299</v>
      </c>
      <c r="AE14" s="61">
        <f>VLOOKUP(Table13[[#This Row],[Donor Name]],'Weighted scores by indicator'!$A$7:$AO$74,16,FALSE)</f>
        <v>1.51449969097651</v>
      </c>
      <c r="AF14" s="61">
        <f>VLOOKUP(Table13[[#This Row],[Donor Name]],'Weighted scores by indicator'!$A$7:$AO$74,17,FALSE)</f>
        <v>1.54849999999999</v>
      </c>
      <c r="AG14" s="61">
        <f>VLOOKUP(Table13[[#This Row],[Donor Name]],'Weighted scores by indicator'!$A$7:$AO$74,18,FALSE)</f>
        <v>0</v>
      </c>
      <c r="AH14" s="61">
        <f>VLOOKUP(Table13[[#This Row],[Donor Name]],'Weighted scores by indicator'!$A$7:$AO$74,19,FALSE)</f>
        <v>0</v>
      </c>
      <c r="AI14" s="61">
        <f>VLOOKUP(Table13[[#This Row],[Donor Name]],'Weighted scores by indicator'!$A$7:$AO$74,20,FALSE)</f>
        <v>0.54327899999999996</v>
      </c>
      <c r="AJ14" s="61">
        <f>VLOOKUP(Table13[[#This Row],[Donor Name]],'Weighted scores by indicator'!$A$7:$AO$74,21,FALSE)</f>
        <v>1.7669999999999999</v>
      </c>
      <c r="AK14" s="61">
        <f>VLOOKUP(Table13[[#This Row],[Donor Name]],'Weighted scores by indicator'!$A$7:$AO$74,22,FALSE)</f>
        <v>1.7669999999999999</v>
      </c>
      <c r="AL14" s="61">
        <f>VLOOKUP(Table13[[#This Row],[Donor Name]],'Weighted scores by indicator'!$A$7:$AO$74,23,FALSE)</f>
        <v>1.7669999999999999</v>
      </c>
      <c r="AM14" s="61">
        <f>VLOOKUP(Table13[[#This Row],[Donor Name]],'Weighted scores by indicator'!$A$7:$AO$74,24,FALSE)</f>
        <v>1.7669999999999999</v>
      </c>
      <c r="AN14" s="61">
        <f>VLOOKUP(Table13[[#This Row],[Donor Name]],'Weighted scores by indicator'!$A$7:$AO$74,25,FALSE)</f>
        <v>1.7669999999999999</v>
      </c>
      <c r="AO14" s="61">
        <f>VLOOKUP(Table13[[#This Row],[Donor Name]],'Weighted scores by indicator'!$A$7:$AO$74,26,FALSE)</f>
        <v>0</v>
      </c>
      <c r="AP14" s="61">
        <f>VLOOKUP(Table13[[#This Row],[Donor Name]],'Weighted scores by indicator'!$A$7:$AO$74,27,FALSE)</f>
        <v>1.74527317676143</v>
      </c>
      <c r="AQ14" s="61">
        <f>VLOOKUP(Table13[[#This Row],[Donor Name]],'Weighted scores by indicator'!$A$7:$AO$74,28,FALSE)</f>
        <v>0</v>
      </c>
      <c r="AR14" s="61">
        <f>VLOOKUP(Table13[[#This Row],[Donor Name]],'Weighted scores by indicator'!$A$7:$AO$74,29,FALSE)</f>
        <v>1.085</v>
      </c>
      <c r="AS14" s="61">
        <f>VLOOKUP(Table13[[#This Row],[Donor Name]],'Weighted scores by indicator'!$A$7:$AO$74,30,FALSE)</f>
        <v>0</v>
      </c>
      <c r="AT14" s="61">
        <f>VLOOKUP(Table13[[#This Row],[Donor Name]],'Weighted scores by indicator'!$A$7:$AO$74,31,FALSE)</f>
        <v>0</v>
      </c>
      <c r="AU14" s="61">
        <f>VLOOKUP(Table13[[#This Row],[Donor Name]],'Weighted scores by indicator'!$A$7:$AO$74,32,FALSE)</f>
        <v>1.085</v>
      </c>
      <c r="AV14" s="61">
        <f>VLOOKUP(Table13[[#This Row],[Donor Name]],'Weighted scores by indicator'!$A$7:$AO$74,33,FALSE)</f>
        <v>1.085</v>
      </c>
      <c r="AW14" s="61">
        <f>VLOOKUP(Table13[[#This Row],[Donor Name]],'Weighted scores by indicator'!$A$7:$AO$74,34,FALSE)</f>
        <v>1.0832249999999899</v>
      </c>
      <c r="AX14" s="61">
        <f>VLOOKUP(Table13[[#This Row],[Donor Name]],'Weighted scores by indicator'!$A$7:$AO$74,35,FALSE)</f>
        <v>3.0874999999999999</v>
      </c>
      <c r="AY14" s="61">
        <f>VLOOKUP(Table13[[#This Row],[Donor Name]],'Weighted scores by indicator'!$A$7:$AO$74,36,FALSE)</f>
        <v>3.0874999999999999</v>
      </c>
      <c r="AZ14" s="61">
        <f>VLOOKUP(Table13[[#This Row],[Donor Name]],'Weighted scores by indicator'!$A$7:$AO$74,37,FALSE)</f>
        <v>0</v>
      </c>
      <c r="BA14" s="61">
        <f>VLOOKUP(Table13[[#This Row],[Donor Name]],'Weighted scores by indicator'!$A$7:$AO$74,38,FALSE)</f>
        <v>0</v>
      </c>
      <c r="BB14" s="61">
        <f>VLOOKUP(Table13[[#This Row],[Donor Name]],'Weighted scores by indicator'!$A$7:$AO$74,39,FALSE)</f>
        <v>0</v>
      </c>
      <c r="BC14" s="111">
        <f>VLOOKUP(Table13[[#This Row],[Donor Name]],'Weighted scores by indicator'!$A$7:$AO$74,40,FALSE)</f>
        <v>0</v>
      </c>
      <c r="BD14" s="61">
        <f>COUNTIF(Table13[[#This Row],[FOIA]:[Conditions]],"0")</f>
        <v>11</v>
      </c>
      <c r="BE14" s="61">
        <f>COUNTIF(Table13[[#This Row],[FOIA]:[Conditions]],"&gt;0")</f>
        <v>28</v>
      </c>
      <c r="BG14">
        <f>39-SUM(Table13[[#This Row],[No of indicators not scoring on]:[No of indicators scoring on]])</f>
        <v>0</v>
      </c>
    </row>
    <row r="15" spans="1:59" x14ac:dyDescent="0.25">
      <c r="A15" s="104" t="s">
        <v>2300</v>
      </c>
      <c r="B15" s="102" t="s">
        <v>2299</v>
      </c>
      <c r="C15" s="157">
        <f>VLOOKUP(Table13[[#This Row],[Donor Name]],'Overall scores and ranking'!$A$3:$D$72,2,FALSE)</f>
        <v>45.912189861504473</v>
      </c>
      <c r="D15" s="107">
        <f>VLOOKUP(Table13[[#This Row],[Donor Name]],'Overall scores and ranking'!$A$3:$D$72,3,FALSE)</f>
        <v>25</v>
      </c>
      <c r="E15" s="107">
        <f>RANK(Table13[[#This Row],[Overall Score]],Table13[Overall Score],0)</f>
        <v>12</v>
      </c>
      <c r="F15" s="61" t="str">
        <f>VLOOKUP(Table13[[#This Row],[Donor Name]],'Overall scores and ranking'!$A$3:$D$72,4,FALSE)</f>
        <v>Fair</v>
      </c>
      <c r="G15" s="109">
        <f>VLOOKUP(Table13[[#This Row],[Donor Name]],'Wtd - IATI vs Others'!$A$5:$D$72,2,FALSE)</f>
        <v>33.668786861504472</v>
      </c>
      <c r="H15" s="109">
        <f>VLOOKUP(Table13[[#This Row],[Donor Name]],'Wtd - IATI vs Others'!$A$5:$D$72,3,FALSE)</f>
        <v>12.243402999999999</v>
      </c>
      <c r="I15" s="61">
        <f>VLOOKUP(Table13[[#This Row],[Donor Name]],'Wtd scores by sub-groups'!$A$5:$K$72,2,FALSE)</f>
        <v>3.4851779999999999</v>
      </c>
      <c r="J15" s="61">
        <f>VLOOKUP(Table13[[#This Row],[Donor Name]],'Wtd scores by sub-groups'!$A$5:$K$72,3,FALSE)</f>
        <v>11.25</v>
      </c>
      <c r="K15" s="61">
        <f>VLOOKUP(Table13[[#This Row],[Donor Name]],'Wtd scores by sub-groups'!$A$5:$K$72,4,FALSE)</f>
        <v>5.3282870000000004</v>
      </c>
      <c r="L15" s="61">
        <f>VLOOKUP(Table13[[#This Row],[Donor Name]],'Wtd scores by sub-groups'!$A$5:$K$72,5,FALSE)</f>
        <v>10.73901203273736</v>
      </c>
      <c r="M15" s="61">
        <f>VLOOKUP(Table13[[#This Row],[Donor Name]],'Wtd scores by sub-groups'!$A$5:$K$72,6,FALSE)</f>
        <v>7.687221390410949</v>
      </c>
      <c r="N15" s="61">
        <f>VLOOKUP(Table13[[#This Row],[Donor Name]],'Wtd scores by sub-groups'!$A$5:$K$72,7,FALSE)</f>
        <v>4.34</v>
      </c>
      <c r="O15" s="61">
        <f>VLOOKUP(Table13[[#This Row],[Donor Name]],'Wtd scores by sub-groups'!$A$5:$K$72,8,FALSE)</f>
        <v>3.0824914383561599</v>
      </c>
      <c r="P15" s="61">
        <f>VLOOKUP(Table13[[#This Row],[Donor Name]],'Wtd scores by sub-groups'!$A$5:$K$72,9,FALSE)</f>
        <v>0</v>
      </c>
      <c r="Q15" s="61">
        <f>VLOOKUP(Table13[[#This Row],[Donor Name]],'Weighted scores by indicator'!$A$7:$AO$74,2,FALSE)</f>
        <v>2.2197779999999998</v>
      </c>
      <c r="R15" s="61">
        <f>VLOOKUP(Table13[[#This Row],[Donor Name]],'Weighted scores by indicator'!$A$7:$AO$74,3,FALSE)</f>
        <v>1.2654000000000001</v>
      </c>
      <c r="S15" s="61">
        <f>VLOOKUP(Table13[[#This Row],[Donor Name]],'Weighted scores by indicator'!$A$7:$AO$74,4,FALSE)</f>
        <v>0</v>
      </c>
      <c r="T15" s="61">
        <f>VLOOKUP(Table13[[#This Row],[Donor Name]],'Weighted scores by indicator'!$A$7:$AO$74,5,FALSE)</f>
        <v>2.5</v>
      </c>
      <c r="U15" s="61">
        <f>VLOOKUP(Table13[[#This Row],[Donor Name]],'Weighted scores by indicator'!$A$7:$AO$74,6,FALSE)</f>
        <v>2.5</v>
      </c>
      <c r="V15" s="61">
        <f>VLOOKUP(Table13[[#This Row],[Donor Name]],'Weighted scores by indicator'!$A$7:$AO$74,7,FALSE)</f>
        <v>2.5</v>
      </c>
      <c r="W15" s="61">
        <f>VLOOKUP(Table13[[#This Row],[Donor Name]],'Weighted scores by indicator'!$A$7:$AO$74,8,FALSE)</f>
        <v>2.5</v>
      </c>
      <c r="X15" s="61">
        <f>VLOOKUP(Table13[[#This Row],[Donor Name]],'Weighted scores by indicator'!$A$7:$AO$74,9,FALSE)</f>
        <v>1.25</v>
      </c>
      <c r="Y15" s="61">
        <f>VLOOKUP(Table13[[#This Row],[Donor Name]],'Weighted scores by indicator'!$A$7:$AO$74,10,FALSE)</f>
        <v>2.78</v>
      </c>
      <c r="Z15" s="61">
        <f>VLOOKUP(Table13[[#This Row],[Donor Name]],'Weighted scores by indicator'!$A$7:$AO$74,11,FALSE)</f>
        <v>0.463287</v>
      </c>
      <c r="AA15" s="61">
        <f>VLOOKUP(Table13[[#This Row],[Donor Name]],'Weighted scores by indicator'!$A$7:$AO$74,12,FALSE)</f>
        <v>2.085</v>
      </c>
      <c r="AB15" s="61">
        <f>VLOOKUP(Table13[[#This Row],[Donor Name]],'Weighted scores by indicator'!$A$7:$AO$74,13,FALSE)</f>
        <v>0</v>
      </c>
      <c r="AC15" s="61">
        <f>VLOOKUP(Table13[[#This Row],[Donor Name]],'Weighted scores by indicator'!$A$7:$AO$74,14,FALSE)</f>
        <v>1.54849999999999</v>
      </c>
      <c r="AD15" s="61">
        <f>VLOOKUP(Table13[[#This Row],[Donor Name]],'Weighted scores by indicator'!$A$7:$AO$74,15,FALSE)</f>
        <v>1.54586241438356</v>
      </c>
      <c r="AE15" s="61">
        <f>VLOOKUP(Table13[[#This Row],[Donor Name]],'Weighted scores by indicator'!$A$7:$AO$74,16,FALSE)</f>
        <v>1.5476208047945199</v>
      </c>
      <c r="AF15" s="61">
        <f>VLOOKUP(Table13[[#This Row],[Donor Name]],'Weighted scores by indicator'!$A$7:$AO$74,17,FALSE)</f>
        <v>1.54849999999999</v>
      </c>
      <c r="AG15" s="61">
        <f>VLOOKUP(Table13[[#This Row],[Donor Name]],'Weighted scores by indicator'!$A$7:$AO$74,18,FALSE)</f>
        <v>1.4515288135593201</v>
      </c>
      <c r="AH15" s="61">
        <f>VLOOKUP(Table13[[#This Row],[Donor Name]],'Weighted scores by indicator'!$A$7:$AO$74,19,FALSE)</f>
        <v>1.54849999999999</v>
      </c>
      <c r="AI15" s="61">
        <f>VLOOKUP(Table13[[#This Row],[Donor Name]],'Weighted scores by indicator'!$A$7:$AO$74,20,FALSE)</f>
        <v>1.54849999999999</v>
      </c>
      <c r="AJ15" s="61">
        <f>VLOOKUP(Table13[[#This Row],[Donor Name]],'Weighted scores by indicator'!$A$7:$AO$74,21,FALSE)</f>
        <v>0</v>
      </c>
      <c r="AK15" s="61">
        <f>VLOOKUP(Table13[[#This Row],[Donor Name]],'Weighted scores by indicator'!$A$7:$AO$74,22,FALSE)</f>
        <v>1.7669999999999999</v>
      </c>
      <c r="AL15" s="61">
        <f>VLOOKUP(Table13[[#This Row],[Donor Name]],'Weighted scores by indicator'!$A$7:$AO$74,23,FALSE)</f>
        <v>1.7669999999999999</v>
      </c>
      <c r="AM15" s="61">
        <f>VLOOKUP(Table13[[#This Row],[Donor Name]],'Weighted scores by indicator'!$A$7:$AO$74,24,FALSE)</f>
        <v>1.7669999999999999</v>
      </c>
      <c r="AN15" s="61">
        <f>VLOOKUP(Table13[[#This Row],[Donor Name]],'Weighted scores by indicator'!$A$7:$AO$74,25,FALSE)</f>
        <v>1.7662833904109501</v>
      </c>
      <c r="AO15" s="61">
        <f>VLOOKUP(Table13[[#This Row],[Donor Name]],'Weighted scores by indicator'!$A$7:$AO$74,26,FALSE)</f>
        <v>0</v>
      </c>
      <c r="AP15" s="61">
        <f>VLOOKUP(Table13[[#This Row],[Donor Name]],'Weighted scores by indicator'!$A$7:$AO$74,27,FALSE)</f>
        <v>0.61993799999999899</v>
      </c>
      <c r="AQ15" s="61">
        <f>VLOOKUP(Table13[[#This Row],[Donor Name]],'Weighted scores by indicator'!$A$7:$AO$74,28,FALSE)</f>
        <v>1.085</v>
      </c>
      <c r="AR15" s="61">
        <f>VLOOKUP(Table13[[#This Row],[Donor Name]],'Weighted scores by indicator'!$A$7:$AO$74,29,FALSE)</f>
        <v>1.085</v>
      </c>
      <c r="AS15" s="61">
        <f>VLOOKUP(Table13[[#This Row],[Donor Name]],'Weighted scores by indicator'!$A$7:$AO$74,30,FALSE)</f>
        <v>0</v>
      </c>
      <c r="AT15" s="61">
        <f>VLOOKUP(Table13[[#This Row],[Donor Name]],'Weighted scores by indicator'!$A$7:$AO$74,31,FALSE)</f>
        <v>0</v>
      </c>
      <c r="AU15" s="61">
        <f>VLOOKUP(Table13[[#This Row],[Donor Name]],'Weighted scores by indicator'!$A$7:$AO$74,32,FALSE)</f>
        <v>1.085</v>
      </c>
      <c r="AV15" s="61">
        <f>VLOOKUP(Table13[[#This Row],[Donor Name]],'Weighted scores by indicator'!$A$7:$AO$74,33,FALSE)</f>
        <v>1.085</v>
      </c>
      <c r="AW15" s="61">
        <f>VLOOKUP(Table13[[#This Row],[Donor Name]],'Weighted scores by indicator'!$A$7:$AO$74,34,FALSE)</f>
        <v>0</v>
      </c>
      <c r="AX15" s="61">
        <f>VLOOKUP(Table13[[#This Row],[Donor Name]],'Weighted scores by indicator'!$A$7:$AO$74,35,FALSE)</f>
        <v>0</v>
      </c>
      <c r="AY15" s="61">
        <f>VLOOKUP(Table13[[#This Row],[Donor Name]],'Weighted scores by indicator'!$A$7:$AO$74,36,FALSE)</f>
        <v>3.0824914383561599</v>
      </c>
      <c r="AZ15" s="61">
        <f>VLOOKUP(Table13[[#This Row],[Donor Name]],'Weighted scores by indicator'!$A$7:$AO$74,37,FALSE)</f>
        <v>0</v>
      </c>
      <c r="BA15" s="61">
        <f>VLOOKUP(Table13[[#This Row],[Donor Name]],'Weighted scores by indicator'!$A$7:$AO$74,38,FALSE)</f>
        <v>0</v>
      </c>
      <c r="BB15" s="61">
        <f>VLOOKUP(Table13[[#This Row],[Donor Name]],'Weighted scores by indicator'!$A$7:$AO$74,39,FALSE)</f>
        <v>0</v>
      </c>
      <c r="BC15" s="111">
        <f>VLOOKUP(Table13[[#This Row],[Donor Name]],'Weighted scores by indicator'!$A$7:$AO$74,40,FALSE)</f>
        <v>0</v>
      </c>
      <c r="BD15" s="61">
        <f>COUNTIF(Table13[[#This Row],[FOIA]:[Conditions]],"0")</f>
        <v>12</v>
      </c>
      <c r="BE15" s="61">
        <f>COUNTIF(Table13[[#This Row],[FOIA]:[Conditions]],"&gt;0")</f>
        <v>27</v>
      </c>
      <c r="BG15">
        <f>39-SUM(Table13[[#This Row],[No of indicators not scoring on]:[No of indicators scoring on]])</f>
        <v>0</v>
      </c>
    </row>
    <row r="16" spans="1:59" x14ac:dyDescent="0.25">
      <c r="A16" s="104" t="s">
        <v>1524</v>
      </c>
      <c r="B16" s="102" t="s">
        <v>1523</v>
      </c>
      <c r="C16" s="157">
        <f>VLOOKUP(Table13[[#This Row],[Donor Name]],'Overall scores and ranking'!$A$3:$D$72,2,FALSE)</f>
        <v>45.12154717964065</v>
      </c>
      <c r="D16" s="107">
        <f>VLOOKUP(Table13[[#This Row],[Donor Name]],'Overall scores and ranking'!$A$3:$D$72,3,FALSE)</f>
        <v>26</v>
      </c>
      <c r="E16" s="107">
        <f>RANK(Table13[[#This Row],[Overall Score]],Table13[Overall Score],0)</f>
        <v>13</v>
      </c>
      <c r="F16" s="61" t="str">
        <f>VLOOKUP(Table13[[#This Row],[Donor Name]],'Overall scores and ranking'!$A$3:$D$72,4,FALSE)</f>
        <v>Fair</v>
      </c>
      <c r="G16" s="109">
        <f>VLOOKUP(Table13[[#This Row],[Donor Name]],'Wtd - IATI vs Others'!$A$5:$D$72,2,FALSE)</f>
        <v>22.520222679640646</v>
      </c>
      <c r="H16" s="61">
        <f>VLOOKUP(Table13[[#This Row],[Donor Name]],'Wtd - IATI vs Others'!$A$5:$D$72,3,FALSE)</f>
        <v>22.601324499999997</v>
      </c>
      <c r="I16" s="61">
        <f>VLOOKUP(Table13[[#This Row],[Donor Name]],'Wtd scores by sub-groups'!$A$5:$K$72,2,FALSE)</f>
        <v>5.1281999999999996</v>
      </c>
      <c r="J16" s="61">
        <f>VLOOKUP(Table13[[#This Row],[Donor Name]],'Wtd scores by sub-groups'!$A$5:$K$72,3,FALSE)</f>
        <v>6.25</v>
      </c>
      <c r="K16" s="61">
        <f>VLOOKUP(Table13[[#This Row],[Donor Name]],'Wtd scores by sub-groups'!$A$5:$K$72,4,FALSE)</f>
        <v>3.0115740000000004</v>
      </c>
      <c r="L16" s="61">
        <f>VLOOKUP(Table13[[#This Row],[Donor Name]],'Wtd scores by sub-groups'!$A$5:$K$72,5,FALSE)</f>
        <v>10.83236264970054</v>
      </c>
      <c r="M16" s="61">
        <f>VLOOKUP(Table13[[#This Row],[Donor Name]],'Wtd scores by sub-groups'!$A$5:$K$72,6,FALSE)</f>
        <v>9.4129627005987988</v>
      </c>
      <c r="N16" s="61">
        <f>VLOOKUP(Table13[[#This Row],[Donor Name]],'Wtd scores by sub-groups'!$A$5:$K$72,7,FALSE)</f>
        <v>5.4249999999999998</v>
      </c>
      <c r="O16" s="61">
        <f>VLOOKUP(Table13[[#This Row],[Donor Name]],'Wtd scores by sub-groups'!$A$5:$K$72,8,FALSE)</f>
        <v>5.0614478293413097</v>
      </c>
      <c r="P16" s="61">
        <f>VLOOKUP(Table13[[#This Row],[Donor Name]],'Wtd scores by sub-groups'!$A$5:$K$72,9,FALSE)</f>
        <v>0</v>
      </c>
      <c r="Q16" s="61">
        <f>VLOOKUP(Table13[[#This Row],[Donor Name]],'Weighted scores by indicator'!$A$7:$AO$74,2,FALSE)</f>
        <v>3.33</v>
      </c>
      <c r="R16" s="61">
        <f>VLOOKUP(Table13[[#This Row],[Donor Name]],'Weighted scores by indicator'!$A$7:$AO$74,3,FALSE)</f>
        <v>1.7982</v>
      </c>
      <c r="S16" s="61">
        <f>VLOOKUP(Table13[[#This Row],[Donor Name]],'Weighted scores by indicator'!$A$7:$AO$74,4,FALSE)</f>
        <v>0</v>
      </c>
      <c r="T16" s="61">
        <f>VLOOKUP(Table13[[#This Row],[Donor Name]],'Weighted scores by indicator'!$A$7:$AO$74,5,FALSE)</f>
        <v>1.25</v>
      </c>
      <c r="U16" s="61">
        <f>VLOOKUP(Table13[[#This Row],[Donor Name]],'Weighted scores by indicator'!$A$7:$AO$74,6,FALSE)</f>
        <v>1.25</v>
      </c>
      <c r="V16" s="61">
        <f>VLOOKUP(Table13[[#This Row],[Donor Name]],'Weighted scores by indicator'!$A$7:$AO$74,7,FALSE)</f>
        <v>1.25</v>
      </c>
      <c r="W16" s="61">
        <f>VLOOKUP(Table13[[#This Row],[Donor Name]],'Weighted scores by indicator'!$A$7:$AO$74,8,FALSE)</f>
        <v>1.25</v>
      </c>
      <c r="X16" s="61">
        <f>VLOOKUP(Table13[[#This Row],[Donor Name]],'Weighted scores by indicator'!$A$7:$AO$74,9,FALSE)</f>
        <v>1.25</v>
      </c>
      <c r="Y16" s="61">
        <f>VLOOKUP(Table13[[#This Row],[Donor Name]],'Weighted scores by indicator'!$A$7:$AO$74,10,FALSE)</f>
        <v>0.463287</v>
      </c>
      <c r="Z16" s="61">
        <f>VLOOKUP(Table13[[#This Row],[Donor Name]],'Weighted scores by indicator'!$A$7:$AO$74,11,FALSE)</f>
        <v>0.463287</v>
      </c>
      <c r="AA16" s="61">
        <f>VLOOKUP(Table13[[#This Row],[Donor Name]],'Weighted scores by indicator'!$A$7:$AO$74,12,FALSE)</f>
        <v>2.085</v>
      </c>
      <c r="AB16" s="61">
        <f>VLOOKUP(Table13[[#This Row],[Donor Name]],'Weighted scores by indicator'!$A$7:$AO$74,13,FALSE)</f>
        <v>0</v>
      </c>
      <c r="AC16" s="61">
        <f>VLOOKUP(Table13[[#This Row],[Donor Name]],'Weighted scores by indicator'!$A$7:$AO$74,14,FALSE)</f>
        <v>1.54849999999999</v>
      </c>
      <c r="AD16" s="61">
        <f>VLOOKUP(Table13[[#This Row],[Donor Name]],'Weighted scores by indicator'!$A$7:$AO$74,15,FALSE)</f>
        <v>1.5441077844311299</v>
      </c>
      <c r="AE16" s="61">
        <f>VLOOKUP(Table13[[#This Row],[Donor Name]],'Weighted scores by indicator'!$A$7:$AO$74,16,FALSE)</f>
        <v>1.5457548652694599</v>
      </c>
      <c r="AF16" s="61">
        <f>VLOOKUP(Table13[[#This Row],[Donor Name]],'Weighted scores by indicator'!$A$7:$AO$74,17,FALSE)</f>
        <v>1.54849999999999</v>
      </c>
      <c r="AG16" s="61">
        <f>VLOOKUP(Table13[[#This Row],[Donor Name]],'Weighted scores by indicator'!$A$7:$AO$74,18,FALSE)</f>
        <v>1.54849999999999</v>
      </c>
      <c r="AH16" s="61">
        <f>VLOOKUP(Table13[[#This Row],[Donor Name]],'Weighted scores by indicator'!$A$7:$AO$74,19,FALSE)</f>
        <v>1.54849999999999</v>
      </c>
      <c r="AI16" s="61">
        <f>VLOOKUP(Table13[[#This Row],[Donor Name]],'Weighted scores by indicator'!$A$7:$AO$74,20,FALSE)</f>
        <v>1.54849999999999</v>
      </c>
      <c r="AJ16" s="61">
        <f>VLOOKUP(Table13[[#This Row],[Donor Name]],'Weighted scores by indicator'!$A$7:$AO$74,21,FALSE)</f>
        <v>0.61993799999999899</v>
      </c>
      <c r="AK16" s="61">
        <f>VLOOKUP(Table13[[#This Row],[Donor Name]],'Weighted scores by indicator'!$A$7:$AO$74,22,FALSE)</f>
        <v>1.7669999999999999</v>
      </c>
      <c r="AL16" s="61">
        <f>VLOOKUP(Table13[[#This Row],[Donor Name]],'Weighted scores by indicator'!$A$7:$AO$74,23,FALSE)</f>
        <v>1.7319161676646699</v>
      </c>
      <c r="AM16" s="61">
        <f>VLOOKUP(Table13[[#This Row],[Donor Name]],'Weighted scores by indicator'!$A$7:$AO$74,24,FALSE)</f>
        <v>1.7669999999999999</v>
      </c>
      <c r="AN16" s="61">
        <f>VLOOKUP(Table13[[#This Row],[Donor Name]],'Weighted scores by indicator'!$A$7:$AO$74,25,FALSE)</f>
        <v>1.7601085329341299</v>
      </c>
      <c r="AO16" s="61">
        <f>VLOOKUP(Table13[[#This Row],[Donor Name]],'Weighted scores by indicator'!$A$7:$AO$74,26,FALSE)</f>
        <v>0</v>
      </c>
      <c r="AP16" s="61">
        <f>VLOOKUP(Table13[[#This Row],[Donor Name]],'Weighted scores by indicator'!$A$7:$AO$74,27,FALSE)</f>
        <v>1.7669999999999999</v>
      </c>
      <c r="AQ16" s="61">
        <f>VLOOKUP(Table13[[#This Row],[Donor Name]],'Weighted scores by indicator'!$A$7:$AO$74,28,FALSE)</f>
        <v>1.085</v>
      </c>
      <c r="AR16" s="61">
        <f>VLOOKUP(Table13[[#This Row],[Donor Name]],'Weighted scores by indicator'!$A$7:$AO$74,29,FALSE)</f>
        <v>1.085</v>
      </c>
      <c r="AS16" s="61">
        <f>VLOOKUP(Table13[[#This Row],[Donor Name]],'Weighted scores by indicator'!$A$7:$AO$74,30,FALSE)</f>
        <v>1.085</v>
      </c>
      <c r="AT16" s="61">
        <f>VLOOKUP(Table13[[#This Row],[Donor Name]],'Weighted scores by indicator'!$A$7:$AO$74,31,FALSE)</f>
        <v>0</v>
      </c>
      <c r="AU16" s="61">
        <f>VLOOKUP(Table13[[#This Row],[Donor Name]],'Weighted scores by indicator'!$A$7:$AO$74,32,FALSE)</f>
        <v>1.085</v>
      </c>
      <c r="AV16" s="61">
        <f>VLOOKUP(Table13[[#This Row],[Donor Name]],'Weighted scores by indicator'!$A$7:$AO$74,33,FALSE)</f>
        <v>1.085</v>
      </c>
      <c r="AW16" s="61">
        <f>VLOOKUP(Table13[[#This Row],[Donor Name]],'Weighted scores by indicator'!$A$7:$AO$74,34,FALSE)</f>
        <v>1.625</v>
      </c>
      <c r="AX16" s="61">
        <f>VLOOKUP(Table13[[#This Row],[Donor Name]],'Weighted scores by indicator'!$A$7:$AO$74,35,FALSE)</f>
        <v>0.54161249999999905</v>
      </c>
      <c r="AY16" s="61">
        <f>VLOOKUP(Table13[[#This Row],[Donor Name]],'Weighted scores by indicator'!$A$7:$AO$74,36,FALSE)</f>
        <v>2.8948353293413098</v>
      </c>
      <c r="AZ16" s="61">
        <f>VLOOKUP(Table13[[#This Row],[Donor Name]],'Weighted scores by indicator'!$A$7:$AO$74,37,FALSE)</f>
        <v>0</v>
      </c>
      <c r="BA16" s="61">
        <f>VLOOKUP(Table13[[#This Row],[Donor Name]],'Weighted scores by indicator'!$A$7:$AO$74,38,FALSE)</f>
        <v>0</v>
      </c>
      <c r="BB16" s="61">
        <f>VLOOKUP(Table13[[#This Row],[Donor Name]],'Weighted scores by indicator'!$A$7:$AO$74,39,FALSE)</f>
        <v>0</v>
      </c>
      <c r="BC16" s="111">
        <f>VLOOKUP(Table13[[#This Row],[Donor Name]],'Weighted scores by indicator'!$A$7:$AO$74,40,FALSE)</f>
        <v>0</v>
      </c>
      <c r="BD16" s="61">
        <f>COUNTIF(Table13[[#This Row],[FOIA]:[Conditions]],"0")</f>
        <v>8</v>
      </c>
      <c r="BE16" s="61">
        <f>COUNTIF(Table13[[#This Row],[FOIA]:[Conditions]],"&gt;0")</f>
        <v>31</v>
      </c>
      <c r="BG16">
        <f>39-SUM(Table13[[#This Row],[No of indicators not scoring on]:[No of indicators scoring on]])</f>
        <v>0</v>
      </c>
    </row>
    <row r="17" spans="1:59" x14ac:dyDescent="0.25">
      <c r="A17" s="104" t="s">
        <v>1442</v>
      </c>
      <c r="B17" s="102" t="s">
        <v>1441</v>
      </c>
      <c r="C17" s="157">
        <f>VLOOKUP(Table13[[#This Row],[Donor Name]],'Overall scores and ranking'!$A$3:$D$72,2,FALSE)</f>
        <v>42.468069724950233</v>
      </c>
      <c r="D17" s="107">
        <f>VLOOKUP(Table13[[#This Row],[Donor Name]],'Overall scores and ranking'!$A$3:$D$72,3,FALSE)</f>
        <v>27</v>
      </c>
      <c r="E17" s="107">
        <f>RANK(Table13[[#This Row],[Overall Score]],Table13[Overall Score],0)</f>
        <v>14</v>
      </c>
      <c r="F17" s="61" t="str">
        <f>VLOOKUP(Table13[[#This Row],[Donor Name]],'Overall scores and ranking'!$A$3:$D$72,4,FALSE)</f>
        <v>Fair</v>
      </c>
      <c r="G17" s="109">
        <f>VLOOKUP(Table13[[#This Row],[Donor Name]],'Wtd - IATI vs Others'!$A$5:$D$72,2,FALSE)</f>
        <v>27.375090724950237</v>
      </c>
      <c r="H17" s="61">
        <f>VLOOKUP(Table13[[#This Row],[Donor Name]],'Wtd - IATI vs Others'!$A$5:$D$72,3,FALSE)</f>
        <v>15.092979000000001</v>
      </c>
      <c r="I17" s="61">
        <f>VLOOKUP(Table13[[#This Row],[Donor Name]],'Wtd scores by sub-groups'!$A$5:$K$72,2,FALSE)</f>
        <v>5.2946999999999997</v>
      </c>
      <c r="J17" s="61">
        <f>VLOOKUP(Table13[[#This Row],[Donor Name]],'Wtd scores by sub-groups'!$A$5:$K$72,3,FALSE)</f>
        <v>7.5</v>
      </c>
      <c r="K17" s="61">
        <f>VLOOKUP(Table13[[#This Row],[Donor Name]],'Wtd scores by sub-groups'!$A$5:$K$72,4,FALSE)</f>
        <v>7.6449999999999996</v>
      </c>
      <c r="L17" s="61">
        <f>VLOOKUP(Table13[[#This Row],[Donor Name]],'Wtd scores by sub-groups'!$A$5:$K$72,5,FALSE)</f>
        <v>7.53843495009595</v>
      </c>
      <c r="M17" s="61">
        <f>VLOOKUP(Table13[[#This Row],[Donor Name]],'Wtd scores by sub-groups'!$A$5:$K$72,6,FALSE)</f>
        <v>8.216487523992269</v>
      </c>
      <c r="N17" s="61">
        <f>VLOOKUP(Table13[[#This Row],[Donor Name]],'Wtd scores by sub-groups'!$A$5:$K$72,7,FALSE)</f>
        <v>2.17</v>
      </c>
      <c r="O17" s="61">
        <f>VLOOKUP(Table13[[#This Row],[Donor Name]],'Wtd scores by sub-groups'!$A$5:$K$72,8,FALSE)</f>
        <v>4.1034472508620201</v>
      </c>
      <c r="P17" s="61">
        <f>VLOOKUP(Table13[[#This Row],[Donor Name]],'Wtd scores by sub-groups'!$A$5:$K$72,9,FALSE)</f>
        <v>0</v>
      </c>
      <c r="Q17" s="61">
        <f>VLOOKUP(Table13[[#This Row],[Donor Name]],'Weighted scores by indicator'!$A$7:$AO$74,2,FALSE)</f>
        <v>3.33</v>
      </c>
      <c r="R17" s="61">
        <f>VLOOKUP(Table13[[#This Row],[Donor Name]],'Weighted scores by indicator'!$A$7:$AO$74,3,FALSE)</f>
        <v>1.9646999999999999</v>
      </c>
      <c r="S17" s="61">
        <f>VLOOKUP(Table13[[#This Row],[Donor Name]],'Weighted scores by indicator'!$A$7:$AO$74,4,FALSE)</f>
        <v>0</v>
      </c>
      <c r="T17" s="61">
        <f>VLOOKUP(Table13[[#This Row],[Donor Name]],'Weighted scores by indicator'!$A$7:$AO$74,5,FALSE)</f>
        <v>1.25</v>
      </c>
      <c r="U17" s="61">
        <f>VLOOKUP(Table13[[#This Row],[Donor Name]],'Weighted scores by indicator'!$A$7:$AO$74,6,FALSE)</f>
        <v>2.5</v>
      </c>
      <c r="V17" s="61">
        <f>VLOOKUP(Table13[[#This Row],[Donor Name]],'Weighted scores by indicator'!$A$7:$AO$74,7,FALSE)</f>
        <v>1.25</v>
      </c>
      <c r="W17" s="61">
        <f>VLOOKUP(Table13[[#This Row],[Donor Name]],'Weighted scores by indicator'!$A$7:$AO$74,8,FALSE)</f>
        <v>1.25</v>
      </c>
      <c r="X17" s="61">
        <f>VLOOKUP(Table13[[#This Row],[Donor Name]],'Weighted scores by indicator'!$A$7:$AO$74,9,FALSE)</f>
        <v>1.25</v>
      </c>
      <c r="Y17" s="61">
        <f>VLOOKUP(Table13[[#This Row],[Donor Name]],'Weighted scores by indicator'!$A$7:$AO$74,10,FALSE)</f>
        <v>2.78</v>
      </c>
      <c r="Z17" s="61">
        <f>VLOOKUP(Table13[[#This Row],[Donor Name]],'Weighted scores by indicator'!$A$7:$AO$74,11,FALSE)</f>
        <v>2.78</v>
      </c>
      <c r="AA17" s="61">
        <f>VLOOKUP(Table13[[#This Row],[Donor Name]],'Weighted scores by indicator'!$A$7:$AO$74,12,FALSE)</f>
        <v>2.085</v>
      </c>
      <c r="AB17" s="61">
        <f>VLOOKUP(Table13[[#This Row],[Donor Name]],'Weighted scores by indicator'!$A$7:$AO$74,13,FALSE)</f>
        <v>1.08797024952015</v>
      </c>
      <c r="AC17" s="61">
        <f>VLOOKUP(Table13[[#This Row],[Donor Name]],'Weighted scores by indicator'!$A$7:$AO$74,14,FALSE)</f>
        <v>1.2224999999999999</v>
      </c>
      <c r="AD17" s="61">
        <f>VLOOKUP(Table13[[#This Row],[Donor Name]],'Weighted scores by indicator'!$A$7:$AO$74,15,FALSE)</f>
        <v>1.2209357005758099</v>
      </c>
      <c r="AE17" s="61">
        <f>VLOOKUP(Table13[[#This Row],[Donor Name]],'Weighted scores by indicator'!$A$7:$AO$74,16,FALSE)</f>
        <v>0</v>
      </c>
      <c r="AF17" s="61">
        <f>VLOOKUP(Table13[[#This Row],[Donor Name]],'Weighted scores by indicator'!$A$7:$AO$74,17,FALSE)</f>
        <v>1.0187499999999901</v>
      </c>
      <c r="AG17" s="61">
        <f>VLOOKUP(Table13[[#This Row],[Donor Name]],'Weighted scores by indicator'!$A$7:$AO$74,18,FALSE)</f>
        <v>1.2224999999999999</v>
      </c>
      <c r="AH17" s="61">
        <f>VLOOKUP(Table13[[#This Row],[Donor Name]],'Weighted scores by indicator'!$A$7:$AO$74,19,FALSE)</f>
        <v>1.2224999999999999</v>
      </c>
      <c r="AI17" s="61">
        <f>VLOOKUP(Table13[[#This Row],[Donor Name]],'Weighted scores by indicator'!$A$7:$AO$74,20,FALSE)</f>
        <v>0.54327899999999996</v>
      </c>
      <c r="AJ17" s="61">
        <f>VLOOKUP(Table13[[#This Row],[Donor Name]],'Weighted scores by indicator'!$A$7:$AO$74,21,FALSE)</f>
        <v>1.39499999999999</v>
      </c>
      <c r="AK17" s="61">
        <f>VLOOKUP(Table13[[#This Row],[Donor Name]],'Weighted scores by indicator'!$A$7:$AO$74,22,FALSE)</f>
        <v>1.39499999999999</v>
      </c>
      <c r="AL17" s="61">
        <f>VLOOKUP(Table13[[#This Row],[Donor Name]],'Weighted scores by indicator'!$A$7:$AO$74,23,FALSE)</f>
        <v>1.24148752399232</v>
      </c>
      <c r="AM17" s="61">
        <f>VLOOKUP(Table13[[#This Row],[Donor Name]],'Weighted scores by indicator'!$A$7:$AO$74,24,FALSE)</f>
        <v>1.39499999999999</v>
      </c>
      <c r="AN17" s="61">
        <f>VLOOKUP(Table13[[#This Row],[Donor Name]],'Weighted scores by indicator'!$A$7:$AO$74,25,FALSE)</f>
        <v>1.39499999999999</v>
      </c>
      <c r="AO17" s="61">
        <f>VLOOKUP(Table13[[#This Row],[Donor Name]],'Weighted scores by indicator'!$A$7:$AO$74,26,FALSE)</f>
        <v>0</v>
      </c>
      <c r="AP17" s="61">
        <f>VLOOKUP(Table13[[#This Row],[Donor Name]],'Weighted scores by indicator'!$A$7:$AO$74,27,FALSE)</f>
        <v>1.39499999999999</v>
      </c>
      <c r="AQ17" s="61">
        <f>VLOOKUP(Table13[[#This Row],[Donor Name]],'Weighted scores by indicator'!$A$7:$AO$74,28,FALSE)</f>
        <v>0</v>
      </c>
      <c r="AR17" s="61">
        <f>VLOOKUP(Table13[[#This Row],[Donor Name]],'Weighted scores by indicator'!$A$7:$AO$74,29,FALSE)</f>
        <v>1.085</v>
      </c>
      <c r="AS17" s="61">
        <f>VLOOKUP(Table13[[#This Row],[Donor Name]],'Weighted scores by indicator'!$A$7:$AO$74,30,FALSE)</f>
        <v>0</v>
      </c>
      <c r="AT17" s="61">
        <f>VLOOKUP(Table13[[#This Row],[Donor Name]],'Weighted scores by indicator'!$A$7:$AO$74,31,FALSE)</f>
        <v>0</v>
      </c>
      <c r="AU17" s="61">
        <f>VLOOKUP(Table13[[#This Row],[Donor Name]],'Weighted scores by indicator'!$A$7:$AO$74,32,FALSE)</f>
        <v>0</v>
      </c>
      <c r="AV17" s="61">
        <f>VLOOKUP(Table13[[#This Row],[Donor Name]],'Weighted scores by indicator'!$A$7:$AO$74,33,FALSE)</f>
        <v>1.085</v>
      </c>
      <c r="AW17" s="61">
        <f>VLOOKUP(Table13[[#This Row],[Donor Name]],'Weighted scores by indicator'!$A$7:$AO$74,34,FALSE)</f>
        <v>1.9341814159291999</v>
      </c>
      <c r="AX17" s="61">
        <f>VLOOKUP(Table13[[#This Row],[Donor Name]],'Weighted scores by indicator'!$A$7:$AO$74,35,FALSE)</f>
        <v>0</v>
      </c>
      <c r="AY17" s="61">
        <f>VLOOKUP(Table13[[#This Row],[Donor Name]],'Weighted scores by indicator'!$A$7:$AO$74,36,FALSE)</f>
        <v>2.16926583493282</v>
      </c>
      <c r="AZ17" s="61">
        <f>VLOOKUP(Table13[[#This Row],[Donor Name]],'Weighted scores by indicator'!$A$7:$AO$74,37,FALSE)</f>
        <v>0</v>
      </c>
      <c r="BA17" s="61">
        <f>VLOOKUP(Table13[[#This Row],[Donor Name]],'Weighted scores by indicator'!$A$7:$AO$74,38,FALSE)</f>
        <v>0</v>
      </c>
      <c r="BB17" s="61">
        <f>VLOOKUP(Table13[[#This Row],[Donor Name]],'Weighted scores by indicator'!$A$7:$AO$74,39,FALSE)</f>
        <v>0</v>
      </c>
      <c r="BC17" s="111">
        <f>VLOOKUP(Table13[[#This Row],[Donor Name]],'Weighted scores by indicator'!$A$7:$AO$74,40,FALSE)</f>
        <v>0</v>
      </c>
      <c r="BD17" s="61">
        <f>COUNTIF(Table13[[#This Row],[FOIA]:[Conditions]],"0")</f>
        <v>12</v>
      </c>
      <c r="BE17" s="61">
        <f>COUNTIF(Table13[[#This Row],[FOIA]:[Conditions]],"&gt;0")</f>
        <v>27</v>
      </c>
      <c r="BG17">
        <f>39-SUM(Table13[[#This Row],[No of indicators not scoring on]:[No of indicators scoring on]])</f>
        <v>0</v>
      </c>
    </row>
    <row r="18" spans="1:59" x14ac:dyDescent="0.25">
      <c r="A18" s="104" t="s">
        <v>2829</v>
      </c>
      <c r="B18" s="102" t="s">
        <v>3188</v>
      </c>
      <c r="C18" s="157">
        <f>VLOOKUP(Table13[[#This Row],[Donor Name]],'Overall scores and ranking'!$A$3:$D$72,2,FALSE)</f>
        <v>42.402737318470088</v>
      </c>
      <c r="D18" s="107">
        <f>VLOOKUP(Table13[[#This Row],[Donor Name]],'Overall scores and ranking'!$A$3:$D$72,3,FALSE)</f>
        <v>28</v>
      </c>
      <c r="E18" s="107">
        <f>RANK(Table13[[#This Row],[Overall Score]],Table13[Overall Score],0)</f>
        <v>15</v>
      </c>
      <c r="F18" s="61" t="str">
        <f>VLOOKUP(Table13[[#This Row],[Donor Name]],'Overall scores and ranking'!$A$3:$D$72,4,FALSE)</f>
        <v>Fair</v>
      </c>
      <c r="G18" s="109">
        <f>VLOOKUP(Table13[[#This Row],[Donor Name]],'Wtd - IATI vs Others'!$A$5:$D$72,2,FALSE)</f>
        <v>33.316778818470091</v>
      </c>
      <c r="H18" s="61">
        <f>VLOOKUP(Table13[[#This Row],[Donor Name]],'Wtd - IATI vs Others'!$A$5:$D$72,3,FALSE)</f>
        <v>9.0859584999999985</v>
      </c>
      <c r="I18" s="61">
        <f>VLOOKUP(Table13[[#This Row],[Donor Name]],'Wtd scores by sub-groups'!$A$5:$K$72,2,FALSE)</f>
        <v>2.6360279999999996</v>
      </c>
      <c r="J18" s="61">
        <f>VLOOKUP(Table13[[#This Row],[Donor Name]],'Wtd scores by sub-groups'!$A$5:$K$72,3,FALSE)</f>
        <v>7.5</v>
      </c>
      <c r="K18" s="61">
        <f>VLOOKUP(Table13[[#This Row],[Donor Name]],'Wtd scores by sub-groups'!$A$5:$K$72,4,FALSE)</f>
        <v>0.69493050000000001</v>
      </c>
      <c r="L18" s="61">
        <f>VLOOKUP(Table13[[#This Row],[Donor Name]],'Wtd scores by sub-groups'!$A$5:$K$72,5,FALSE)</f>
        <v>7.8770361527966939</v>
      </c>
      <c r="M18" s="61">
        <f>VLOOKUP(Table13[[#This Row],[Donor Name]],'Wtd scores by sub-groups'!$A$5:$K$72,6,FALSE)</f>
        <v>11.55829772723291</v>
      </c>
      <c r="N18" s="61">
        <f>VLOOKUP(Table13[[#This Row],[Donor Name]],'Wtd scores by sub-groups'!$A$5:$K$72,7,FALSE)</f>
        <v>4.3520225718194201</v>
      </c>
      <c r="O18" s="61">
        <f>VLOOKUP(Table13[[#This Row],[Donor Name]],'Wtd scores by sub-groups'!$A$5:$K$72,8,FALSE)</f>
        <v>5.5487859097127199</v>
      </c>
      <c r="P18" s="61">
        <f>VLOOKUP(Table13[[#This Row],[Donor Name]],'Wtd scores by sub-groups'!$A$5:$K$72,9,FALSE)</f>
        <v>2.23563645690834</v>
      </c>
      <c r="Q18" s="61">
        <f>VLOOKUP(Table13[[#This Row],[Donor Name]],'Weighted scores by indicator'!$A$7:$AO$74,2,FALSE)</f>
        <v>2.2197779999999998</v>
      </c>
      <c r="R18" s="61">
        <f>VLOOKUP(Table13[[#This Row],[Donor Name]],'Weighted scores by indicator'!$A$7:$AO$74,3,FALSE)</f>
        <v>0.41625000000000001</v>
      </c>
      <c r="S18" s="61">
        <f>VLOOKUP(Table13[[#This Row],[Donor Name]],'Weighted scores by indicator'!$A$7:$AO$74,4,FALSE)</f>
        <v>0</v>
      </c>
      <c r="T18" s="61">
        <f>VLOOKUP(Table13[[#This Row],[Donor Name]],'Weighted scores by indicator'!$A$7:$AO$74,5,FALSE)</f>
        <v>2.5</v>
      </c>
      <c r="U18" s="61">
        <f>VLOOKUP(Table13[[#This Row],[Donor Name]],'Weighted scores by indicator'!$A$7:$AO$74,6,FALSE)</f>
        <v>2.5</v>
      </c>
      <c r="V18" s="61">
        <f>VLOOKUP(Table13[[#This Row],[Donor Name]],'Weighted scores by indicator'!$A$7:$AO$74,7,FALSE)</f>
        <v>1.25</v>
      </c>
      <c r="W18" s="61">
        <f>VLOOKUP(Table13[[#This Row],[Donor Name]],'Weighted scores by indicator'!$A$7:$AO$74,8,FALSE)</f>
        <v>1.25</v>
      </c>
      <c r="X18" s="61">
        <f>VLOOKUP(Table13[[#This Row],[Donor Name]],'Weighted scores by indicator'!$A$7:$AO$74,9,FALSE)</f>
        <v>0</v>
      </c>
      <c r="Y18" s="61">
        <f>VLOOKUP(Table13[[#This Row],[Donor Name]],'Weighted scores by indicator'!$A$7:$AO$74,10,FALSE)</f>
        <v>0.69493050000000001</v>
      </c>
      <c r="Z18" s="61">
        <f>VLOOKUP(Table13[[#This Row],[Donor Name]],'Weighted scores by indicator'!$A$7:$AO$74,11,FALSE)</f>
        <v>0</v>
      </c>
      <c r="AA18" s="61">
        <f>VLOOKUP(Table13[[#This Row],[Donor Name]],'Weighted scores by indicator'!$A$7:$AO$74,12,FALSE)</f>
        <v>0</v>
      </c>
      <c r="AB18" s="61">
        <f>VLOOKUP(Table13[[#This Row],[Donor Name]],'Weighted scores by indicator'!$A$7:$AO$74,13,FALSE)</f>
        <v>1.54849999999999</v>
      </c>
      <c r="AC18" s="61">
        <f>VLOOKUP(Table13[[#This Row],[Donor Name]],'Weighted scores by indicator'!$A$7:$AO$74,14,FALSE)</f>
        <v>1.54849999999999</v>
      </c>
      <c r="AD18" s="61">
        <f>VLOOKUP(Table13[[#This Row],[Donor Name]],'Weighted scores by indicator'!$A$7:$AO$74,15,FALSE)</f>
        <v>1.54399693042291</v>
      </c>
      <c r="AE18" s="61">
        <f>VLOOKUP(Table13[[#This Row],[Donor Name]],'Weighted scores by indicator'!$A$7:$AO$74,16,FALSE)</f>
        <v>1.3878905184174599</v>
      </c>
      <c r="AF18" s="61">
        <f>VLOOKUP(Table13[[#This Row],[Donor Name]],'Weighted scores by indicator'!$A$7:$AO$74,17,FALSE)</f>
        <v>0.924074351978172</v>
      </c>
      <c r="AG18" s="61">
        <f>VLOOKUP(Table13[[#This Row],[Donor Name]],'Weighted scores by indicator'!$A$7:$AO$74,18,FALSE)</f>
        <v>0</v>
      </c>
      <c r="AH18" s="61">
        <f>VLOOKUP(Table13[[#This Row],[Donor Name]],'Weighted scores by indicator'!$A$7:$AO$74,19,FALSE)</f>
        <v>0.924074351978172</v>
      </c>
      <c r="AI18" s="61">
        <f>VLOOKUP(Table13[[#This Row],[Donor Name]],'Weighted scores by indicator'!$A$7:$AO$74,20,FALSE)</f>
        <v>0</v>
      </c>
      <c r="AJ18" s="61">
        <f>VLOOKUP(Table13[[#This Row],[Donor Name]],'Weighted scores by indicator'!$A$7:$AO$74,21,FALSE)</f>
        <v>1.76585499316005</v>
      </c>
      <c r="AK18" s="61">
        <f>VLOOKUP(Table13[[#This Row],[Donor Name]],'Weighted scores by indicator'!$A$7:$AO$74,22,FALSE)</f>
        <v>1.76585499316005</v>
      </c>
      <c r="AL18" s="61">
        <f>VLOOKUP(Table13[[#This Row],[Donor Name]],'Weighted scores by indicator'!$A$7:$AO$74,23,FALSE)</f>
        <v>1.76585499316005</v>
      </c>
      <c r="AM18" s="61">
        <f>VLOOKUP(Table13[[#This Row],[Donor Name]],'Weighted scores by indicator'!$A$7:$AO$74,24,FALSE)</f>
        <v>1.6937195622435</v>
      </c>
      <c r="AN18" s="61">
        <f>VLOOKUP(Table13[[#This Row],[Donor Name]],'Weighted scores by indicator'!$A$7:$AO$74,25,FALSE)</f>
        <v>1.7561521145975401</v>
      </c>
      <c r="AO18" s="61">
        <f>VLOOKUP(Table13[[#This Row],[Donor Name]],'Weighted scores by indicator'!$A$7:$AO$74,26,FALSE)</f>
        <v>1.04386107091172</v>
      </c>
      <c r="AP18" s="61">
        <f>VLOOKUP(Table13[[#This Row],[Donor Name]],'Weighted scores by indicator'!$A$7:$AO$74,27,FALSE)</f>
        <v>1.7669999999999999</v>
      </c>
      <c r="AQ18" s="61">
        <f>VLOOKUP(Table13[[#This Row],[Donor Name]],'Weighted scores by indicator'!$A$7:$AO$74,28,FALSE)</f>
        <v>0</v>
      </c>
      <c r="AR18" s="61">
        <f>VLOOKUP(Table13[[#This Row],[Donor Name]],'Weighted scores by indicator'!$A$7:$AO$74,29,FALSE)</f>
        <v>1.085</v>
      </c>
      <c r="AS18" s="61">
        <f>VLOOKUP(Table13[[#This Row],[Donor Name]],'Weighted scores by indicator'!$A$7:$AO$74,30,FALSE)</f>
        <v>1.09702257181942</v>
      </c>
      <c r="AT18" s="61">
        <f>VLOOKUP(Table13[[#This Row],[Donor Name]],'Weighted scores by indicator'!$A$7:$AO$74,31,FALSE)</f>
        <v>0</v>
      </c>
      <c r="AU18" s="61">
        <f>VLOOKUP(Table13[[#This Row],[Donor Name]],'Weighted scores by indicator'!$A$7:$AO$74,32,FALSE)</f>
        <v>1.085</v>
      </c>
      <c r="AV18" s="61">
        <f>VLOOKUP(Table13[[#This Row],[Donor Name]],'Weighted scores by indicator'!$A$7:$AO$74,33,FALSE)</f>
        <v>1.085</v>
      </c>
      <c r="AW18" s="61">
        <f>VLOOKUP(Table13[[#This Row],[Donor Name]],'Weighted scores by indicator'!$A$7:$AO$74,34,FALSE)</f>
        <v>0</v>
      </c>
      <c r="AX18" s="61">
        <f>VLOOKUP(Table13[[#This Row],[Donor Name]],'Weighted scores by indicator'!$A$7:$AO$74,35,FALSE)</f>
        <v>2.4932968536251701</v>
      </c>
      <c r="AY18" s="61">
        <f>VLOOKUP(Table13[[#This Row],[Donor Name]],'Weighted scores by indicator'!$A$7:$AO$74,36,FALSE)</f>
        <v>3.0554890560875498</v>
      </c>
      <c r="AZ18" s="61">
        <f>VLOOKUP(Table13[[#This Row],[Donor Name]],'Weighted scores by indicator'!$A$7:$AO$74,37,FALSE)</f>
        <v>0</v>
      </c>
      <c r="BA18" s="61">
        <f>VLOOKUP(Table13[[#This Row],[Donor Name]],'Weighted scores by indicator'!$A$7:$AO$74,38,FALSE)</f>
        <v>2.23563645690834</v>
      </c>
      <c r="BB18" s="61">
        <f>VLOOKUP(Table13[[#This Row],[Donor Name]],'Weighted scores by indicator'!$A$7:$AO$74,39,FALSE)</f>
        <v>0</v>
      </c>
      <c r="BC18" s="111">
        <f>VLOOKUP(Table13[[#This Row],[Donor Name]],'Weighted scores by indicator'!$A$7:$AO$74,40,FALSE)</f>
        <v>0</v>
      </c>
      <c r="BD18" s="61">
        <f>COUNTIF(Table13[[#This Row],[FOIA]:[Conditions]],"0")</f>
        <v>12</v>
      </c>
      <c r="BE18" s="61">
        <f>COUNTIF(Table13[[#This Row],[FOIA]:[Conditions]],"&gt;0")</f>
        <v>27</v>
      </c>
      <c r="BG18">
        <f>39-SUM(Table13[[#This Row],[No of indicators not scoring on]:[No of indicators scoring on]])</f>
        <v>0</v>
      </c>
    </row>
    <row r="19" spans="1:59" x14ac:dyDescent="0.25">
      <c r="A19" s="105" t="s">
        <v>2055</v>
      </c>
      <c r="B19" s="103" t="s">
        <v>2054</v>
      </c>
      <c r="C19" s="157">
        <f>VLOOKUP(Table13[[#This Row],[Donor Name]],'Overall scores and ranking'!$A$3:$D$72,2,FALSE)</f>
        <v>40.666519451891098</v>
      </c>
      <c r="D19" s="107">
        <f>VLOOKUP(Table13[[#This Row],[Donor Name]],'Overall scores and ranking'!$A$3:$D$72,3,FALSE)</f>
        <v>30</v>
      </c>
      <c r="E19" s="107">
        <f>RANK(Table13[[#This Row],[Overall Score]],Table13[Overall Score],0)</f>
        <v>16</v>
      </c>
      <c r="F19" s="61" t="str">
        <f>VLOOKUP(Table13[[#This Row],[Donor Name]],'Overall scores and ranking'!$A$3:$D$72,4,FALSE)</f>
        <v>Fair</v>
      </c>
      <c r="G19" s="109">
        <f>VLOOKUP(Table13[[#This Row],[Donor Name]],'Wtd - IATI vs Others'!$A$5:$D$72,2,FALSE)</f>
        <v>27.232867451891096</v>
      </c>
      <c r="H19" s="61">
        <f>VLOOKUP(Table13[[#This Row],[Donor Name]],'Wtd - IATI vs Others'!$A$5:$D$72,3,FALSE)</f>
        <v>13.433652</v>
      </c>
      <c r="I19" s="61">
        <f>VLOOKUP(Table13[[#This Row],[Donor Name]],'Wtd scores by sub-groups'!$A$5:$K$72,2,FALSE)</f>
        <v>3.252078</v>
      </c>
      <c r="J19" s="61">
        <f>VLOOKUP(Table13[[#This Row],[Donor Name]],'Wtd scores by sub-groups'!$A$5:$K$72,3,FALSE)</f>
        <v>5</v>
      </c>
      <c r="K19" s="61">
        <f>VLOOKUP(Table13[[#This Row],[Donor Name]],'Wtd scores by sub-groups'!$A$5:$K$72,4,FALSE)</f>
        <v>3.011574</v>
      </c>
      <c r="L19" s="61">
        <f>VLOOKUP(Table13[[#This Row],[Donor Name]],'Wtd scores by sub-groups'!$A$5:$K$72,5,FALSE)</f>
        <v>11.19786745189116</v>
      </c>
      <c r="M19" s="61">
        <f>VLOOKUP(Table13[[#This Row],[Donor Name]],'Wtd scores by sub-groups'!$A$5:$K$72,6,FALSE)</f>
        <v>11.159999999999942</v>
      </c>
      <c r="N19" s="61">
        <f>VLOOKUP(Table13[[#This Row],[Donor Name]],'Wtd scores by sub-groups'!$A$5:$K$72,7,FALSE)</f>
        <v>2.17</v>
      </c>
      <c r="O19" s="61">
        <f>VLOOKUP(Table13[[#This Row],[Donor Name]],'Wtd scores by sub-groups'!$A$5:$K$72,8,FALSE)</f>
        <v>4.875</v>
      </c>
      <c r="P19" s="61">
        <f>VLOOKUP(Table13[[#This Row],[Donor Name]],'Wtd scores by sub-groups'!$A$5:$K$72,9,FALSE)</f>
        <v>0</v>
      </c>
      <c r="Q19" s="61">
        <f>VLOOKUP(Table13[[#This Row],[Donor Name]],'Weighted scores by indicator'!$A$7:$AO$74,2,FALSE)</f>
        <v>2.2197779999999998</v>
      </c>
      <c r="R19" s="61">
        <f>VLOOKUP(Table13[[#This Row],[Donor Name]],'Weighted scores by indicator'!$A$7:$AO$74,3,FALSE)</f>
        <v>1.0323</v>
      </c>
      <c r="S19" s="61">
        <f>VLOOKUP(Table13[[#This Row],[Donor Name]],'Weighted scores by indicator'!$A$7:$AO$74,4,FALSE)</f>
        <v>0</v>
      </c>
      <c r="T19" s="61">
        <f>VLOOKUP(Table13[[#This Row],[Donor Name]],'Weighted scores by indicator'!$A$7:$AO$74,5,FALSE)</f>
        <v>1.25</v>
      </c>
      <c r="U19" s="61">
        <f>VLOOKUP(Table13[[#This Row],[Donor Name]],'Weighted scores by indicator'!$A$7:$AO$74,6,FALSE)</f>
        <v>1.25</v>
      </c>
      <c r="V19" s="61">
        <f>VLOOKUP(Table13[[#This Row],[Donor Name]],'Weighted scores by indicator'!$A$7:$AO$74,7,FALSE)</f>
        <v>1.25</v>
      </c>
      <c r="W19" s="61">
        <f>VLOOKUP(Table13[[#This Row],[Donor Name]],'Weighted scores by indicator'!$A$7:$AO$74,8,FALSE)</f>
        <v>1.25</v>
      </c>
      <c r="X19" s="61">
        <f>VLOOKUP(Table13[[#This Row],[Donor Name]],'Weighted scores by indicator'!$A$7:$AO$74,9,FALSE)</f>
        <v>0</v>
      </c>
      <c r="Y19" s="61">
        <f>VLOOKUP(Table13[[#This Row],[Donor Name]],'Weighted scores by indicator'!$A$7:$AO$74,10,FALSE)</f>
        <v>0.2316435</v>
      </c>
      <c r="Z19" s="61">
        <f>VLOOKUP(Table13[[#This Row],[Donor Name]],'Weighted scores by indicator'!$A$7:$AO$74,11,FALSE)</f>
        <v>0.69493050000000001</v>
      </c>
      <c r="AA19" s="61">
        <f>VLOOKUP(Table13[[#This Row],[Donor Name]],'Weighted scores by indicator'!$A$7:$AO$74,12,FALSE)</f>
        <v>2.085</v>
      </c>
      <c r="AB19" s="61">
        <f>VLOOKUP(Table13[[#This Row],[Donor Name]],'Weighted scores by indicator'!$A$7:$AO$74,13,FALSE)</f>
        <v>1.63</v>
      </c>
      <c r="AC19" s="61">
        <f>VLOOKUP(Table13[[#This Row],[Donor Name]],'Weighted scores by indicator'!$A$7:$AO$74,14,FALSE)</f>
        <v>1.63</v>
      </c>
      <c r="AD19" s="61">
        <f>VLOOKUP(Table13[[#This Row],[Donor Name]],'Weighted scores by indicator'!$A$7:$AO$74,15,FALSE)</f>
        <v>1.48749668214996</v>
      </c>
      <c r="AE19" s="61">
        <f>VLOOKUP(Table13[[#This Row],[Donor Name]],'Weighted scores by indicator'!$A$7:$AO$74,16,FALSE)</f>
        <v>1.5603707697411999</v>
      </c>
      <c r="AF19" s="61">
        <f>VLOOKUP(Table13[[#This Row],[Donor Name]],'Weighted scores by indicator'!$A$7:$AO$74,17,FALSE)</f>
        <v>1.63</v>
      </c>
      <c r="AG19" s="61">
        <f>VLOOKUP(Table13[[#This Row],[Donor Name]],'Weighted scores by indicator'!$A$7:$AO$74,18,FALSE)</f>
        <v>0</v>
      </c>
      <c r="AH19" s="61">
        <f>VLOOKUP(Table13[[#This Row],[Donor Name]],'Weighted scores by indicator'!$A$7:$AO$74,19,FALSE)</f>
        <v>1.63</v>
      </c>
      <c r="AI19" s="61">
        <f>VLOOKUP(Table13[[#This Row],[Donor Name]],'Weighted scores by indicator'!$A$7:$AO$74,20,FALSE)</f>
        <v>1.63</v>
      </c>
      <c r="AJ19" s="61">
        <f>VLOOKUP(Table13[[#This Row],[Donor Name]],'Weighted scores by indicator'!$A$7:$AO$74,21,FALSE)</f>
        <v>1.8599999999999901</v>
      </c>
      <c r="AK19" s="61">
        <f>VLOOKUP(Table13[[#This Row],[Donor Name]],'Weighted scores by indicator'!$A$7:$AO$74,22,FALSE)</f>
        <v>1.8599999999999901</v>
      </c>
      <c r="AL19" s="61">
        <f>VLOOKUP(Table13[[#This Row],[Donor Name]],'Weighted scores by indicator'!$A$7:$AO$74,23,FALSE)</f>
        <v>1.8599999999999901</v>
      </c>
      <c r="AM19" s="61">
        <f>VLOOKUP(Table13[[#This Row],[Donor Name]],'Weighted scores by indicator'!$A$7:$AO$74,24,FALSE)</f>
        <v>1.8599999999999901</v>
      </c>
      <c r="AN19" s="61">
        <f>VLOOKUP(Table13[[#This Row],[Donor Name]],'Weighted scores by indicator'!$A$7:$AO$74,25,FALSE)</f>
        <v>1.8599999999999901</v>
      </c>
      <c r="AO19" s="61">
        <f>VLOOKUP(Table13[[#This Row],[Donor Name]],'Weighted scores by indicator'!$A$7:$AO$74,26,FALSE)</f>
        <v>0</v>
      </c>
      <c r="AP19" s="61">
        <f>VLOOKUP(Table13[[#This Row],[Donor Name]],'Weighted scores by indicator'!$A$7:$AO$74,27,FALSE)</f>
        <v>1.8599999999999901</v>
      </c>
      <c r="AQ19" s="61">
        <f>VLOOKUP(Table13[[#This Row],[Donor Name]],'Weighted scores by indicator'!$A$7:$AO$74,28,FALSE)</f>
        <v>1.085</v>
      </c>
      <c r="AR19" s="61">
        <f>VLOOKUP(Table13[[#This Row],[Donor Name]],'Weighted scores by indicator'!$A$7:$AO$74,29,FALSE)</f>
        <v>0</v>
      </c>
      <c r="AS19" s="61">
        <f>VLOOKUP(Table13[[#This Row],[Donor Name]],'Weighted scores by indicator'!$A$7:$AO$74,30,FALSE)</f>
        <v>0</v>
      </c>
      <c r="AT19" s="61">
        <f>VLOOKUP(Table13[[#This Row],[Donor Name]],'Weighted scores by indicator'!$A$7:$AO$74,31,FALSE)</f>
        <v>0</v>
      </c>
      <c r="AU19" s="61">
        <f>VLOOKUP(Table13[[#This Row],[Donor Name]],'Weighted scores by indicator'!$A$7:$AO$74,32,FALSE)</f>
        <v>0</v>
      </c>
      <c r="AV19" s="61">
        <f>VLOOKUP(Table13[[#This Row],[Donor Name]],'Weighted scores by indicator'!$A$7:$AO$74,33,FALSE)</f>
        <v>1.085</v>
      </c>
      <c r="AW19" s="61">
        <f>VLOOKUP(Table13[[#This Row],[Donor Name]],'Weighted scores by indicator'!$A$7:$AO$74,34,FALSE)</f>
        <v>2.4375</v>
      </c>
      <c r="AX19" s="61">
        <f>VLOOKUP(Table13[[#This Row],[Donor Name]],'Weighted scores by indicator'!$A$7:$AO$74,35,FALSE)</f>
        <v>0</v>
      </c>
      <c r="AY19" s="61">
        <f>VLOOKUP(Table13[[#This Row],[Donor Name]],'Weighted scores by indicator'!$A$7:$AO$74,36,FALSE)</f>
        <v>0</v>
      </c>
      <c r="AZ19" s="61">
        <f>VLOOKUP(Table13[[#This Row],[Donor Name]],'Weighted scores by indicator'!$A$7:$AO$74,37,FALSE)</f>
        <v>2.4375</v>
      </c>
      <c r="BA19" s="61">
        <f>VLOOKUP(Table13[[#This Row],[Donor Name]],'Weighted scores by indicator'!$A$7:$AO$74,38,FALSE)</f>
        <v>0</v>
      </c>
      <c r="BB19" s="61">
        <f>VLOOKUP(Table13[[#This Row],[Donor Name]],'Weighted scores by indicator'!$A$7:$AO$74,39,FALSE)</f>
        <v>0</v>
      </c>
      <c r="BC19" s="111">
        <f>VLOOKUP(Table13[[#This Row],[Donor Name]],'Weighted scores by indicator'!$A$7:$AO$74,40,FALSE)</f>
        <v>0</v>
      </c>
      <c r="BD19" s="61">
        <f>COUNTIF(Table13[[#This Row],[FOIA]:[Conditions]],"0")</f>
        <v>13</v>
      </c>
      <c r="BE19" s="61">
        <f>COUNTIF(Table13[[#This Row],[FOIA]:[Conditions]],"&gt;0")</f>
        <v>26</v>
      </c>
      <c r="BG19">
        <f>39-SUM(Table13[[#This Row],[No of indicators not scoring on]:[No of indicators scoring on]])</f>
        <v>0</v>
      </c>
    </row>
    <row r="20" spans="1:59" x14ac:dyDescent="0.25">
      <c r="A20" s="104" t="s">
        <v>1279</v>
      </c>
      <c r="B20" s="102" t="s">
        <v>1278</v>
      </c>
      <c r="C20" s="157">
        <f>VLOOKUP(Table13[[#This Row],[Donor Name]],'Overall scores and ranking'!$A$3:$D$72,2,FALSE)</f>
        <v>40.312333617246189</v>
      </c>
      <c r="D20" s="107">
        <f>VLOOKUP(Table13[[#This Row],[Donor Name]],'Overall scores and ranking'!$A$3:$D$72,3,FALSE)</f>
        <v>31</v>
      </c>
      <c r="E20" s="107">
        <f>RANK(Table13[[#This Row],[Overall Score]],Table13[Overall Score],0)</f>
        <v>17</v>
      </c>
      <c r="F20" s="61" t="str">
        <f>VLOOKUP(Table13[[#This Row],[Donor Name]],'Overall scores and ranking'!$A$3:$D$72,4,FALSE)</f>
        <v>Fair</v>
      </c>
      <c r="G20" s="109">
        <f>VLOOKUP(Table13[[#This Row],[Donor Name]],'Wtd - IATI vs Others'!$A$5:$D$72,2,FALSE)</f>
        <v>20.973896117246191</v>
      </c>
      <c r="H20" s="61">
        <f>VLOOKUP(Table13[[#This Row],[Donor Name]],'Wtd - IATI vs Others'!$A$5:$D$72,3,FALSE)</f>
        <v>19.338437499999998</v>
      </c>
      <c r="I20" s="61">
        <f>VLOOKUP(Table13[[#This Row],[Donor Name]],'Wtd scores by sub-groups'!$A$5:$K$72,2,FALSE)</f>
        <v>5.4718559999999998</v>
      </c>
      <c r="J20" s="61">
        <f>VLOOKUP(Table13[[#This Row],[Donor Name]],'Wtd scores by sub-groups'!$A$5:$K$72,3,FALSE)</f>
        <v>5</v>
      </c>
      <c r="K20" s="61">
        <f>VLOOKUP(Table13[[#This Row],[Donor Name]],'Wtd scores by sub-groups'!$A$5:$K$72,4,FALSE)</f>
        <v>2.3166435000000001</v>
      </c>
      <c r="L20" s="61">
        <f>VLOOKUP(Table13[[#This Row],[Donor Name]],'Wtd scores by sub-groups'!$A$5:$K$72,5,FALSE)</f>
        <v>10.222256226503729</v>
      </c>
      <c r="M20" s="61">
        <f>VLOOKUP(Table13[[#This Row],[Donor Name]],'Wtd scores by sub-groups'!$A$5:$K$72,6,FALSE)</f>
        <v>7.5465778907424568</v>
      </c>
      <c r="N20" s="61">
        <f>VLOOKUP(Table13[[#This Row],[Donor Name]],'Wtd scores by sub-groups'!$A$5:$K$72,7,FALSE)</f>
        <v>3.2549999999999999</v>
      </c>
      <c r="O20" s="61">
        <f>VLOOKUP(Table13[[#This Row],[Donor Name]],'Wtd scores by sub-groups'!$A$5:$K$72,8,FALSE)</f>
        <v>6.5</v>
      </c>
      <c r="P20" s="61">
        <f>VLOOKUP(Table13[[#This Row],[Donor Name]],'Wtd scores by sub-groups'!$A$5:$K$72,9,FALSE)</f>
        <v>0</v>
      </c>
      <c r="Q20" s="61">
        <f>VLOOKUP(Table13[[#This Row],[Donor Name]],'Weighted scores by indicator'!$A$7:$AO$74,2,FALSE)</f>
        <v>2.2197779999999998</v>
      </c>
      <c r="R20" s="61">
        <f>VLOOKUP(Table13[[#This Row],[Donor Name]],'Weighted scores by indicator'!$A$7:$AO$74,3,FALSE)</f>
        <v>1.0323</v>
      </c>
      <c r="S20" s="61">
        <f>VLOOKUP(Table13[[#This Row],[Donor Name]],'Weighted scores by indicator'!$A$7:$AO$74,4,FALSE)</f>
        <v>2.2197779999999998</v>
      </c>
      <c r="T20" s="61">
        <f>VLOOKUP(Table13[[#This Row],[Donor Name]],'Weighted scores by indicator'!$A$7:$AO$74,5,FALSE)</f>
        <v>1.25</v>
      </c>
      <c r="U20" s="61">
        <f>VLOOKUP(Table13[[#This Row],[Donor Name]],'Weighted scores by indicator'!$A$7:$AO$74,6,FALSE)</f>
        <v>1.25</v>
      </c>
      <c r="V20" s="61">
        <f>VLOOKUP(Table13[[#This Row],[Donor Name]],'Weighted scores by indicator'!$A$7:$AO$74,7,FALSE)</f>
        <v>1.25</v>
      </c>
      <c r="W20" s="61">
        <f>VLOOKUP(Table13[[#This Row],[Donor Name]],'Weighted scores by indicator'!$A$7:$AO$74,8,FALSE)</f>
        <v>1.25</v>
      </c>
      <c r="X20" s="61">
        <f>VLOOKUP(Table13[[#This Row],[Donor Name]],'Weighted scores by indicator'!$A$7:$AO$74,9,FALSE)</f>
        <v>0</v>
      </c>
      <c r="Y20" s="61">
        <f>VLOOKUP(Table13[[#This Row],[Donor Name]],'Weighted scores by indicator'!$A$7:$AO$74,10,FALSE)</f>
        <v>0.2316435</v>
      </c>
      <c r="Z20" s="61">
        <f>VLOOKUP(Table13[[#This Row],[Donor Name]],'Weighted scores by indicator'!$A$7:$AO$74,11,FALSE)</f>
        <v>0</v>
      </c>
      <c r="AA20" s="61">
        <f>VLOOKUP(Table13[[#This Row],[Donor Name]],'Weighted scores by indicator'!$A$7:$AO$74,12,FALSE)</f>
        <v>2.085</v>
      </c>
      <c r="AB20" s="61">
        <f>VLOOKUP(Table13[[#This Row],[Donor Name]],'Weighted scores by indicator'!$A$7:$AO$74,13,FALSE)</f>
        <v>1.6266009750939801</v>
      </c>
      <c r="AC20" s="61">
        <f>VLOOKUP(Table13[[#This Row],[Donor Name]],'Weighted scores by indicator'!$A$7:$AO$74,14,FALSE)</f>
        <v>1.63</v>
      </c>
      <c r="AD20" s="61">
        <f>VLOOKUP(Table13[[#This Row],[Donor Name]],'Weighted scores by indicator'!$A$7:$AO$74,15,FALSE)</f>
        <v>1.60655390918702</v>
      </c>
      <c r="AE20" s="61">
        <f>VLOOKUP(Table13[[#This Row],[Donor Name]],'Weighted scores by indicator'!$A$7:$AO$74,16,FALSE)</f>
        <v>1.28538196076127</v>
      </c>
      <c r="AF20" s="61">
        <f>VLOOKUP(Table13[[#This Row],[Donor Name]],'Weighted scores by indicator'!$A$7:$AO$74,17,FALSE)</f>
        <v>0.81499999999999995</v>
      </c>
      <c r="AG20" s="61">
        <f>VLOOKUP(Table13[[#This Row],[Donor Name]],'Weighted scores by indicator'!$A$7:$AO$74,18,FALSE)</f>
        <v>1.62871938146146</v>
      </c>
      <c r="AH20" s="61">
        <f>VLOOKUP(Table13[[#This Row],[Donor Name]],'Weighted scores by indicator'!$A$7:$AO$74,19,FALSE)</f>
        <v>0</v>
      </c>
      <c r="AI20" s="61">
        <f>VLOOKUP(Table13[[#This Row],[Donor Name]],'Weighted scores by indicator'!$A$7:$AO$74,20,FALSE)</f>
        <v>1.63</v>
      </c>
      <c r="AJ20" s="61">
        <f>VLOOKUP(Table13[[#This Row],[Donor Name]],'Weighted scores by indicator'!$A$7:$AO$74,21,FALSE)</f>
        <v>0</v>
      </c>
      <c r="AK20" s="61">
        <f>VLOOKUP(Table13[[#This Row],[Donor Name]],'Weighted scores by indicator'!$A$7:$AO$74,22,FALSE)</f>
        <v>1.39499999999999</v>
      </c>
      <c r="AL20" s="61">
        <f>VLOOKUP(Table13[[#This Row],[Donor Name]],'Weighted scores by indicator'!$A$7:$AO$74,23,FALSE)</f>
        <v>0.92999999999999905</v>
      </c>
      <c r="AM20" s="61">
        <f>VLOOKUP(Table13[[#This Row],[Donor Name]],'Weighted scores by indicator'!$A$7:$AO$74,24,FALSE)</f>
        <v>0.92999999999999905</v>
      </c>
      <c r="AN20" s="61">
        <f>VLOOKUP(Table13[[#This Row],[Donor Name]],'Weighted scores by indicator'!$A$7:$AO$74,25,FALSE)</f>
        <v>1.81163989074248</v>
      </c>
      <c r="AO20" s="61">
        <f>VLOOKUP(Table13[[#This Row],[Donor Name]],'Weighted scores by indicator'!$A$7:$AO$74,26,FALSE)</f>
        <v>0.61993799999999899</v>
      </c>
      <c r="AP20" s="61">
        <f>VLOOKUP(Table13[[#This Row],[Donor Name]],'Weighted scores by indicator'!$A$7:$AO$74,27,FALSE)</f>
        <v>1.8599999999999901</v>
      </c>
      <c r="AQ20" s="61">
        <f>VLOOKUP(Table13[[#This Row],[Donor Name]],'Weighted scores by indicator'!$A$7:$AO$74,28,FALSE)</f>
        <v>0</v>
      </c>
      <c r="AR20" s="61">
        <f>VLOOKUP(Table13[[#This Row],[Donor Name]],'Weighted scores by indicator'!$A$7:$AO$74,29,FALSE)</f>
        <v>1.085</v>
      </c>
      <c r="AS20" s="61">
        <f>VLOOKUP(Table13[[#This Row],[Donor Name]],'Weighted scores by indicator'!$A$7:$AO$74,30,FALSE)</f>
        <v>0</v>
      </c>
      <c r="AT20" s="61">
        <f>VLOOKUP(Table13[[#This Row],[Donor Name]],'Weighted scores by indicator'!$A$7:$AO$74,31,FALSE)</f>
        <v>0</v>
      </c>
      <c r="AU20" s="61">
        <f>VLOOKUP(Table13[[#This Row],[Donor Name]],'Weighted scores by indicator'!$A$7:$AO$74,32,FALSE)</f>
        <v>1.085</v>
      </c>
      <c r="AV20" s="61">
        <f>VLOOKUP(Table13[[#This Row],[Donor Name]],'Weighted scores by indicator'!$A$7:$AO$74,33,FALSE)</f>
        <v>1.085</v>
      </c>
      <c r="AW20" s="61">
        <f>VLOOKUP(Table13[[#This Row],[Donor Name]],'Weighted scores by indicator'!$A$7:$AO$74,34,FALSE)</f>
        <v>0</v>
      </c>
      <c r="AX20" s="61">
        <f>VLOOKUP(Table13[[#This Row],[Donor Name]],'Weighted scores by indicator'!$A$7:$AO$74,35,FALSE)</f>
        <v>3.25</v>
      </c>
      <c r="AY20" s="61">
        <f>VLOOKUP(Table13[[#This Row],[Donor Name]],'Weighted scores by indicator'!$A$7:$AO$74,36,FALSE)</f>
        <v>3.25</v>
      </c>
      <c r="AZ20" s="61">
        <f>VLOOKUP(Table13[[#This Row],[Donor Name]],'Weighted scores by indicator'!$A$7:$AO$74,37,FALSE)</f>
        <v>0</v>
      </c>
      <c r="BA20" s="61">
        <f>VLOOKUP(Table13[[#This Row],[Donor Name]],'Weighted scores by indicator'!$A$7:$AO$74,38,FALSE)</f>
        <v>0</v>
      </c>
      <c r="BB20" s="61">
        <f>VLOOKUP(Table13[[#This Row],[Donor Name]],'Weighted scores by indicator'!$A$7:$AO$74,39,FALSE)</f>
        <v>0</v>
      </c>
      <c r="BC20" s="111">
        <f>VLOOKUP(Table13[[#This Row],[Donor Name]],'Weighted scores by indicator'!$A$7:$AO$74,40,FALSE)</f>
        <v>0</v>
      </c>
      <c r="BD20" s="61">
        <f>COUNTIF(Table13[[#This Row],[FOIA]:[Conditions]],"0")</f>
        <v>12</v>
      </c>
      <c r="BE20" s="61">
        <f>COUNTIF(Table13[[#This Row],[FOIA]:[Conditions]],"&gt;0")</f>
        <v>27</v>
      </c>
      <c r="BG20">
        <f>39-SUM(Table13[[#This Row],[No of indicators not scoring on]:[No of indicators scoring on]])</f>
        <v>0</v>
      </c>
    </row>
    <row r="21" spans="1:59" x14ac:dyDescent="0.25">
      <c r="A21" s="104" t="s">
        <v>540</v>
      </c>
      <c r="B21" s="102" t="s">
        <v>539</v>
      </c>
      <c r="C21" s="157">
        <f>VLOOKUP(Table13[[#This Row],[Donor Name]],'Overall scores and ranking'!$A$3:$D$72,2,FALSE)</f>
        <v>37.214129285714243</v>
      </c>
      <c r="D21" s="107">
        <f>VLOOKUP(Table13[[#This Row],[Donor Name]],'Overall scores and ranking'!$A$3:$D$72,3,FALSE)</f>
        <v>33</v>
      </c>
      <c r="E21" s="107">
        <f>RANK(Table13[[#This Row],[Overall Score]],Table13[Overall Score],0)</f>
        <v>19</v>
      </c>
      <c r="F21" s="61" t="str">
        <f>VLOOKUP(Table13[[#This Row],[Donor Name]],'Overall scores and ranking'!$A$3:$D$72,4,FALSE)</f>
        <v>Poor</v>
      </c>
      <c r="G21" s="109">
        <f>VLOOKUP(Table13[[#This Row],[Donor Name]],'Wtd - IATI vs Others'!$A$5:$D$72,2,FALSE)</f>
        <v>24.108214285714258</v>
      </c>
      <c r="H21" s="61">
        <f>VLOOKUP(Table13[[#This Row],[Donor Name]],'Wtd - IATI vs Others'!$A$5:$D$72,3,FALSE)</f>
        <v>13.105914999999996</v>
      </c>
      <c r="I21" s="61">
        <f>VLOOKUP(Table13[[#This Row],[Donor Name]],'Wtd scores by sub-groups'!$A$5:$K$72,2,FALSE)</f>
        <v>3.3296669999999997</v>
      </c>
      <c r="J21" s="61">
        <f>VLOOKUP(Table13[[#This Row],[Donor Name]],'Wtd scores by sub-groups'!$A$5:$K$72,3,FALSE)</f>
        <v>11.25</v>
      </c>
      <c r="K21" s="61">
        <f>VLOOKUP(Table13[[#This Row],[Donor Name]],'Wtd scores by sub-groups'!$A$5:$K$72,4,FALSE)</f>
        <v>6.9499999999999993</v>
      </c>
      <c r="L21" s="61">
        <f>VLOOKUP(Table13[[#This Row],[Donor Name]],'Wtd scores by sub-groups'!$A$5:$K$72,5,FALSE)</f>
        <v>6.8497722857142707</v>
      </c>
      <c r="M21" s="61">
        <f>VLOOKUP(Table13[[#This Row],[Donor Name]],'Wtd scores by sub-groups'!$A$5:$K$72,6,FALSE)</f>
        <v>4.4946899999999852</v>
      </c>
      <c r="N21" s="61">
        <f>VLOOKUP(Table13[[#This Row],[Donor Name]],'Wtd scores by sub-groups'!$A$5:$K$72,7,FALSE)</f>
        <v>4.34</v>
      </c>
      <c r="O21" s="61">
        <f>VLOOKUP(Table13[[#This Row],[Donor Name]],'Wtd scores by sub-groups'!$A$5:$K$72,8,FALSE)</f>
        <v>0</v>
      </c>
      <c r="P21" s="61">
        <f>VLOOKUP(Table13[[#This Row],[Donor Name]],'Wtd scores by sub-groups'!$A$5:$K$72,9,FALSE)</f>
        <v>0</v>
      </c>
      <c r="Q21" s="61">
        <f>VLOOKUP(Table13[[#This Row],[Donor Name]],'Weighted scores by indicator'!$A$7:$AO$74,2,FALSE)</f>
        <v>2.2197779999999998</v>
      </c>
      <c r="R21" s="61">
        <f>VLOOKUP(Table13[[#This Row],[Donor Name]],'Weighted scores by indicator'!$A$7:$AO$74,3,FALSE)</f>
        <v>0</v>
      </c>
      <c r="S21" s="61">
        <f>VLOOKUP(Table13[[#This Row],[Donor Name]],'Weighted scores by indicator'!$A$7:$AO$74,4,FALSE)</f>
        <v>1.1098889999999999</v>
      </c>
      <c r="T21" s="61">
        <f>VLOOKUP(Table13[[#This Row],[Donor Name]],'Weighted scores by indicator'!$A$7:$AO$74,5,FALSE)</f>
        <v>2.5</v>
      </c>
      <c r="U21" s="61">
        <f>VLOOKUP(Table13[[#This Row],[Donor Name]],'Weighted scores by indicator'!$A$7:$AO$74,6,FALSE)</f>
        <v>2.5</v>
      </c>
      <c r="V21" s="61">
        <f>VLOOKUP(Table13[[#This Row],[Donor Name]],'Weighted scores by indicator'!$A$7:$AO$74,7,FALSE)</f>
        <v>2.5</v>
      </c>
      <c r="W21" s="61">
        <f>VLOOKUP(Table13[[#This Row],[Donor Name]],'Weighted scores by indicator'!$A$7:$AO$74,8,FALSE)</f>
        <v>2.5</v>
      </c>
      <c r="X21" s="61">
        <f>VLOOKUP(Table13[[#This Row],[Donor Name]],'Weighted scores by indicator'!$A$7:$AO$74,9,FALSE)</f>
        <v>1.25</v>
      </c>
      <c r="Y21" s="61">
        <f>VLOOKUP(Table13[[#This Row],[Donor Name]],'Weighted scores by indicator'!$A$7:$AO$74,10,FALSE)</f>
        <v>2.78</v>
      </c>
      <c r="Z21" s="61">
        <f>VLOOKUP(Table13[[#This Row],[Donor Name]],'Weighted scores by indicator'!$A$7:$AO$74,11,FALSE)</f>
        <v>0</v>
      </c>
      <c r="AA21" s="61">
        <f>VLOOKUP(Table13[[#This Row],[Donor Name]],'Weighted scores by indicator'!$A$7:$AO$74,12,FALSE)</f>
        <v>4.17</v>
      </c>
      <c r="AB21" s="61">
        <f>VLOOKUP(Table13[[#This Row],[Donor Name]],'Weighted scores by indicator'!$A$7:$AO$74,13,FALSE)</f>
        <v>0.54327899999999996</v>
      </c>
      <c r="AC21" s="61">
        <f>VLOOKUP(Table13[[#This Row],[Donor Name]],'Weighted scores by indicator'!$A$7:$AO$74,14,FALSE)</f>
        <v>1.2224999999999999</v>
      </c>
      <c r="AD21" s="61">
        <f>VLOOKUP(Table13[[#This Row],[Donor Name]],'Weighted scores by indicator'!$A$7:$AO$74,15,FALSE)</f>
        <v>1.2224999999999999</v>
      </c>
      <c r="AE21" s="61">
        <f>VLOOKUP(Table13[[#This Row],[Donor Name]],'Weighted scores by indicator'!$A$7:$AO$74,16,FALSE)</f>
        <v>1.07696428571428</v>
      </c>
      <c r="AF21" s="61">
        <f>VLOOKUP(Table13[[#This Row],[Donor Name]],'Weighted scores by indicator'!$A$7:$AO$74,17,FALSE)</f>
        <v>1.2224999999999999</v>
      </c>
      <c r="AG21" s="61">
        <f>VLOOKUP(Table13[[#This Row],[Donor Name]],'Weighted scores by indicator'!$A$7:$AO$74,18,FALSE)</f>
        <v>0</v>
      </c>
      <c r="AH21" s="61">
        <f>VLOOKUP(Table13[[#This Row],[Donor Name]],'Weighted scores by indicator'!$A$7:$AO$74,19,FALSE)</f>
        <v>1.0187499999999901</v>
      </c>
      <c r="AI21" s="61">
        <f>VLOOKUP(Table13[[#This Row],[Donor Name]],'Weighted scores by indicator'!$A$7:$AO$74,20,FALSE)</f>
        <v>0.54327899999999996</v>
      </c>
      <c r="AJ21" s="61">
        <f>VLOOKUP(Table13[[#This Row],[Donor Name]],'Weighted scores by indicator'!$A$7:$AO$74,21,FALSE)</f>
        <v>0.61993799999999899</v>
      </c>
      <c r="AK21" s="61">
        <f>VLOOKUP(Table13[[#This Row],[Donor Name]],'Weighted scores by indicator'!$A$7:$AO$74,22,FALSE)</f>
        <v>0.61993799999999899</v>
      </c>
      <c r="AL21" s="61">
        <f>VLOOKUP(Table13[[#This Row],[Donor Name]],'Weighted scores by indicator'!$A$7:$AO$74,23,FALSE)</f>
        <v>0.61993799999999899</v>
      </c>
      <c r="AM21" s="61">
        <f>VLOOKUP(Table13[[#This Row],[Donor Name]],'Weighted scores by indicator'!$A$7:$AO$74,24,FALSE)</f>
        <v>0.61993799999999899</v>
      </c>
      <c r="AN21" s="61">
        <f>VLOOKUP(Table13[[#This Row],[Donor Name]],'Weighted scores by indicator'!$A$7:$AO$74,25,FALSE)</f>
        <v>1.39499999999999</v>
      </c>
      <c r="AO21" s="61">
        <f>VLOOKUP(Table13[[#This Row],[Donor Name]],'Weighted scores by indicator'!$A$7:$AO$74,26,FALSE)</f>
        <v>0.61993799999999899</v>
      </c>
      <c r="AP21" s="61">
        <f>VLOOKUP(Table13[[#This Row],[Donor Name]],'Weighted scores by indicator'!$A$7:$AO$74,27,FALSE)</f>
        <v>0</v>
      </c>
      <c r="AQ21" s="61">
        <f>VLOOKUP(Table13[[#This Row],[Donor Name]],'Weighted scores by indicator'!$A$7:$AO$74,28,FALSE)</f>
        <v>0</v>
      </c>
      <c r="AR21" s="61">
        <f>VLOOKUP(Table13[[#This Row],[Donor Name]],'Weighted scores by indicator'!$A$7:$AO$74,29,FALSE)</f>
        <v>1.085</v>
      </c>
      <c r="AS21" s="61">
        <f>VLOOKUP(Table13[[#This Row],[Donor Name]],'Weighted scores by indicator'!$A$7:$AO$74,30,FALSE)</f>
        <v>1.085</v>
      </c>
      <c r="AT21" s="61">
        <f>VLOOKUP(Table13[[#This Row],[Donor Name]],'Weighted scores by indicator'!$A$7:$AO$74,31,FALSE)</f>
        <v>0</v>
      </c>
      <c r="AU21" s="61">
        <f>VLOOKUP(Table13[[#This Row],[Donor Name]],'Weighted scores by indicator'!$A$7:$AO$74,32,FALSE)</f>
        <v>1.085</v>
      </c>
      <c r="AV21" s="61">
        <f>VLOOKUP(Table13[[#This Row],[Donor Name]],'Weighted scores by indicator'!$A$7:$AO$74,33,FALSE)</f>
        <v>1.085</v>
      </c>
      <c r="AW21" s="61">
        <f>VLOOKUP(Table13[[#This Row],[Donor Name]],'Weighted scores by indicator'!$A$7:$AO$74,34,FALSE)</f>
        <v>0</v>
      </c>
      <c r="AX21" s="61">
        <f>VLOOKUP(Table13[[#This Row],[Donor Name]],'Weighted scores by indicator'!$A$7:$AO$74,35,FALSE)</f>
        <v>0</v>
      </c>
      <c r="AY21" s="61">
        <f>VLOOKUP(Table13[[#This Row],[Donor Name]],'Weighted scores by indicator'!$A$7:$AO$74,36,FALSE)</f>
        <v>0</v>
      </c>
      <c r="AZ21" s="61">
        <f>VLOOKUP(Table13[[#This Row],[Donor Name]],'Weighted scores by indicator'!$A$7:$AO$74,37,FALSE)</f>
        <v>0</v>
      </c>
      <c r="BA21" s="61">
        <f>VLOOKUP(Table13[[#This Row],[Donor Name]],'Weighted scores by indicator'!$A$7:$AO$74,38,FALSE)</f>
        <v>0</v>
      </c>
      <c r="BB21" s="61">
        <f>VLOOKUP(Table13[[#This Row],[Donor Name]],'Weighted scores by indicator'!$A$7:$AO$74,39,FALSE)</f>
        <v>0</v>
      </c>
      <c r="BC21" s="111">
        <f>VLOOKUP(Table13[[#This Row],[Donor Name]],'Weighted scores by indicator'!$A$7:$AO$74,40,FALSE)</f>
        <v>0</v>
      </c>
      <c r="BD21" s="61">
        <f>COUNTIF(Table13[[#This Row],[FOIA]:[Conditions]],"0")</f>
        <v>13</v>
      </c>
      <c r="BE21" s="61">
        <f>COUNTIF(Table13[[#This Row],[FOIA]:[Conditions]],"&gt;0")</f>
        <v>26</v>
      </c>
      <c r="BG21">
        <f>39-SUM(Table13[[#This Row],[No of indicators not scoring on]:[No of indicators scoring on]])</f>
        <v>0</v>
      </c>
    </row>
    <row r="22" spans="1:59" x14ac:dyDescent="0.25">
      <c r="A22" s="104" t="s">
        <v>1401</v>
      </c>
      <c r="B22" s="102" t="s">
        <v>1400</v>
      </c>
      <c r="C22" s="157">
        <f>VLOOKUP(Table13[[#This Row],[Donor Name]],'Overall scores and ranking'!$A$3:$D$72,2,FALSE)</f>
        <v>38.802452131578917</v>
      </c>
      <c r="D22" s="107">
        <f>VLOOKUP(Table13[[#This Row],[Donor Name]],'Overall scores and ranking'!$A$3:$D$72,3,FALSE)</f>
        <v>32</v>
      </c>
      <c r="E22" s="107">
        <f>RANK(Table13[[#This Row],[Overall Score]],Table13[Overall Score],0)</f>
        <v>18</v>
      </c>
      <c r="F22" s="61" t="str">
        <f>VLOOKUP(Table13[[#This Row],[Donor Name]],'Overall scores and ranking'!$A$3:$D$72,4,FALSE)</f>
        <v>Poor</v>
      </c>
      <c r="G22" s="109">
        <f>VLOOKUP(Table13[[#This Row],[Donor Name]],'Wtd - IATI vs Others'!$A$5:$D$72,2,FALSE)</f>
        <v>20.733952631578919</v>
      </c>
      <c r="H22" s="61">
        <f>VLOOKUP(Table13[[#This Row],[Donor Name]],'Wtd - IATI vs Others'!$A$5:$D$72,3,FALSE)</f>
        <v>18.068499499999994</v>
      </c>
      <c r="I22" s="61">
        <f>VLOOKUP(Table13[[#This Row],[Donor Name]],'Wtd scores by sub-groups'!$A$5:$K$72,2,FALSE)</f>
        <v>5.4718559999999998</v>
      </c>
      <c r="J22" s="61">
        <f>VLOOKUP(Table13[[#This Row],[Donor Name]],'Wtd scores by sub-groups'!$A$5:$K$72,3,FALSE)</f>
        <v>6.25</v>
      </c>
      <c r="K22" s="61">
        <f>VLOOKUP(Table13[[#This Row],[Donor Name]],'Wtd scores by sub-groups'!$A$5:$K$72,4,FALSE)</f>
        <v>2.3166435000000001</v>
      </c>
      <c r="L22" s="61">
        <f>VLOOKUP(Table13[[#This Row],[Donor Name]],'Wtd scores by sub-groups'!$A$5:$K$72,5,FALSE)</f>
        <v>9.3724999999999987</v>
      </c>
      <c r="M22" s="61">
        <f>VLOOKUP(Table13[[#This Row],[Donor Name]],'Wtd scores by sub-groups'!$A$5:$K$72,6,FALSE)</f>
        <v>6.7214526315789183</v>
      </c>
      <c r="N22" s="61">
        <f>VLOOKUP(Table13[[#This Row],[Donor Name]],'Wtd scores by sub-groups'!$A$5:$K$72,7,FALSE)</f>
        <v>2.17</v>
      </c>
      <c r="O22" s="61">
        <f>VLOOKUP(Table13[[#This Row],[Donor Name]],'Wtd scores by sub-groups'!$A$5:$K$72,8,FALSE)</f>
        <v>6.5</v>
      </c>
      <c r="P22" s="61">
        <f>VLOOKUP(Table13[[#This Row],[Donor Name]],'Wtd scores by sub-groups'!$A$5:$K$72,9,FALSE)</f>
        <v>0</v>
      </c>
      <c r="Q22" s="61">
        <f>VLOOKUP(Table13[[#This Row],[Donor Name]],'Weighted scores by indicator'!$A$7:$AO$74,2,FALSE)</f>
        <v>2.2197779999999998</v>
      </c>
      <c r="R22" s="61">
        <f>VLOOKUP(Table13[[#This Row],[Donor Name]],'Weighted scores by indicator'!$A$7:$AO$74,3,FALSE)</f>
        <v>1.0323</v>
      </c>
      <c r="S22" s="61">
        <f>VLOOKUP(Table13[[#This Row],[Donor Name]],'Weighted scores by indicator'!$A$7:$AO$74,4,FALSE)</f>
        <v>2.2197779999999998</v>
      </c>
      <c r="T22" s="61">
        <f>VLOOKUP(Table13[[#This Row],[Donor Name]],'Weighted scores by indicator'!$A$7:$AO$74,5,FALSE)</f>
        <v>1.25</v>
      </c>
      <c r="U22" s="61">
        <f>VLOOKUP(Table13[[#This Row],[Donor Name]],'Weighted scores by indicator'!$A$7:$AO$74,6,FALSE)</f>
        <v>1.25</v>
      </c>
      <c r="V22" s="61">
        <f>VLOOKUP(Table13[[#This Row],[Donor Name]],'Weighted scores by indicator'!$A$7:$AO$74,7,FALSE)</f>
        <v>1.25</v>
      </c>
      <c r="W22" s="61">
        <f>VLOOKUP(Table13[[#This Row],[Donor Name]],'Weighted scores by indicator'!$A$7:$AO$74,8,FALSE)</f>
        <v>1.25</v>
      </c>
      <c r="X22" s="61">
        <f>VLOOKUP(Table13[[#This Row],[Donor Name]],'Weighted scores by indicator'!$A$7:$AO$74,9,FALSE)</f>
        <v>1.25</v>
      </c>
      <c r="Y22" s="61">
        <f>VLOOKUP(Table13[[#This Row],[Donor Name]],'Weighted scores by indicator'!$A$7:$AO$74,10,FALSE)</f>
        <v>0.2316435</v>
      </c>
      <c r="Z22" s="61">
        <f>VLOOKUP(Table13[[#This Row],[Donor Name]],'Weighted scores by indicator'!$A$7:$AO$74,11,FALSE)</f>
        <v>0</v>
      </c>
      <c r="AA22" s="61">
        <f>VLOOKUP(Table13[[#This Row],[Donor Name]],'Weighted scores by indicator'!$A$7:$AO$74,12,FALSE)</f>
        <v>2.085</v>
      </c>
      <c r="AB22" s="61">
        <f>VLOOKUP(Table13[[#This Row],[Donor Name]],'Weighted scores by indicator'!$A$7:$AO$74,13,FALSE)</f>
        <v>1.63</v>
      </c>
      <c r="AC22" s="61">
        <f>VLOOKUP(Table13[[#This Row],[Donor Name]],'Weighted scores by indicator'!$A$7:$AO$74,14,FALSE)</f>
        <v>1.63</v>
      </c>
      <c r="AD22" s="61">
        <f>VLOOKUP(Table13[[#This Row],[Donor Name]],'Weighted scores by indicator'!$A$7:$AO$74,15,FALSE)</f>
        <v>1.63</v>
      </c>
      <c r="AE22" s="61">
        <f>VLOOKUP(Table13[[#This Row],[Donor Name]],'Weighted scores by indicator'!$A$7:$AO$74,16,FALSE)</f>
        <v>1.2224999999999999</v>
      </c>
      <c r="AF22" s="61">
        <f>VLOOKUP(Table13[[#This Row],[Donor Name]],'Weighted scores by indicator'!$A$7:$AO$74,17,FALSE)</f>
        <v>0</v>
      </c>
      <c r="AG22" s="61">
        <f>VLOOKUP(Table13[[#This Row],[Donor Name]],'Weighted scores by indicator'!$A$7:$AO$74,18,FALSE)</f>
        <v>1.63</v>
      </c>
      <c r="AH22" s="61">
        <f>VLOOKUP(Table13[[#This Row],[Donor Name]],'Weighted scores by indicator'!$A$7:$AO$74,19,FALSE)</f>
        <v>0</v>
      </c>
      <c r="AI22" s="61">
        <f>VLOOKUP(Table13[[#This Row],[Donor Name]],'Weighted scores by indicator'!$A$7:$AO$74,20,FALSE)</f>
        <v>1.63</v>
      </c>
      <c r="AJ22" s="61">
        <f>VLOOKUP(Table13[[#This Row],[Donor Name]],'Weighted scores by indicator'!$A$7:$AO$74,21,FALSE)</f>
        <v>0</v>
      </c>
      <c r="AK22" s="61">
        <f>VLOOKUP(Table13[[#This Row],[Donor Name]],'Weighted scores by indicator'!$A$7:$AO$74,22,FALSE)</f>
        <v>1.39499999999999</v>
      </c>
      <c r="AL22" s="61">
        <f>VLOOKUP(Table13[[#This Row],[Donor Name]],'Weighted scores by indicator'!$A$7:$AO$74,23,FALSE)</f>
        <v>0.92999999999999905</v>
      </c>
      <c r="AM22" s="61">
        <f>VLOOKUP(Table13[[#This Row],[Donor Name]],'Weighted scores by indicator'!$A$7:$AO$74,24,FALSE)</f>
        <v>0.92999999999999905</v>
      </c>
      <c r="AN22" s="61">
        <f>VLOOKUP(Table13[[#This Row],[Donor Name]],'Weighted scores by indicator'!$A$7:$AO$74,25,FALSE)</f>
        <v>1.60645263157894</v>
      </c>
      <c r="AO22" s="61">
        <f>VLOOKUP(Table13[[#This Row],[Donor Name]],'Weighted scores by indicator'!$A$7:$AO$74,26,FALSE)</f>
        <v>0</v>
      </c>
      <c r="AP22" s="61">
        <f>VLOOKUP(Table13[[#This Row],[Donor Name]],'Weighted scores by indicator'!$A$7:$AO$74,27,FALSE)</f>
        <v>1.8599999999999901</v>
      </c>
      <c r="AQ22" s="61">
        <f>VLOOKUP(Table13[[#This Row],[Donor Name]],'Weighted scores by indicator'!$A$7:$AO$74,28,FALSE)</f>
        <v>0</v>
      </c>
      <c r="AR22" s="61">
        <f>VLOOKUP(Table13[[#This Row],[Donor Name]],'Weighted scores by indicator'!$A$7:$AO$74,29,FALSE)</f>
        <v>0</v>
      </c>
      <c r="AS22" s="61">
        <f>VLOOKUP(Table13[[#This Row],[Donor Name]],'Weighted scores by indicator'!$A$7:$AO$74,30,FALSE)</f>
        <v>0</v>
      </c>
      <c r="AT22" s="61">
        <f>VLOOKUP(Table13[[#This Row],[Donor Name]],'Weighted scores by indicator'!$A$7:$AO$74,31,FALSE)</f>
        <v>0</v>
      </c>
      <c r="AU22" s="61">
        <f>VLOOKUP(Table13[[#This Row],[Donor Name]],'Weighted scores by indicator'!$A$7:$AO$74,32,FALSE)</f>
        <v>1.085</v>
      </c>
      <c r="AV22" s="61">
        <f>VLOOKUP(Table13[[#This Row],[Donor Name]],'Weighted scores by indicator'!$A$7:$AO$74,33,FALSE)</f>
        <v>1.085</v>
      </c>
      <c r="AW22" s="61">
        <f>VLOOKUP(Table13[[#This Row],[Donor Name]],'Weighted scores by indicator'!$A$7:$AO$74,34,FALSE)</f>
        <v>0</v>
      </c>
      <c r="AX22" s="61">
        <f>VLOOKUP(Table13[[#This Row],[Donor Name]],'Weighted scores by indicator'!$A$7:$AO$74,35,FALSE)</f>
        <v>3.25</v>
      </c>
      <c r="AY22" s="61">
        <f>VLOOKUP(Table13[[#This Row],[Donor Name]],'Weighted scores by indicator'!$A$7:$AO$74,36,FALSE)</f>
        <v>3.25</v>
      </c>
      <c r="AZ22" s="61">
        <f>VLOOKUP(Table13[[#This Row],[Donor Name]],'Weighted scores by indicator'!$A$7:$AO$74,37,FALSE)</f>
        <v>0</v>
      </c>
      <c r="BA22" s="61">
        <f>VLOOKUP(Table13[[#This Row],[Donor Name]],'Weighted scores by indicator'!$A$7:$AO$74,38,FALSE)</f>
        <v>0</v>
      </c>
      <c r="BB22" s="61">
        <f>VLOOKUP(Table13[[#This Row],[Donor Name]],'Weighted scores by indicator'!$A$7:$AO$74,39,FALSE)</f>
        <v>0</v>
      </c>
      <c r="BC22" s="111">
        <f>VLOOKUP(Table13[[#This Row],[Donor Name]],'Weighted scores by indicator'!$A$7:$AO$74,40,FALSE)</f>
        <v>0</v>
      </c>
      <c r="BD22" s="61">
        <f>COUNTIF(Table13[[#This Row],[FOIA]:[Conditions]],"0")</f>
        <v>14</v>
      </c>
      <c r="BE22" s="61">
        <f>COUNTIF(Table13[[#This Row],[FOIA]:[Conditions]],"&gt;0")</f>
        <v>25</v>
      </c>
      <c r="BG22">
        <f>39-SUM(Table13[[#This Row],[No of indicators not scoring on]:[No of indicators scoring on]])</f>
        <v>0</v>
      </c>
    </row>
    <row r="23" spans="1:59" x14ac:dyDescent="0.25">
      <c r="A23" s="104" t="s">
        <v>623</v>
      </c>
      <c r="B23" s="102" t="s">
        <v>622</v>
      </c>
      <c r="C23" s="157">
        <f>VLOOKUP(Table13[[#This Row],[Donor Name]],'Overall scores and ranking'!$A$3:$D$72,2,FALSE)</f>
        <v>36.894750999999985</v>
      </c>
      <c r="D23" s="107">
        <f>VLOOKUP(Table13[[#This Row],[Donor Name]],'Overall scores and ranking'!$A$3:$D$72,3,FALSE)</f>
        <v>34</v>
      </c>
      <c r="E23" s="107">
        <f>RANK(Table13[[#This Row],[Overall Score]],Table13[Overall Score],0)</f>
        <v>20</v>
      </c>
      <c r="F23" s="61" t="str">
        <f>VLOOKUP(Table13[[#This Row],[Donor Name]],'Overall scores and ranking'!$A$3:$D$72,4,FALSE)</f>
        <v>Poor</v>
      </c>
      <c r="G23" s="109">
        <f>VLOOKUP(Table13[[#This Row],[Donor Name]],'Wtd - IATI vs Others'!$A$5:$D$72,2,FALSE)</f>
        <v>0</v>
      </c>
      <c r="H23" s="61">
        <f>VLOOKUP(Table13[[#This Row],[Donor Name]],'Wtd - IATI vs Others'!$A$5:$D$72,3,FALSE)</f>
        <v>36.894750999999985</v>
      </c>
      <c r="I23" s="61">
        <f>VLOOKUP(Table13[[#This Row],[Donor Name]],'Wtd scores by sub-groups'!$A$5:$K$72,2,FALSE)</f>
        <v>3.5351279999999998</v>
      </c>
      <c r="J23" s="61">
        <f>VLOOKUP(Table13[[#This Row],[Donor Name]],'Wtd scores by sub-groups'!$A$5:$K$72,3,FALSE)</f>
        <v>6.25</v>
      </c>
      <c r="K23" s="61">
        <f>VLOOKUP(Table13[[#This Row],[Donor Name]],'Wtd scores by sub-groups'!$A$5:$K$72,4,FALSE)</f>
        <v>4.8650000000000002</v>
      </c>
      <c r="L23" s="61">
        <f>VLOOKUP(Table13[[#This Row],[Donor Name]],'Wtd scores by sub-groups'!$A$5:$K$72,5,FALSE)</f>
        <v>3.531558</v>
      </c>
      <c r="M23" s="61">
        <f>VLOOKUP(Table13[[#This Row],[Donor Name]],'Wtd scores by sub-groups'!$A$5:$K$72,6,FALSE)</f>
        <v>5.8898759999999939</v>
      </c>
      <c r="N23" s="61">
        <f>VLOOKUP(Table13[[#This Row],[Donor Name]],'Wtd scores by sub-groups'!$A$5:$K$72,7,FALSE)</f>
        <v>5.4249999999999998</v>
      </c>
      <c r="O23" s="61">
        <f>VLOOKUP(Table13[[#This Row],[Donor Name]],'Wtd scores by sub-groups'!$A$5:$K$72,8,FALSE)</f>
        <v>1.625</v>
      </c>
      <c r="P23" s="61">
        <f>VLOOKUP(Table13[[#This Row],[Donor Name]],'Wtd scores by sub-groups'!$A$5:$K$72,9,FALSE)</f>
        <v>5.7731889999999897</v>
      </c>
      <c r="Q23" s="61">
        <f>VLOOKUP(Table13[[#This Row],[Donor Name]],'Weighted scores by indicator'!$A$7:$AO$74,2,FALSE)</f>
        <v>2.2197779999999998</v>
      </c>
      <c r="R23" s="61">
        <f>VLOOKUP(Table13[[#This Row],[Donor Name]],'Weighted scores by indicator'!$A$7:$AO$74,3,FALSE)</f>
        <v>1.31535</v>
      </c>
      <c r="S23" s="61">
        <f>VLOOKUP(Table13[[#This Row],[Donor Name]],'Weighted scores by indicator'!$A$7:$AO$74,4,FALSE)</f>
        <v>0</v>
      </c>
      <c r="T23" s="61">
        <f>VLOOKUP(Table13[[#This Row],[Donor Name]],'Weighted scores by indicator'!$A$7:$AO$74,5,FALSE)</f>
        <v>1.25</v>
      </c>
      <c r="U23" s="61">
        <f>VLOOKUP(Table13[[#This Row],[Donor Name]],'Weighted scores by indicator'!$A$7:$AO$74,6,FALSE)</f>
        <v>1.25</v>
      </c>
      <c r="V23" s="61">
        <f>VLOOKUP(Table13[[#This Row],[Donor Name]],'Weighted scores by indicator'!$A$7:$AO$74,7,FALSE)</f>
        <v>1.25</v>
      </c>
      <c r="W23" s="61">
        <f>VLOOKUP(Table13[[#This Row],[Donor Name]],'Weighted scores by indicator'!$A$7:$AO$74,8,FALSE)</f>
        <v>1.25</v>
      </c>
      <c r="X23" s="61">
        <f>VLOOKUP(Table13[[#This Row],[Donor Name]],'Weighted scores by indicator'!$A$7:$AO$74,9,FALSE)</f>
        <v>1.25</v>
      </c>
      <c r="Y23" s="61">
        <f>VLOOKUP(Table13[[#This Row],[Donor Name]],'Weighted scores by indicator'!$A$7:$AO$74,10,FALSE)</f>
        <v>2.085</v>
      </c>
      <c r="Z23" s="61">
        <f>VLOOKUP(Table13[[#This Row],[Donor Name]],'Weighted scores by indicator'!$A$7:$AO$74,11,FALSE)</f>
        <v>0.69499999999999995</v>
      </c>
      <c r="AA23" s="61">
        <f>VLOOKUP(Table13[[#This Row],[Donor Name]],'Weighted scores by indicator'!$A$7:$AO$74,12,FALSE)</f>
        <v>2.085</v>
      </c>
      <c r="AB23" s="61">
        <f>VLOOKUP(Table13[[#This Row],[Donor Name]],'Weighted scores by indicator'!$A$7:$AO$74,13,FALSE)</f>
        <v>0.81499999999999995</v>
      </c>
      <c r="AC23" s="61">
        <f>VLOOKUP(Table13[[#This Row],[Donor Name]],'Weighted scores by indicator'!$A$7:$AO$74,14,FALSE)</f>
        <v>0</v>
      </c>
      <c r="AD23" s="61">
        <f>VLOOKUP(Table13[[#This Row],[Donor Name]],'Weighted scores by indicator'!$A$7:$AO$74,15,FALSE)</f>
        <v>0.81499999999999995</v>
      </c>
      <c r="AE23" s="61">
        <f>VLOOKUP(Table13[[#This Row],[Donor Name]],'Weighted scores by indicator'!$A$7:$AO$74,16,FALSE)</f>
        <v>0.54327899999999996</v>
      </c>
      <c r="AF23" s="61">
        <f>VLOOKUP(Table13[[#This Row],[Donor Name]],'Weighted scores by indicator'!$A$7:$AO$74,17,FALSE)</f>
        <v>0</v>
      </c>
      <c r="AG23" s="61">
        <f>VLOOKUP(Table13[[#This Row],[Donor Name]],'Weighted scores by indicator'!$A$7:$AO$74,18,FALSE)</f>
        <v>0</v>
      </c>
      <c r="AH23" s="61">
        <f>VLOOKUP(Table13[[#This Row],[Donor Name]],'Weighted scores by indicator'!$A$7:$AO$74,19,FALSE)</f>
        <v>0.81499999999999995</v>
      </c>
      <c r="AI23" s="61">
        <f>VLOOKUP(Table13[[#This Row],[Donor Name]],'Weighted scores by indicator'!$A$7:$AO$74,20,FALSE)</f>
        <v>0.54327899999999996</v>
      </c>
      <c r="AJ23" s="61">
        <f>VLOOKUP(Table13[[#This Row],[Donor Name]],'Weighted scores by indicator'!$A$7:$AO$74,21,FALSE)</f>
        <v>0.92999999999999905</v>
      </c>
      <c r="AK23" s="61">
        <f>VLOOKUP(Table13[[#This Row],[Donor Name]],'Weighted scores by indicator'!$A$7:$AO$74,22,FALSE)</f>
        <v>0.92999999999999905</v>
      </c>
      <c r="AL23" s="61">
        <f>VLOOKUP(Table13[[#This Row],[Donor Name]],'Weighted scores by indicator'!$A$7:$AO$74,23,FALSE)</f>
        <v>0.92999999999999905</v>
      </c>
      <c r="AM23" s="61">
        <f>VLOOKUP(Table13[[#This Row],[Donor Name]],'Weighted scores by indicator'!$A$7:$AO$74,24,FALSE)</f>
        <v>0.92999999999999905</v>
      </c>
      <c r="AN23" s="61">
        <f>VLOOKUP(Table13[[#This Row],[Donor Name]],'Weighted scores by indicator'!$A$7:$AO$74,25,FALSE)</f>
        <v>0.92999999999999905</v>
      </c>
      <c r="AO23" s="61">
        <f>VLOOKUP(Table13[[#This Row],[Donor Name]],'Weighted scores by indicator'!$A$7:$AO$74,26,FALSE)</f>
        <v>0.61993799999999899</v>
      </c>
      <c r="AP23" s="61">
        <f>VLOOKUP(Table13[[#This Row],[Donor Name]],'Weighted scores by indicator'!$A$7:$AO$74,27,FALSE)</f>
        <v>0.61993799999999899</v>
      </c>
      <c r="AQ23" s="61">
        <f>VLOOKUP(Table13[[#This Row],[Donor Name]],'Weighted scores by indicator'!$A$7:$AO$74,28,FALSE)</f>
        <v>1.085</v>
      </c>
      <c r="AR23" s="61">
        <f>VLOOKUP(Table13[[#This Row],[Donor Name]],'Weighted scores by indicator'!$A$7:$AO$74,29,FALSE)</f>
        <v>1.085</v>
      </c>
      <c r="AS23" s="61">
        <f>VLOOKUP(Table13[[#This Row],[Donor Name]],'Weighted scores by indicator'!$A$7:$AO$74,30,FALSE)</f>
        <v>1.085</v>
      </c>
      <c r="AT23" s="61">
        <f>VLOOKUP(Table13[[#This Row],[Donor Name]],'Weighted scores by indicator'!$A$7:$AO$74,31,FALSE)</f>
        <v>1.085</v>
      </c>
      <c r="AU23" s="61">
        <f>VLOOKUP(Table13[[#This Row],[Donor Name]],'Weighted scores by indicator'!$A$7:$AO$74,32,FALSE)</f>
        <v>0</v>
      </c>
      <c r="AV23" s="61">
        <f>VLOOKUP(Table13[[#This Row],[Donor Name]],'Weighted scores by indicator'!$A$7:$AO$74,33,FALSE)</f>
        <v>1.085</v>
      </c>
      <c r="AW23" s="61">
        <f>VLOOKUP(Table13[[#This Row],[Donor Name]],'Weighted scores by indicator'!$A$7:$AO$74,34,FALSE)</f>
        <v>0</v>
      </c>
      <c r="AX23" s="61">
        <f>VLOOKUP(Table13[[#This Row],[Donor Name]],'Weighted scores by indicator'!$A$7:$AO$74,35,FALSE)</f>
        <v>1.625</v>
      </c>
      <c r="AY23" s="61">
        <f>VLOOKUP(Table13[[#This Row],[Donor Name]],'Weighted scores by indicator'!$A$7:$AO$74,36,FALSE)</f>
        <v>0</v>
      </c>
      <c r="AZ23" s="61">
        <f>VLOOKUP(Table13[[#This Row],[Donor Name]],'Weighted scores by indicator'!$A$7:$AO$74,37,FALSE)</f>
        <v>0</v>
      </c>
      <c r="BA23" s="61">
        <f>VLOOKUP(Table13[[#This Row],[Donor Name]],'Weighted scores by indicator'!$A$7:$AO$74,38,FALSE)</f>
        <v>1.4431889999999901</v>
      </c>
      <c r="BB23" s="61">
        <f>VLOOKUP(Table13[[#This Row],[Donor Name]],'Weighted scores by indicator'!$A$7:$AO$74,39,FALSE)</f>
        <v>2.165</v>
      </c>
      <c r="BC23" s="111">
        <f>VLOOKUP(Table13[[#This Row],[Donor Name]],'Weighted scores by indicator'!$A$7:$AO$74,40,FALSE)</f>
        <v>2.165</v>
      </c>
      <c r="BD23" s="61">
        <f>COUNTIF(Table13[[#This Row],[FOIA]:[Conditions]],"0")</f>
        <v>8</v>
      </c>
      <c r="BE23" s="61">
        <f>COUNTIF(Table13[[#This Row],[FOIA]:[Conditions]],"&gt;0")</f>
        <v>31</v>
      </c>
      <c r="BG23">
        <f>39-SUM(Table13[[#This Row],[No of indicators not scoring on]:[No of indicators scoring on]])</f>
        <v>0</v>
      </c>
    </row>
    <row r="24" spans="1:59" x14ac:dyDescent="0.25">
      <c r="A24" s="104" t="s">
        <v>1360</v>
      </c>
      <c r="B24" s="102" t="s">
        <v>1359</v>
      </c>
      <c r="C24" s="157">
        <f>VLOOKUP(Table13[[#This Row],[Donor Name]],'Overall scores and ranking'!$A$3:$D$72,2,FALSE)</f>
        <v>35.797104351262803</v>
      </c>
      <c r="D24" s="107">
        <f>VLOOKUP(Table13[[#This Row],[Donor Name]],'Overall scores and ranking'!$A$3:$D$72,3,FALSE)</f>
        <v>35</v>
      </c>
      <c r="E24" s="107">
        <f>RANK(Table13[[#This Row],[Overall Score]],Table13[Overall Score],0)</f>
        <v>21</v>
      </c>
      <c r="F24" s="61" t="str">
        <f>VLOOKUP(Table13[[#This Row],[Donor Name]],'Overall scores and ranking'!$A$3:$D$72,4,FALSE)</f>
        <v>Poor</v>
      </c>
      <c r="G24" s="109">
        <f>VLOOKUP(Table13[[#This Row],[Donor Name]],'Wtd - IATI vs Others'!$A$5:$D$72,2,FALSE)</f>
        <v>18.4825608512628</v>
      </c>
      <c r="H24" s="61">
        <f>VLOOKUP(Table13[[#This Row],[Donor Name]],'Wtd - IATI vs Others'!$A$5:$D$72,3,FALSE)</f>
        <v>17.314543499999999</v>
      </c>
      <c r="I24" s="61">
        <f>VLOOKUP(Table13[[#This Row],[Donor Name]],'Wtd scores by sub-groups'!$A$5:$K$72,2,FALSE)</f>
        <v>5.4279000000000002</v>
      </c>
      <c r="J24" s="61">
        <f>VLOOKUP(Table13[[#This Row],[Donor Name]],'Wtd scores by sub-groups'!$A$5:$K$72,3,FALSE)</f>
        <v>5</v>
      </c>
      <c r="K24" s="61">
        <f>VLOOKUP(Table13[[#This Row],[Donor Name]],'Wtd scores by sub-groups'!$A$5:$K$72,4,FALSE)</f>
        <v>2.3166435000000001</v>
      </c>
      <c r="L24" s="61">
        <f>VLOOKUP(Table13[[#This Row],[Donor Name]],'Wtd scores by sub-groups'!$A$5:$K$72,5,FALSE)</f>
        <v>8.8766308231991999</v>
      </c>
      <c r="M24" s="61">
        <f>VLOOKUP(Table13[[#This Row],[Donor Name]],'Wtd scores by sub-groups'!$A$5:$K$72,6,FALSE)</f>
        <v>8.3784300280635975</v>
      </c>
      <c r="N24" s="61">
        <f>VLOOKUP(Table13[[#This Row],[Donor Name]],'Wtd scores by sub-groups'!$A$5:$K$72,7,FALSE)</f>
        <v>1.085</v>
      </c>
      <c r="O24" s="61">
        <f>VLOOKUP(Table13[[#This Row],[Donor Name]],'Wtd scores by sub-groups'!$A$5:$K$72,8,FALSE)</f>
        <v>4.7125000000000004</v>
      </c>
      <c r="P24" s="61">
        <f>VLOOKUP(Table13[[#This Row],[Donor Name]],'Wtd scores by sub-groups'!$A$5:$K$72,9,FALSE)</f>
        <v>0</v>
      </c>
      <c r="Q24" s="61">
        <f>VLOOKUP(Table13[[#This Row],[Donor Name]],'Weighted scores by indicator'!$A$7:$AO$74,2,FALSE)</f>
        <v>3.33</v>
      </c>
      <c r="R24" s="61">
        <f>VLOOKUP(Table13[[#This Row],[Donor Name]],'Weighted scores by indicator'!$A$7:$AO$74,3,FALSE)</f>
        <v>2.0979000000000001</v>
      </c>
      <c r="S24" s="61">
        <f>VLOOKUP(Table13[[#This Row],[Donor Name]],'Weighted scores by indicator'!$A$7:$AO$74,4,FALSE)</f>
        <v>0</v>
      </c>
      <c r="T24" s="61">
        <f>VLOOKUP(Table13[[#This Row],[Donor Name]],'Weighted scores by indicator'!$A$7:$AO$74,5,FALSE)</f>
        <v>1.25</v>
      </c>
      <c r="U24" s="61">
        <f>VLOOKUP(Table13[[#This Row],[Donor Name]],'Weighted scores by indicator'!$A$7:$AO$74,6,FALSE)</f>
        <v>1.25</v>
      </c>
      <c r="V24" s="61">
        <f>VLOOKUP(Table13[[#This Row],[Donor Name]],'Weighted scores by indicator'!$A$7:$AO$74,7,FALSE)</f>
        <v>0</v>
      </c>
      <c r="W24" s="61">
        <f>VLOOKUP(Table13[[#This Row],[Donor Name]],'Weighted scores by indicator'!$A$7:$AO$74,8,FALSE)</f>
        <v>1.25</v>
      </c>
      <c r="X24" s="61">
        <f>VLOOKUP(Table13[[#This Row],[Donor Name]],'Weighted scores by indicator'!$A$7:$AO$74,9,FALSE)</f>
        <v>1.25</v>
      </c>
      <c r="Y24" s="61">
        <f>VLOOKUP(Table13[[#This Row],[Donor Name]],'Weighted scores by indicator'!$A$7:$AO$74,10,FALSE)</f>
        <v>0.2316435</v>
      </c>
      <c r="Z24" s="61">
        <f>VLOOKUP(Table13[[#This Row],[Donor Name]],'Weighted scores by indicator'!$A$7:$AO$74,11,FALSE)</f>
        <v>0</v>
      </c>
      <c r="AA24" s="61">
        <f>VLOOKUP(Table13[[#This Row],[Donor Name]],'Weighted scores by indicator'!$A$7:$AO$74,12,FALSE)</f>
        <v>2.085</v>
      </c>
      <c r="AB24" s="61">
        <f>VLOOKUP(Table13[[#This Row],[Donor Name]],'Weighted scores by indicator'!$A$7:$AO$74,13,FALSE)</f>
        <v>0</v>
      </c>
      <c r="AC24" s="61">
        <f>VLOOKUP(Table13[[#This Row],[Donor Name]],'Weighted scores by indicator'!$A$7:$AO$74,14,FALSE)</f>
        <v>1.54849999999999</v>
      </c>
      <c r="AD24" s="61">
        <f>VLOOKUP(Table13[[#This Row],[Donor Name]],'Weighted scores by indicator'!$A$7:$AO$74,15,FALSE)</f>
        <v>1.5447947614593001</v>
      </c>
      <c r="AE24" s="61">
        <f>VLOOKUP(Table13[[#This Row],[Donor Name]],'Weighted scores by indicator'!$A$7:$AO$74,16,FALSE)</f>
        <v>1.50458606173994</v>
      </c>
      <c r="AF24" s="61">
        <f>VLOOKUP(Table13[[#This Row],[Donor Name]],'Weighted scores by indicator'!$A$7:$AO$74,17,FALSE)</f>
        <v>1.1817499999999901</v>
      </c>
      <c r="AG24" s="61">
        <f>VLOOKUP(Table13[[#This Row],[Donor Name]],'Weighted scores by indicator'!$A$7:$AO$74,18,FALSE)</f>
        <v>1.54849999999999</v>
      </c>
      <c r="AH24" s="61">
        <f>VLOOKUP(Table13[[#This Row],[Donor Name]],'Weighted scores by indicator'!$A$7:$AO$74,19,FALSE)</f>
        <v>1.54849999999999</v>
      </c>
      <c r="AI24" s="61">
        <f>VLOOKUP(Table13[[#This Row],[Donor Name]],'Weighted scores by indicator'!$A$7:$AO$74,20,FALSE)</f>
        <v>0</v>
      </c>
      <c r="AJ24" s="61">
        <f>VLOOKUP(Table13[[#This Row],[Donor Name]],'Weighted scores by indicator'!$A$7:$AO$74,21,FALSE)</f>
        <v>0.92999999999999905</v>
      </c>
      <c r="AK24" s="61">
        <f>VLOOKUP(Table13[[#This Row],[Donor Name]],'Weighted scores by indicator'!$A$7:$AO$74,22,FALSE)</f>
        <v>1.7668434050514501</v>
      </c>
      <c r="AL24" s="61">
        <f>VLOOKUP(Table13[[#This Row],[Donor Name]],'Weighted scores by indicator'!$A$7:$AO$74,23,FALSE)</f>
        <v>1.6652915809167399</v>
      </c>
      <c r="AM24" s="61">
        <f>VLOOKUP(Table13[[#This Row],[Donor Name]],'Weighted scores by indicator'!$A$7:$AO$74,24,FALSE)</f>
        <v>1.50118007483629</v>
      </c>
      <c r="AN24" s="61">
        <f>VLOOKUP(Table13[[#This Row],[Donor Name]],'Weighted scores by indicator'!$A$7:$AO$74,25,FALSE)</f>
        <v>1.58511496725912</v>
      </c>
      <c r="AO24" s="61">
        <f>VLOOKUP(Table13[[#This Row],[Donor Name]],'Weighted scores by indicator'!$A$7:$AO$74,26,FALSE)</f>
        <v>0</v>
      </c>
      <c r="AP24" s="61">
        <f>VLOOKUP(Table13[[#This Row],[Donor Name]],'Weighted scores by indicator'!$A$7:$AO$74,27,FALSE)</f>
        <v>0.92999999999999905</v>
      </c>
      <c r="AQ24" s="61">
        <f>VLOOKUP(Table13[[#This Row],[Donor Name]],'Weighted scores by indicator'!$A$7:$AO$74,28,FALSE)</f>
        <v>0</v>
      </c>
      <c r="AR24" s="61">
        <f>VLOOKUP(Table13[[#This Row],[Donor Name]],'Weighted scores by indicator'!$A$7:$AO$74,29,FALSE)</f>
        <v>1.085</v>
      </c>
      <c r="AS24" s="61">
        <f>VLOOKUP(Table13[[#This Row],[Donor Name]],'Weighted scores by indicator'!$A$7:$AO$74,30,FALSE)</f>
        <v>0</v>
      </c>
      <c r="AT24" s="61">
        <f>VLOOKUP(Table13[[#This Row],[Donor Name]],'Weighted scores by indicator'!$A$7:$AO$74,31,FALSE)</f>
        <v>0</v>
      </c>
      <c r="AU24" s="61">
        <f>VLOOKUP(Table13[[#This Row],[Donor Name]],'Weighted scores by indicator'!$A$7:$AO$74,32,FALSE)</f>
        <v>0</v>
      </c>
      <c r="AV24" s="61">
        <f>VLOOKUP(Table13[[#This Row],[Donor Name]],'Weighted scores by indicator'!$A$7:$AO$74,33,FALSE)</f>
        <v>0</v>
      </c>
      <c r="AW24" s="61">
        <f>VLOOKUP(Table13[[#This Row],[Donor Name]],'Weighted scores by indicator'!$A$7:$AO$74,34,FALSE)</f>
        <v>0</v>
      </c>
      <c r="AX24" s="61">
        <f>VLOOKUP(Table13[[#This Row],[Donor Name]],'Weighted scores by indicator'!$A$7:$AO$74,35,FALSE)</f>
        <v>1.625</v>
      </c>
      <c r="AY24" s="61">
        <f>VLOOKUP(Table13[[#This Row],[Donor Name]],'Weighted scores by indicator'!$A$7:$AO$74,36,FALSE)</f>
        <v>3.0874999999999999</v>
      </c>
      <c r="AZ24" s="61">
        <f>VLOOKUP(Table13[[#This Row],[Donor Name]],'Weighted scores by indicator'!$A$7:$AO$74,37,FALSE)</f>
        <v>0</v>
      </c>
      <c r="BA24" s="61">
        <f>VLOOKUP(Table13[[#This Row],[Donor Name]],'Weighted scores by indicator'!$A$7:$AO$74,38,FALSE)</f>
        <v>0</v>
      </c>
      <c r="BB24" s="61">
        <f>VLOOKUP(Table13[[#This Row],[Donor Name]],'Weighted scores by indicator'!$A$7:$AO$74,39,FALSE)</f>
        <v>0</v>
      </c>
      <c r="BC24" s="111">
        <f>VLOOKUP(Table13[[#This Row],[Donor Name]],'Weighted scores by indicator'!$A$7:$AO$74,40,FALSE)</f>
        <v>0</v>
      </c>
      <c r="BD24" s="61">
        <f>COUNTIF(Table13[[#This Row],[FOIA]:[Conditions]],"0")</f>
        <v>16</v>
      </c>
      <c r="BE24" s="61">
        <f>COUNTIF(Table13[[#This Row],[FOIA]:[Conditions]],"&gt;0")</f>
        <v>23</v>
      </c>
      <c r="BG24">
        <f>39-SUM(Table13[[#This Row],[No of indicators not scoring on]:[No of indicators scoring on]])</f>
        <v>0</v>
      </c>
    </row>
    <row r="25" spans="1:59" x14ac:dyDescent="0.25">
      <c r="A25" s="105" t="s">
        <v>2585</v>
      </c>
      <c r="B25" s="103" t="s">
        <v>2584</v>
      </c>
      <c r="C25" s="157">
        <f>VLOOKUP(Table13[[#This Row],[Donor Name]],'Overall scores and ranking'!$A$3:$D$72,2,FALSE)</f>
        <v>34.8284995</v>
      </c>
      <c r="D25" s="107">
        <f>VLOOKUP(Table13[[#This Row],[Donor Name]],'Overall scores and ranking'!$A$3:$D$72,3,FALSE)</f>
        <v>36</v>
      </c>
      <c r="E25" s="107">
        <f>RANK(Table13[[#This Row],[Overall Score]],Table13[Overall Score],0)</f>
        <v>22</v>
      </c>
      <c r="F25" s="61" t="str">
        <f>VLOOKUP(Table13[[#This Row],[Donor Name]],'Overall scores and ranking'!$A$3:$D$72,4,FALSE)</f>
        <v>Poor</v>
      </c>
      <c r="G25" s="109">
        <f>VLOOKUP(Table13[[#This Row],[Donor Name]],'Wtd - IATI vs Others'!$A$5:$D$72,2,FALSE)</f>
        <v>2.78</v>
      </c>
      <c r="H25" s="61">
        <f>VLOOKUP(Table13[[#This Row],[Donor Name]],'Wtd - IATI vs Others'!$A$5:$D$72,3,FALSE)</f>
        <v>32.048499499999998</v>
      </c>
      <c r="I25" s="61">
        <f>VLOOKUP(Table13[[#This Row],[Donor Name]],'Wtd scores by sub-groups'!$A$5:$K$72,2,FALSE)</f>
        <v>5.4718559999999998</v>
      </c>
      <c r="J25" s="61">
        <f>VLOOKUP(Table13[[#This Row],[Donor Name]],'Wtd scores by sub-groups'!$A$5:$K$72,3,FALSE)</f>
        <v>5</v>
      </c>
      <c r="K25" s="61">
        <f>VLOOKUP(Table13[[#This Row],[Donor Name]],'Wtd scores by sub-groups'!$A$5:$K$72,4,FALSE)</f>
        <v>5.0966434999999999</v>
      </c>
      <c r="L25" s="61">
        <f>VLOOKUP(Table13[[#This Row],[Donor Name]],'Wtd scores by sub-groups'!$A$5:$K$72,5,FALSE)</f>
        <v>5.7049999999999983</v>
      </c>
      <c r="M25" s="61">
        <f>VLOOKUP(Table13[[#This Row],[Donor Name]],'Wtd scores by sub-groups'!$A$5:$K$72,6,FALSE)</f>
        <v>6.5099999999999927</v>
      </c>
      <c r="N25" s="61">
        <f>VLOOKUP(Table13[[#This Row],[Donor Name]],'Wtd scores by sub-groups'!$A$5:$K$72,7,FALSE)</f>
        <v>3.2549999999999999</v>
      </c>
      <c r="O25" s="61">
        <f>VLOOKUP(Table13[[#This Row],[Donor Name]],'Wtd scores by sub-groups'!$A$5:$K$72,8,FALSE)</f>
        <v>1.625</v>
      </c>
      <c r="P25" s="61">
        <f>VLOOKUP(Table13[[#This Row],[Donor Name]],'Wtd scores by sub-groups'!$A$5:$K$72,9,FALSE)</f>
        <v>2.165</v>
      </c>
      <c r="Q25" s="61">
        <f>VLOOKUP(Table13[[#This Row],[Donor Name]],'Weighted scores by indicator'!$A$7:$AO$74,2,FALSE)</f>
        <v>2.2197779999999998</v>
      </c>
      <c r="R25" s="61">
        <f>VLOOKUP(Table13[[#This Row],[Donor Name]],'Weighted scores by indicator'!$A$7:$AO$74,3,FALSE)</f>
        <v>1.0323</v>
      </c>
      <c r="S25" s="61">
        <f>VLOOKUP(Table13[[#This Row],[Donor Name]],'Weighted scores by indicator'!$A$7:$AO$74,4,FALSE)</f>
        <v>2.2197779999999998</v>
      </c>
      <c r="T25" s="61">
        <f>VLOOKUP(Table13[[#This Row],[Donor Name]],'Weighted scores by indicator'!$A$7:$AO$74,5,FALSE)</f>
        <v>1.25</v>
      </c>
      <c r="U25" s="61">
        <f>VLOOKUP(Table13[[#This Row],[Donor Name]],'Weighted scores by indicator'!$A$7:$AO$74,6,FALSE)</f>
        <v>1.25</v>
      </c>
      <c r="V25" s="61">
        <f>VLOOKUP(Table13[[#This Row],[Donor Name]],'Weighted scores by indicator'!$A$7:$AO$74,7,FALSE)</f>
        <v>1.25</v>
      </c>
      <c r="W25" s="61">
        <f>VLOOKUP(Table13[[#This Row],[Donor Name]],'Weighted scores by indicator'!$A$7:$AO$74,8,FALSE)</f>
        <v>1.25</v>
      </c>
      <c r="X25" s="61">
        <f>VLOOKUP(Table13[[#This Row],[Donor Name]],'Weighted scores by indicator'!$A$7:$AO$74,9,FALSE)</f>
        <v>0</v>
      </c>
      <c r="Y25" s="61">
        <f>VLOOKUP(Table13[[#This Row],[Donor Name]],'Weighted scores by indicator'!$A$7:$AO$74,10,FALSE)</f>
        <v>0.2316435</v>
      </c>
      <c r="Z25" s="61">
        <f>VLOOKUP(Table13[[#This Row],[Donor Name]],'Weighted scores by indicator'!$A$7:$AO$74,11,FALSE)</f>
        <v>2.78</v>
      </c>
      <c r="AA25" s="61">
        <f>VLOOKUP(Table13[[#This Row],[Donor Name]],'Weighted scores by indicator'!$A$7:$AO$74,12,FALSE)</f>
        <v>2.085</v>
      </c>
      <c r="AB25" s="61">
        <f>VLOOKUP(Table13[[#This Row],[Donor Name]],'Weighted scores by indicator'!$A$7:$AO$74,13,FALSE)</f>
        <v>0.81499999999999995</v>
      </c>
      <c r="AC25" s="61">
        <f>VLOOKUP(Table13[[#This Row],[Donor Name]],'Weighted scores by indicator'!$A$7:$AO$74,14,FALSE)</f>
        <v>0.81499999999999995</v>
      </c>
      <c r="AD25" s="61">
        <f>VLOOKUP(Table13[[#This Row],[Donor Name]],'Weighted scores by indicator'!$A$7:$AO$74,15,FALSE)</f>
        <v>0.81499999999999995</v>
      </c>
      <c r="AE25" s="61">
        <f>VLOOKUP(Table13[[#This Row],[Donor Name]],'Weighted scores by indicator'!$A$7:$AO$74,16,FALSE)</f>
        <v>0.81499999999999995</v>
      </c>
      <c r="AF25" s="61">
        <f>VLOOKUP(Table13[[#This Row],[Donor Name]],'Weighted scores by indicator'!$A$7:$AO$74,17,FALSE)</f>
        <v>0.81499999999999995</v>
      </c>
      <c r="AG25" s="61">
        <f>VLOOKUP(Table13[[#This Row],[Donor Name]],'Weighted scores by indicator'!$A$7:$AO$74,18,FALSE)</f>
        <v>0</v>
      </c>
      <c r="AH25" s="61">
        <f>VLOOKUP(Table13[[#This Row],[Donor Name]],'Weighted scores by indicator'!$A$7:$AO$74,19,FALSE)</f>
        <v>0.81499999999999995</v>
      </c>
      <c r="AI25" s="61">
        <f>VLOOKUP(Table13[[#This Row],[Donor Name]],'Weighted scores by indicator'!$A$7:$AO$74,20,FALSE)</f>
        <v>0.81499999999999995</v>
      </c>
      <c r="AJ25" s="61">
        <f>VLOOKUP(Table13[[#This Row],[Donor Name]],'Weighted scores by indicator'!$A$7:$AO$74,21,FALSE)</f>
        <v>0.92999999999999905</v>
      </c>
      <c r="AK25" s="61">
        <f>VLOOKUP(Table13[[#This Row],[Donor Name]],'Weighted scores by indicator'!$A$7:$AO$74,22,FALSE)</f>
        <v>0.92999999999999905</v>
      </c>
      <c r="AL25" s="61">
        <f>VLOOKUP(Table13[[#This Row],[Donor Name]],'Weighted scores by indicator'!$A$7:$AO$74,23,FALSE)</f>
        <v>0.92999999999999905</v>
      </c>
      <c r="AM25" s="61">
        <f>VLOOKUP(Table13[[#This Row],[Donor Name]],'Weighted scores by indicator'!$A$7:$AO$74,24,FALSE)</f>
        <v>0.92999999999999905</v>
      </c>
      <c r="AN25" s="61">
        <f>VLOOKUP(Table13[[#This Row],[Donor Name]],'Weighted scores by indicator'!$A$7:$AO$74,25,FALSE)</f>
        <v>0.92999999999999905</v>
      </c>
      <c r="AO25" s="61">
        <f>VLOOKUP(Table13[[#This Row],[Donor Name]],'Weighted scores by indicator'!$A$7:$AO$74,26,FALSE)</f>
        <v>0.92999999999999905</v>
      </c>
      <c r="AP25" s="61">
        <f>VLOOKUP(Table13[[#This Row],[Donor Name]],'Weighted scores by indicator'!$A$7:$AO$74,27,FALSE)</f>
        <v>0.92999999999999905</v>
      </c>
      <c r="AQ25" s="61">
        <f>VLOOKUP(Table13[[#This Row],[Donor Name]],'Weighted scores by indicator'!$A$7:$AO$74,28,FALSE)</f>
        <v>0</v>
      </c>
      <c r="AR25" s="61">
        <f>VLOOKUP(Table13[[#This Row],[Donor Name]],'Weighted scores by indicator'!$A$7:$AO$74,29,FALSE)</f>
        <v>0</v>
      </c>
      <c r="AS25" s="61">
        <f>VLOOKUP(Table13[[#This Row],[Donor Name]],'Weighted scores by indicator'!$A$7:$AO$74,30,FALSE)</f>
        <v>1.085</v>
      </c>
      <c r="AT25" s="61">
        <f>VLOOKUP(Table13[[#This Row],[Donor Name]],'Weighted scores by indicator'!$A$7:$AO$74,31,FALSE)</f>
        <v>0</v>
      </c>
      <c r="AU25" s="61">
        <f>VLOOKUP(Table13[[#This Row],[Donor Name]],'Weighted scores by indicator'!$A$7:$AO$74,32,FALSE)</f>
        <v>1.085</v>
      </c>
      <c r="AV25" s="61">
        <f>VLOOKUP(Table13[[#This Row],[Donor Name]],'Weighted scores by indicator'!$A$7:$AO$74,33,FALSE)</f>
        <v>1.085</v>
      </c>
      <c r="AW25" s="61">
        <f>VLOOKUP(Table13[[#This Row],[Donor Name]],'Weighted scores by indicator'!$A$7:$AO$74,34,FALSE)</f>
        <v>0</v>
      </c>
      <c r="AX25" s="61">
        <f>VLOOKUP(Table13[[#This Row],[Donor Name]],'Weighted scores by indicator'!$A$7:$AO$74,35,FALSE)</f>
        <v>1.625</v>
      </c>
      <c r="AY25" s="61">
        <f>VLOOKUP(Table13[[#This Row],[Donor Name]],'Weighted scores by indicator'!$A$7:$AO$74,36,FALSE)</f>
        <v>0</v>
      </c>
      <c r="AZ25" s="61">
        <f>VLOOKUP(Table13[[#This Row],[Donor Name]],'Weighted scores by indicator'!$A$7:$AO$74,37,FALSE)</f>
        <v>0</v>
      </c>
      <c r="BA25" s="61">
        <f>VLOOKUP(Table13[[#This Row],[Donor Name]],'Weighted scores by indicator'!$A$7:$AO$74,38,FALSE)</f>
        <v>0</v>
      </c>
      <c r="BB25" s="61">
        <f>VLOOKUP(Table13[[#This Row],[Donor Name]],'Weighted scores by indicator'!$A$7:$AO$74,39,FALSE)</f>
        <v>0</v>
      </c>
      <c r="BC25" s="111">
        <f>VLOOKUP(Table13[[#This Row],[Donor Name]],'Weighted scores by indicator'!$A$7:$AO$74,40,FALSE)</f>
        <v>2.165</v>
      </c>
      <c r="BD25" s="61">
        <f>COUNTIF(Table13[[#This Row],[FOIA]:[Conditions]],"0")</f>
        <v>10</v>
      </c>
      <c r="BE25" s="61">
        <f>COUNTIF(Table13[[#This Row],[FOIA]:[Conditions]],"&gt;0")</f>
        <v>29</v>
      </c>
      <c r="BG25">
        <f>39-SUM(Table13[[#This Row],[No of indicators not scoring on]:[No of indicators scoring on]])</f>
        <v>0</v>
      </c>
    </row>
    <row r="26" spans="1:59" x14ac:dyDescent="0.25">
      <c r="A26" s="105" t="s">
        <v>2667</v>
      </c>
      <c r="B26" s="103" t="s">
        <v>2666</v>
      </c>
      <c r="C26" s="157">
        <f>VLOOKUP(Table13[[#This Row],[Donor Name]],'Overall scores and ranking'!$A$3:$D$72,2,FALSE)</f>
        <v>30.756310119433174</v>
      </c>
      <c r="D26" s="107">
        <f>VLOOKUP(Table13[[#This Row],[Donor Name]],'Overall scores and ranking'!$A$3:$D$72,3,FALSE)</f>
        <v>38</v>
      </c>
      <c r="E26" s="107">
        <f>RANK(Table13[[#This Row],[Overall Score]],Table13[Overall Score],0)</f>
        <v>23</v>
      </c>
      <c r="F26" s="61" t="str">
        <f>VLOOKUP(Table13[[#This Row],[Donor Name]],'Overall scores and ranking'!$A$3:$D$72,4,FALSE)</f>
        <v>Poor</v>
      </c>
      <c r="G26" s="109">
        <f>VLOOKUP(Table13[[#This Row],[Donor Name]],'Wtd - IATI vs Others'!$A$5:$D$72,2,FALSE)</f>
        <v>17.554301619433168</v>
      </c>
      <c r="H26" s="61">
        <f>VLOOKUP(Table13[[#This Row],[Donor Name]],'Wtd - IATI vs Others'!$A$5:$D$72,3,FALSE)</f>
        <v>13.2020085</v>
      </c>
      <c r="I26" s="61">
        <f>VLOOKUP(Table13[[#This Row],[Donor Name]],'Wtd scores by sub-groups'!$A$5:$K$72,2,FALSE)</f>
        <v>3.252078</v>
      </c>
      <c r="J26" s="61">
        <f>VLOOKUP(Table13[[#This Row],[Donor Name]],'Wtd scores by sub-groups'!$A$5:$K$72,3,FALSE)</f>
        <v>5</v>
      </c>
      <c r="K26" s="61">
        <f>VLOOKUP(Table13[[#This Row],[Donor Name]],'Wtd scores by sub-groups'!$A$5:$K$72,4,FALSE)</f>
        <v>2.7799304999999999</v>
      </c>
      <c r="L26" s="61">
        <f>VLOOKUP(Table13[[#This Row],[Donor Name]],'Wtd scores by sub-groups'!$A$5:$K$72,5,FALSE)</f>
        <v>6.1124999999999998</v>
      </c>
      <c r="M26" s="61">
        <f>VLOOKUP(Table13[[#This Row],[Donor Name]],'Wtd scores by sub-groups'!$A$5:$K$72,6,FALSE)</f>
        <v>4.9418016194331695</v>
      </c>
      <c r="N26" s="61">
        <f>VLOOKUP(Table13[[#This Row],[Donor Name]],'Wtd scores by sub-groups'!$A$5:$K$72,7,FALSE)</f>
        <v>2.17</v>
      </c>
      <c r="O26" s="61">
        <f>VLOOKUP(Table13[[#This Row],[Donor Name]],'Wtd scores by sub-groups'!$A$5:$K$72,8,FALSE)</f>
        <v>6.5</v>
      </c>
      <c r="P26" s="61">
        <f>VLOOKUP(Table13[[#This Row],[Donor Name]],'Wtd scores by sub-groups'!$A$5:$K$72,9,FALSE)</f>
        <v>0</v>
      </c>
      <c r="Q26" s="61">
        <f>VLOOKUP(Table13[[#This Row],[Donor Name]],'Weighted scores by indicator'!$A$7:$AO$74,2,FALSE)</f>
        <v>2.2197779999999998</v>
      </c>
      <c r="R26" s="61">
        <f>VLOOKUP(Table13[[#This Row],[Donor Name]],'Weighted scores by indicator'!$A$7:$AO$74,3,FALSE)</f>
        <v>1.0323</v>
      </c>
      <c r="S26" s="61">
        <f>VLOOKUP(Table13[[#This Row],[Donor Name]],'Weighted scores by indicator'!$A$7:$AO$74,4,FALSE)</f>
        <v>0</v>
      </c>
      <c r="T26" s="61">
        <f>VLOOKUP(Table13[[#This Row],[Donor Name]],'Weighted scores by indicator'!$A$7:$AO$74,5,FALSE)</f>
        <v>1.25</v>
      </c>
      <c r="U26" s="61">
        <f>VLOOKUP(Table13[[#This Row],[Donor Name]],'Weighted scores by indicator'!$A$7:$AO$74,6,FALSE)</f>
        <v>1.25</v>
      </c>
      <c r="V26" s="61">
        <f>VLOOKUP(Table13[[#This Row],[Donor Name]],'Weighted scores by indicator'!$A$7:$AO$74,7,FALSE)</f>
        <v>1.25</v>
      </c>
      <c r="W26" s="61">
        <f>VLOOKUP(Table13[[#This Row],[Donor Name]],'Weighted scores by indicator'!$A$7:$AO$74,8,FALSE)</f>
        <v>1.25</v>
      </c>
      <c r="X26" s="61">
        <f>VLOOKUP(Table13[[#This Row],[Donor Name]],'Weighted scores by indicator'!$A$7:$AO$74,9,FALSE)</f>
        <v>0</v>
      </c>
      <c r="Y26" s="61">
        <f>VLOOKUP(Table13[[#This Row],[Donor Name]],'Weighted scores by indicator'!$A$7:$AO$74,10,FALSE)</f>
        <v>0.69493050000000001</v>
      </c>
      <c r="Z26" s="61">
        <f>VLOOKUP(Table13[[#This Row],[Donor Name]],'Weighted scores by indicator'!$A$7:$AO$74,11,FALSE)</f>
        <v>0</v>
      </c>
      <c r="AA26" s="61">
        <f>VLOOKUP(Table13[[#This Row],[Donor Name]],'Weighted scores by indicator'!$A$7:$AO$74,12,FALSE)</f>
        <v>2.085</v>
      </c>
      <c r="AB26" s="61">
        <f>VLOOKUP(Table13[[#This Row],[Donor Name]],'Weighted scores by indicator'!$A$7:$AO$74,13,FALSE)</f>
        <v>0</v>
      </c>
      <c r="AC26" s="61">
        <f>VLOOKUP(Table13[[#This Row],[Donor Name]],'Weighted scores by indicator'!$A$7:$AO$74,14,FALSE)</f>
        <v>1.63</v>
      </c>
      <c r="AD26" s="61">
        <f>VLOOKUP(Table13[[#This Row],[Donor Name]],'Weighted scores by indicator'!$A$7:$AO$74,15,FALSE)</f>
        <v>1.2224999999999999</v>
      </c>
      <c r="AE26" s="61">
        <f>VLOOKUP(Table13[[#This Row],[Donor Name]],'Weighted scores by indicator'!$A$7:$AO$74,16,FALSE)</f>
        <v>1.63</v>
      </c>
      <c r="AF26" s="61">
        <f>VLOOKUP(Table13[[#This Row],[Donor Name]],'Weighted scores by indicator'!$A$7:$AO$74,17,FALSE)</f>
        <v>0</v>
      </c>
      <c r="AG26" s="61">
        <f>VLOOKUP(Table13[[#This Row],[Donor Name]],'Weighted scores by indicator'!$A$7:$AO$74,18,FALSE)</f>
        <v>1.63</v>
      </c>
      <c r="AH26" s="61">
        <f>VLOOKUP(Table13[[#This Row],[Donor Name]],'Weighted scores by indicator'!$A$7:$AO$74,19,FALSE)</f>
        <v>0</v>
      </c>
      <c r="AI26" s="61">
        <f>VLOOKUP(Table13[[#This Row],[Donor Name]],'Weighted scores by indicator'!$A$7:$AO$74,20,FALSE)</f>
        <v>0</v>
      </c>
      <c r="AJ26" s="61">
        <f>VLOOKUP(Table13[[#This Row],[Donor Name]],'Weighted scores by indicator'!$A$7:$AO$74,21,FALSE)</f>
        <v>0</v>
      </c>
      <c r="AK26" s="61">
        <f>VLOOKUP(Table13[[#This Row],[Donor Name]],'Weighted scores by indicator'!$A$7:$AO$74,22,FALSE)</f>
        <v>1.39499999999999</v>
      </c>
      <c r="AL26" s="61">
        <f>VLOOKUP(Table13[[#This Row],[Donor Name]],'Weighted scores by indicator'!$A$7:$AO$74,23,FALSE)</f>
        <v>0</v>
      </c>
      <c r="AM26" s="61">
        <f>VLOOKUP(Table13[[#This Row],[Donor Name]],'Weighted scores by indicator'!$A$7:$AO$74,24,FALSE)</f>
        <v>0</v>
      </c>
      <c r="AN26" s="61">
        <f>VLOOKUP(Table13[[#This Row],[Donor Name]],'Weighted scores by indicator'!$A$7:$AO$74,25,FALSE)</f>
        <v>1.6868016194331901</v>
      </c>
      <c r="AO26" s="61">
        <f>VLOOKUP(Table13[[#This Row],[Donor Name]],'Weighted scores by indicator'!$A$7:$AO$74,26,FALSE)</f>
        <v>0</v>
      </c>
      <c r="AP26" s="61">
        <f>VLOOKUP(Table13[[#This Row],[Donor Name]],'Weighted scores by indicator'!$A$7:$AO$74,27,FALSE)</f>
        <v>1.8599999999999901</v>
      </c>
      <c r="AQ26" s="61">
        <f>VLOOKUP(Table13[[#This Row],[Donor Name]],'Weighted scores by indicator'!$A$7:$AO$74,28,FALSE)</f>
        <v>0</v>
      </c>
      <c r="AR26" s="61">
        <f>VLOOKUP(Table13[[#This Row],[Donor Name]],'Weighted scores by indicator'!$A$7:$AO$74,29,FALSE)</f>
        <v>0</v>
      </c>
      <c r="AS26" s="61">
        <f>VLOOKUP(Table13[[#This Row],[Donor Name]],'Weighted scores by indicator'!$A$7:$AO$74,30,FALSE)</f>
        <v>0</v>
      </c>
      <c r="AT26" s="61">
        <f>VLOOKUP(Table13[[#This Row],[Donor Name]],'Weighted scores by indicator'!$A$7:$AO$74,31,FALSE)</f>
        <v>0</v>
      </c>
      <c r="AU26" s="61">
        <f>VLOOKUP(Table13[[#This Row],[Donor Name]],'Weighted scores by indicator'!$A$7:$AO$74,32,FALSE)</f>
        <v>1.085</v>
      </c>
      <c r="AV26" s="61">
        <f>VLOOKUP(Table13[[#This Row],[Donor Name]],'Weighted scores by indicator'!$A$7:$AO$74,33,FALSE)</f>
        <v>1.085</v>
      </c>
      <c r="AW26" s="61">
        <f>VLOOKUP(Table13[[#This Row],[Donor Name]],'Weighted scores by indicator'!$A$7:$AO$74,34,FALSE)</f>
        <v>0</v>
      </c>
      <c r="AX26" s="61">
        <f>VLOOKUP(Table13[[#This Row],[Donor Name]],'Weighted scores by indicator'!$A$7:$AO$74,35,FALSE)</f>
        <v>3.25</v>
      </c>
      <c r="AY26" s="61">
        <f>VLOOKUP(Table13[[#This Row],[Donor Name]],'Weighted scores by indicator'!$A$7:$AO$74,36,FALSE)</f>
        <v>3.25</v>
      </c>
      <c r="AZ26" s="61">
        <f>VLOOKUP(Table13[[#This Row],[Donor Name]],'Weighted scores by indicator'!$A$7:$AO$74,37,FALSE)</f>
        <v>0</v>
      </c>
      <c r="BA26" s="61">
        <f>VLOOKUP(Table13[[#This Row],[Donor Name]],'Weighted scores by indicator'!$A$7:$AO$74,38,FALSE)</f>
        <v>0</v>
      </c>
      <c r="BB26" s="61">
        <f>VLOOKUP(Table13[[#This Row],[Donor Name]],'Weighted scores by indicator'!$A$7:$AO$74,39,FALSE)</f>
        <v>0</v>
      </c>
      <c r="BC26" s="111">
        <f>VLOOKUP(Table13[[#This Row],[Donor Name]],'Weighted scores by indicator'!$A$7:$AO$74,40,FALSE)</f>
        <v>0</v>
      </c>
      <c r="BD26" s="61">
        <f>COUNTIF(Table13[[#This Row],[FOIA]:[Conditions]],"0")</f>
        <v>20</v>
      </c>
      <c r="BE26" s="61">
        <f>COUNTIF(Table13[[#This Row],[FOIA]:[Conditions]],"&gt;0")</f>
        <v>19</v>
      </c>
      <c r="BG26">
        <f>39-SUM(Table13[[#This Row],[No of indicators not scoring on]:[No of indicators scoring on]])</f>
        <v>0</v>
      </c>
    </row>
    <row r="27" spans="1:59" x14ac:dyDescent="0.25">
      <c r="A27" s="105" t="s">
        <v>215</v>
      </c>
      <c r="B27" s="103" t="s">
        <v>214</v>
      </c>
      <c r="C27" s="157">
        <f>VLOOKUP(Table13[[#This Row],[Donor Name]],'Overall scores and ranking'!$A$3:$D$72,2,FALSE)</f>
        <v>29.489809999999995</v>
      </c>
      <c r="D27" s="107">
        <f>VLOOKUP(Table13[[#This Row],[Donor Name]],'Overall scores and ranking'!$A$3:$D$72,3,FALSE)</f>
        <v>40</v>
      </c>
      <c r="E27" s="107">
        <f>RANK(Table13[[#This Row],[Overall Score]],Table13[Overall Score],0)</f>
        <v>24</v>
      </c>
      <c r="F27" s="61" t="str">
        <f>VLOOKUP(Table13[[#This Row],[Donor Name]],'Overall scores and ranking'!$A$3:$D$72,4,FALSE)</f>
        <v>Poor</v>
      </c>
      <c r="G27" s="109">
        <f>VLOOKUP(Table13[[#This Row],[Donor Name]],'Wtd - IATI vs Others'!$A$5:$D$72,2,FALSE)</f>
        <v>0</v>
      </c>
      <c r="H27" s="61">
        <f>VLOOKUP(Table13[[#This Row],[Donor Name]],'Wtd - IATI vs Others'!$A$5:$D$72,3,FALSE)</f>
        <v>29.489809999999995</v>
      </c>
      <c r="I27" s="61">
        <f>VLOOKUP(Table13[[#This Row],[Donor Name]],'Wtd scores by sub-groups'!$A$5:$K$72,2,FALSE)</f>
        <v>3.5351279999999998</v>
      </c>
      <c r="J27" s="61">
        <f>VLOOKUP(Table13[[#This Row],[Donor Name]],'Wtd scores by sub-groups'!$A$5:$K$72,3,FALSE)</f>
        <v>6.25</v>
      </c>
      <c r="K27" s="61">
        <f>VLOOKUP(Table13[[#This Row],[Donor Name]],'Wtd scores by sub-groups'!$A$5:$K$72,4,FALSE)</f>
        <v>6.2549999999999999</v>
      </c>
      <c r="L27" s="61">
        <f>VLOOKUP(Table13[[#This Row],[Donor Name]],'Wtd scores by sub-groups'!$A$5:$K$72,5,FALSE)</f>
        <v>4.0748369999999996</v>
      </c>
      <c r="M27" s="61">
        <f>VLOOKUP(Table13[[#This Row],[Donor Name]],'Wtd scores by sub-groups'!$A$5:$K$72,6,FALSE)</f>
        <v>3.4098449999999949</v>
      </c>
      <c r="N27" s="61">
        <f>VLOOKUP(Table13[[#This Row],[Donor Name]],'Wtd scores by sub-groups'!$A$5:$K$72,7,FALSE)</f>
        <v>4.34</v>
      </c>
      <c r="O27" s="61">
        <f>VLOOKUP(Table13[[#This Row],[Donor Name]],'Wtd scores by sub-groups'!$A$5:$K$72,8,FALSE)</f>
        <v>1.625</v>
      </c>
      <c r="P27" s="61">
        <f>VLOOKUP(Table13[[#This Row],[Donor Name]],'Wtd scores by sub-groups'!$A$5:$K$72,9,FALSE)</f>
        <v>0</v>
      </c>
      <c r="Q27" s="61">
        <f>VLOOKUP(Table13[[#This Row],[Donor Name]],'Weighted scores by indicator'!$A$7:$AO$74,2,FALSE)</f>
        <v>2.2197779999999998</v>
      </c>
      <c r="R27" s="61">
        <f>VLOOKUP(Table13[[#This Row],[Donor Name]],'Weighted scores by indicator'!$A$7:$AO$74,3,FALSE)</f>
        <v>1.31535</v>
      </c>
      <c r="S27" s="61">
        <f>VLOOKUP(Table13[[#This Row],[Donor Name]],'Weighted scores by indicator'!$A$7:$AO$74,4,FALSE)</f>
        <v>0</v>
      </c>
      <c r="T27" s="61">
        <f>VLOOKUP(Table13[[#This Row],[Donor Name]],'Weighted scores by indicator'!$A$7:$AO$74,5,FALSE)</f>
        <v>1.25</v>
      </c>
      <c r="U27" s="61">
        <f>VLOOKUP(Table13[[#This Row],[Donor Name]],'Weighted scores by indicator'!$A$7:$AO$74,6,FALSE)</f>
        <v>1.25</v>
      </c>
      <c r="V27" s="61">
        <f>VLOOKUP(Table13[[#This Row],[Donor Name]],'Weighted scores by indicator'!$A$7:$AO$74,7,FALSE)</f>
        <v>1.25</v>
      </c>
      <c r="W27" s="61">
        <f>VLOOKUP(Table13[[#This Row],[Donor Name]],'Weighted scores by indicator'!$A$7:$AO$74,8,FALSE)</f>
        <v>1.25</v>
      </c>
      <c r="X27" s="61">
        <f>VLOOKUP(Table13[[#This Row],[Donor Name]],'Weighted scores by indicator'!$A$7:$AO$74,9,FALSE)</f>
        <v>1.25</v>
      </c>
      <c r="Y27" s="61">
        <f>VLOOKUP(Table13[[#This Row],[Donor Name]],'Weighted scores by indicator'!$A$7:$AO$74,10,FALSE)</f>
        <v>2.085</v>
      </c>
      <c r="Z27" s="61">
        <f>VLOOKUP(Table13[[#This Row],[Donor Name]],'Weighted scores by indicator'!$A$7:$AO$74,11,FALSE)</f>
        <v>2.085</v>
      </c>
      <c r="AA27" s="61">
        <f>VLOOKUP(Table13[[#This Row],[Donor Name]],'Weighted scores by indicator'!$A$7:$AO$74,12,FALSE)</f>
        <v>2.085</v>
      </c>
      <c r="AB27" s="61">
        <f>VLOOKUP(Table13[[#This Row],[Donor Name]],'Weighted scores by indicator'!$A$7:$AO$74,13,FALSE)</f>
        <v>0.81499999999999995</v>
      </c>
      <c r="AC27" s="61">
        <f>VLOOKUP(Table13[[#This Row],[Donor Name]],'Weighted scores by indicator'!$A$7:$AO$74,14,FALSE)</f>
        <v>0.54327899999999996</v>
      </c>
      <c r="AD27" s="61">
        <f>VLOOKUP(Table13[[#This Row],[Donor Name]],'Weighted scores by indicator'!$A$7:$AO$74,15,FALSE)</f>
        <v>0.81499999999999995</v>
      </c>
      <c r="AE27" s="61">
        <f>VLOOKUP(Table13[[#This Row],[Donor Name]],'Weighted scores by indicator'!$A$7:$AO$74,16,FALSE)</f>
        <v>0.81499999999999995</v>
      </c>
      <c r="AF27" s="61">
        <f>VLOOKUP(Table13[[#This Row],[Donor Name]],'Weighted scores by indicator'!$A$7:$AO$74,17,FALSE)</f>
        <v>0</v>
      </c>
      <c r="AG27" s="61">
        <f>VLOOKUP(Table13[[#This Row],[Donor Name]],'Weighted scores by indicator'!$A$7:$AO$74,18,FALSE)</f>
        <v>0</v>
      </c>
      <c r="AH27" s="61">
        <f>VLOOKUP(Table13[[#This Row],[Donor Name]],'Weighted scores by indicator'!$A$7:$AO$74,19,FALSE)</f>
        <v>0.54327899999999996</v>
      </c>
      <c r="AI27" s="61">
        <f>VLOOKUP(Table13[[#This Row],[Donor Name]],'Weighted scores by indicator'!$A$7:$AO$74,20,FALSE)</f>
        <v>0.54327899999999996</v>
      </c>
      <c r="AJ27" s="61">
        <f>VLOOKUP(Table13[[#This Row],[Donor Name]],'Weighted scores by indicator'!$A$7:$AO$74,21,FALSE)</f>
        <v>0.92999999999999905</v>
      </c>
      <c r="AK27" s="61">
        <f>VLOOKUP(Table13[[#This Row],[Donor Name]],'Weighted scores by indicator'!$A$7:$AO$74,22,FALSE)</f>
        <v>0.309968999999999</v>
      </c>
      <c r="AL27" s="61">
        <f>VLOOKUP(Table13[[#This Row],[Donor Name]],'Weighted scores by indicator'!$A$7:$AO$74,23,FALSE)</f>
        <v>0.61993799999999899</v>
      </c>
      <c r="AM27" s="61">
        <f>VLOOKUP(Table13[[#This Row],[Donor Name]],'Weighted scores by indicator'!$A$7:$AO$74,24,FALSE)</f>
        <v>0</v>
      </c>
      <c r="AN27" s="61">
        <f>VLOOKUP(Table13[[#This Row],[Donor Name]],'Weighted scores by indicator'!$A$7:$AO$74,25,FALSE)</f>
        <v>0.92999999999999905</v>
      </c>
      <c r="AO27" s="61">
        <f>VLOOKUP(Table13[[#This Row],[Donor Name]],'Weighted scores by indicator'!$A$7:$AO$74,26,FALSE)</f>
        <v>0.61993799999999899</v>
      </c>
      <c r="AP27" s="61">
        <f>VLOOKUP(Table13[[#This Row],[Donor Name]],'Weighted scores by indicator'!$A$7:$AO$74,27,FALSE)</f>
        <v>0</v>
      </c>
      <c r="AQ27" s="61">
        <f>VLOOKUP(Table13[[#This Row],[Donor Name]],'Weighted scores by indicator'!$A$7:$AO$74,28,FALSE)</f>
        <v>0</v>
      </c>
      <c r="AR27" s="61">
        <f>VLOOKUP(Table13[[#This Row],[Donor Name]],'Weighted scores by indicator'!$A$7:$AO$74,29,FALSE)</f>
        <v>1.085</v>
      </c>
      <c r="AS27" s="61">
        <f>VLOOKUP(Table13[[#This Row],[Donor Name]],'Weighted scores by indicator'!$A$7:$AO$74,30,FALSE)</f>
        <v>1.085</v>
      </c>
      <c r="AT27" s="61">
        <f>VLOOKUP(Table13[[#This Row],[Donor Name]],'Weighted scores by indicator'!$A$7:$AO$74,31,FALSE)</f>
        <v>0</v>
      </c>
      <c r="AU27" s="61">
        <f>VLOOKUP(Table13[[#This Row],[Donor Name]],'Weighted scores by indicator'!$A$7:$AO$74,32,FALSE)</f>
        <v>1.085</v>
      </c>
      <c r="AV27" s="61">
        <f>VLOOKUP(Table13[[#This Row],[Donor Name]],'Weighted scores by indicator'!$A$7:$AO$74,33,FALSE)</f>
        <v>1.085</v>
      </c>
      <c r="AW27" s="61">
        <f>VLOOKUP(Table13[[#This Row],[Donor Name]],'Weighted scores by indicator'!$A$7:$AO$74,34,FALSE)</f>
        <v>0</v>
      </c>
      <c r="AX27" s="61">
        <f>VLOOKUP(Table13[[#This Row],[Donor Name]],'Weighted scores by indicator'!$A$7:$AO$74,35,FALSE)</f>
        <v>1.625</v>
      </c>
      <c r="AY27" s="61">
        <f>VLOOKUP(Table13[[#This Row],[Donor Name]],'Weighted scores by indicator'!$A$7:$AO$74,36,FALSE)</f>
        <v>0</v>
      </c>
      <c r="AZ27" s="61">
        <f>VLOOKUP(Table13[[#This Row],[Donor Name]],'Weighted scores by indicator'!$A$7:$AO$74,37,FALSE)</f>
        <v>0</v>
      </c>
      <c r="BA27" s="61">
        <f>VLOOKUP(Table13[[#This Row],[Donor Name]],'Weighted scores by indicator'!$A$7:$AO$74,38,FALSE)</f>
        <v>0</v>
      </c>
      <c r="BB27" s="61">
        <f>VLOOKUP(Table13[[#This Row],[Donor Name]],'Weighted scores by indicator'!$A$7:$AO$74,39,FALSE)</f>
        <v>0</v>
      </c>
      <c r="BC27" s="111">
        <f>VLOOKUP(Table13[[#This Row],[Donor Name]],'Weighted scores by indicator'!$A$7:$AO$74,40,FALSE)</f>
        <v>0</v>
      </c>
      <c r="BD27" s="61">
        <f>COUNTIF(Table13[[#This Row],[FOIA]:[Conditions]],"0")</f>
        <v>13</v>
      </c>
      <c r="BE27" s="61">
        <f>COUNTIF(Table13[[#This Row],[FOIA]:[Conditions]],"&gt;0")</f>
        <v>26</v>
      </c>
      <c r="BG27">
        <f>39-SUM(Table13[[#This Row],[No of indicators not scoring on]:[No of indicators scoring on]])</f>
        <v>0</v>
      </c>
    </row>
    <row r="28" spans="1:59" x14ac:dyDescent="0.25">
      <c r="A28" s="105" t="s">
        <v>336</v>
      </c>
      <c r="B28" s="103" t="s">
        <v>335</v>
      </c>
      <c r="C28" s="157">
        <f>VLOOKUP(Table13[[#This Row],[Donor Name]],'Overall scores and ranking'!$A$3:$D$72,2,FALSE)</f>
        <v>28.231219999999993</v>
      </c>
      <c r="D28" s="107">
        <f>VLOOKUP(Table13[[#This Row],[Donor Name]],'Overall scores and ranking'!$A$3:$D$72,3,FALSE)</f>
        <v>41</v>
      </c>
      <c r="E28" s="107">
        <f>RANK(Table13[[#This Row],[Overall Score]],Table13[Overall Score],0)</f>
        <v>25</v>
      </c>
      <c r="F28" s="61" t="str">
        <f>VLOOKUP(Table13[[#This Row],[Donor Name]],'Overall scores and ranking'!$A$3:$D$72,4,FALSE)</f>
        <v>Poor</v>
      </c>
      <c r="G28" s="109">
        <f>VLOOKUP(Table13[[#This Row],[Donor Name]],'Wtd - IATI vs Others'!$A$5:$D$72,2,FALSE)</f>
        <v>0</v>
      </c>
      <c r="H28" s="61">
        <f>VLOOKUP(Table13[[#This Row],[Donor Name]],'Wtd - IATI vs Others'!$A$5:$D$72,3,FALSE)</f>
        <v>28.231219999999993</v>
      </c>
      <c r="I28" s="61">
        <f>VLOOKUP(Table13[[#This Row],[Donor Name]],'Wtd scores by sub-groups'!$A$5:$K$72,2,FALSE)</f>
        <v>5.5497779999999999</v>
      </c>
      <c r="J28" s="61">
        <f>VLOOKUP(Table13[[#This Row],[Donor Name]],'Wtd scores by sub-groups'!$A$5:$K$72,3,FALSE)</f>
        <v>6.25</v>
      </c>
      <c r="K28" s="61">
        <f>VLOOKUP(Table13[[#This Row],[Donor Name]],'Wtd scores by sub-groups'!$A$5:$K$72,4,FALSE)</f>
        <v>0.463287</v>
      </c>
      <c r="L28" s="61">
        <f>VLOOKUP(Table13[[#This Row],[Donor Name]],'Wtd scores by sub-groups'!$A$5:$K$72,5,FALSE)</f>
        <v>5.4332789999999989</v>
      </c>
      <c r="M28" s="61">
        <f>VLOOKUP(Table13[[#This Row],[Donor Name]],'Wtd scores by sub-groups'!$A$5:$K$72,6,FALSE)</f>
        <v>4.0298759999999954</v>
      </c>
      <c r="N28" s="61">
        <f>VLOOKUP(Table13[[#This Row],[Donor Name]],'Wtd scores by sub-groups'!$A$5:$K$72,7,FALSE)</f>
        <v>3.2549999999999999</v>
      </c>
      <c r="O28" s="61">
        <f>VLOOKUP(Table13[[#This Row],[Donor Name]],'Wtd scores by sub-groups'!$A$5:$K$72,8,FALSE)</f>
        <v>3.25</v>
      </c>
      <c r="P28" s="61">
        <f>VLOOKUP(Table13[[#This Row],[Donor Name]],'Wtd scores by sub-groups'!$A$5:$K$72,9,FALSE)</f>
        <v>0</v>
      </c>
      <c r="Q28" s="61">
        <f>VLOOKUP(Table13[[#This Row],[Donor Name]],'Weighted scores by indicator'!$A$7:$AO$74,2,FALSE)</f>
        <v>3.33</v>
      </c>
      <c r="R28" s="61">
        <f>VLOOKUP(Table13[[#This Row],[Donor Name]],'Weighted scores by indicator'!$A$7:$AO$74,3,FALSE)</f>
        <v>0</v>
      </c>
      <c r="S28" s="61">
        <f>VLOOKUP(Table13[[#This Row],[Donor Name]],'Weighted scores by indicator'!$A$7:$AO$74,4,FALSE)</f>
        <v>2.2197779999999998</v>
      </c>
      <c r="T28" s="61">
        <f>VLOOKUP(Table13[[#This Row],[Donor Name]],'Weighted scores by indicator'!$A$7:$AO$74,5,FALSE)</f>
        <v>1.25</v>
      </c>
      <c r="U28" s="61">
        <f>VLOOKUP(Table13[[#This Row],[Donor Name]],'Weighted scores by indicator'!$A$7:$AO$74,6,FALSE)</f>
        <v>1.25</v>
      </c>
      <c r="V28" s="61">
        <f>VLOOKUP(Table13[[#This Row],[Donor Name]],'Weighted scores by indicator'!$A$7:$AO$74,7,FALSE)</f>
        <v>1.25</v>
      </c>
      <c r="W28" s="61">
        <f>VLOOKUP(Table13[[#This Row],[Donor Name]],'Weighted scores by indicator'!$A$7:$AO$74,8,FALSE)</f>
        <v>1.25</v>
      </c>
      <c r="X28" s="61">
        <f>VLOOKUP(Table13[[#This Row],[Donor Name]],'Weighted scores by indicator'!$A$7:$AO$74,9,FALSE)</f>
        <v>1.25</v>
      </c>
      <c r="Y28" s="61">
        <f>VLOOKUP(Table13[[#This Row],[Donor Name]],'Weighted scores by indicator'!$A$7:$AO$74,10,FALSE)</f>
        <v>0.463287</v>
      </c>
      <c r="Z28" s="61">
        <f>VLOOKUP(Table13[[#This Row],[Donor Name]],'Weighted scores by indicator'!$A$7:$AO$74,11,FALSE)</f>
        <v>0</v>
      </c>
      <c r="AA28" s="61">
        <f>VLOOKUP(Table13[[#This Row],[Donor Name]],'Weighted scores by indicator'!$A$7:$AO$74,12,FALSE)</f>
        <v>0</v>
      </c>
      <c r="AB28" s="61">
        <f>VLOOKUP(Table13[[#This Row],[Donor Name]],'Weighted scores by indicator'!$A$7:$AO$74,13,FALSE)</f>
        <v>0.81499999999999995</v>
      </c>
      <c r="AC28" s="61">
        <f>VLOOKUP(Table13[[#This Row],[Donor Name]],'Weighted scores by indicator'!$A$7:$AO$74,14,FALSE)</f>
        <v>0.81499999999999995</v>
      </c>
      <c r="AD28" s="61">
        <f>VLOOKUP(Table13[[#This Row],[Donor Name]],'Weighted scores by indicator'!$A$7:$AO$74,15,FALSE)</f>
        <v>0.81499999999999995</v>
      </c>
      <c r="AE28" s="61">
        <f>VLOOKUP(Table13[[#This Row],[Donor Name]],'Weighted scores by indicator'!$A$7:$AO$74,16,FALSE)</f>
        <v>0.81499999999999995</v>
      </c>
      <c r="AF28" s="61">
        <f>VLOOKUP(Table13[[#This Row],[Donor Name]],'Weighted scores by indicator'!$A$7:$AO$74,17,FALSE)</f>
        <v>0.81499999999999995</v>
      </c>
      <c r="AG28" s="61">
        <f>VLOOKUP(Table13[[#This Row],[Donor Name]],'Weighted scores by indicator'!$A$7:$AO$74,18,FALSE)</f>
        <v>0</v>
      </c>
      <c r="AH28" s="61">
        <f>VLOOKUP(Table13[[#This Row],[Donor Name]],'Weighted scores by indicator'!$A$7:$AO$74,19,FALSE)</f>
        <v>0.81499999999999995</v>
      </c>
      <c r="AI28" s="61">
        <f>VLOOKUP(Table13[[#This Row],[Donor Name]],'Weighted scores by indicator'!$A$7:$AO$74,20,FALSE)</f>
        <v>0.54327899999999996</v>
      </c>
      <c r="AJ28" s="61">
        <f>VLOOKUP(Table13[[#This Row],[Donor Name]],'Weighted scores by indicator'!$A$7:$AO$74,21,FALSE)</f>
        <v>0.92999999999999905</v>
      </c>
      <c r="AK28" s="61">
        <f>VLOOKUP(Table13[[#This Row],[Donor Name]],'Weighted scores by indicator'!$A$7:$AO$74,22,FALSE)</f>
        <v>0.61993799999999899</v>
      </c>
      <c r="AL28" s="61">
        <f>VLOOKUP(Table13[[#This Row],[Donor Name]],'Weighted scores by indicator'!$A$7:$AO$74,23,FALSE)</f>
        <v>0.92999999999999905</v>
      </c>
      <c r="AM28" s="61">
        <f>VLOOKUP(Table13[[#This Row],[Donor Name]],'Weighted scores by indicator'!$A$7:$AO$74,24,FALSE)</f>
        <v>0.61993799999999899</v>
      </c>
      <c r="AN28" s="61">
        <f>VLOOKUP(Table13[[#This Row],[Donor Name]],'Weighted scores by indicator'!$A$7:$AO$74,25,FALSE)</f>
        <v>0.92999999999999905</v>
      </c>
      <c r="AO28" s="61">
        <f>VLOOKUP(Table13[[#This Row],[Donor Name]],'Weighted scores by indicator'!$A$7:$AO$74,26,FALSE)</f>
        <v>0</v>
      </c>
      <c r="AP28" s="61">
        <f>VLOOKUP(Table13[[#This Row],[Donor Name]],'Weighted scores by indicator'!$A$7:$AO$74,27,FALSE)</f>
        <v>0</v>
      </c>
      <c r="AQ28" s="61">
        <f>VLOOKUP(Table13[[#This Row],[Donor Name]],'Weighted scores by indicator'!$A$7:$AO$74,28,FALSE)</f>
        <v>0</v>
      </c>
      <c r="AR28" s="61">
        <f>VLOOKUP(Table13[[#This Row],[Donor Name]],'Weighted scores by indicator'!$A$7:$AO$74,29,FALSE)</f>
        <v>0</v>
      </c>
      <c r="AS28" s="61">
        <f>VLOOKUP(Table13[[#This Row],[Donor Name]],'Weighted scores by indicator'!$A$7:$AO$74,30,FALSE)</f>
        <v>1.085</v>
      </c>
      <c r="AT28" s="61">
        <f>VLOOKUP(Table13[[#This Row],[Donor Name]],'Weighted scores by indicator'!$A$7:$AO$74,31,FALSE)</f>
        <v>0</v>
      </c>
      <c r="AU28" s="61">
        <f>VLOOKUP(Table13[[#This Row],[Donor Name]],'Weighted scores by indicator'!$A$7:$AO$74,32,FALSE)</f>
        <v>1.085</v>
      </c>
      <c r="AV28" s="61">
        <f>VLOOKUP(Table13[[#This Row],[Donor Name]],'Weighted scores by indicator'!$A$7:$AO$74,33,FALSE)</f>
        <v>1.085</v>
      </c>
      <c r="AW28" s="61">
        <f>VLOOKUP(Table13[[#This Row],[Donor Name]],'Weighted scores by indicator'!$A$7:$AO$74,34,FALSE)</f>
        <v>1.625</v>
      </c>
      <c r="AX28" s="61">
        <f>VLOOKUP(Table13[[#This Row],[Donor Name]],'Weighted scores by indicator'!$A$7:$AO$74,35,FALSE)</f>
        <v>1.625</v>
      </c>
      <c r="AY28" s="61">
        <f>VLOOKUP(Table13[[#This Row],[Donor Name]],'Weighted scores by indicator'!$A$7:$AO$74,36,FALSE)</f>
        <v>0</v>
      </c>
      <c r="AZ28" s="61">
        <f>VLOOKUP(Table13[[#This Row],[Donor Name]],'Weighted scores by indicator'!$A$7:$AO$74,37,FALSE)</f>
        <v>0</v>
      </c>
      <c r="BA28" s="61">
        <f>VLOOKUP(Table13[[#This Row],[Donor Name]],'Weighted scores by indicator'!$A$7:$AO$74,38,FALSE)</f>
        <v>0</v>
      </c>
      <c r="BB28" s="61">
        <f>VLOOKUP(Table13[[#This Row],[Donor Name]],'Weighted scores by indicator'!$A$7:$AO$74,39,FALSE)</f>
        <v>0</v>
      </c>
      <c r="BC28" s="111">
        <f>VLOOKUP(Table13[[#This Row],[Donor Name]],'Weighted scores by indicator'!$A$7:$AO$74,40,FALSE)</f>
        <v>0</v>
      </c>
      <c r="BD28" s="61">
        <f>COUNTIF(Table13[[#This Row],[FOIA]:[Conditions]],"0")</f>
        <v>14</v>
      </c>
      <c r="BE28" s="61">
        <f>COUNTIF(Table13[[#This Row],[FOIA]:[Conditions]],"&gt;0")</f>
        <v>25</v>
      </c>
      <c r="BG28">
        <f>39-SUM(Table13[[#This Row],[No of indicators not scoring on]:[No of indicators scoring on]])</f>
        <v>0</v>
      </c>
    </row>
    <row r="29" spans="1:59" x14ac:dyDescent="0.25">
      <c r="A29" s="104" t="s">
        <v>1727</v>
      </c>
      <c r="B29" s="102" t="s">
        <v>1726</v>
      </c>
      <c r="C29" s="157">
        <f>VLOOKUP(Table13[[#This Row],[Donor Name]],'Overall scores and ranking'!$A$3:$D$72,2,FALSE)</f>
        <v>27.648543999999998</v>
      </c>
      <c r="D29" s="107">
        <f>VLOOKUP(Table13[[#This Row],[Donor Name]],'Overall scores and ranking'!$A$3:$D$72,3,FALSE)</f>
        <v>42</v>
      </c>
      <c r="E29" s="107">
        <f>RANK(Table13[[#This Row],[Overall Score]],Table13[Overall Score],0)</f>
        <v>26</v>
      </c>
      <c r="F29" s="61" t="str">
        <f>VLOOKUP(Table13[[#This Row],[Donor Name]],'Overall scores and ranking'!$A$3:$D$72,4,FALSE)</f>
        <v>Poor</v>
      </c>
      <c r="G29" s="109">
        <f>VLOOKUP(Table13[[#This Row],[Donor Name]],'Wtd - IATI vs Others'!$A$5:$D$72,2,FALSE)</f>
        <v>0</v>
      </c>
      <c r="H29" s="61">
        <f>VLOOKUP(Table13[[#This Row],[Donor Name]],'Wtd - IATI vs Others'!$A$5:$D$72,3,FALSE)</f>
        <v>27.648543999999998</v>
      </c>
      <c r="I29" s="61">
        <f>VLOOKUP(Table13[[#This Row],[Donor Name]],'Wtd scores by sub-groups'!$A$5:$K$72,2,FALSE)</f>
        <v>6.681978</v>
      </c>
      <c r="J29" s="61">
        <f>VLOOKUP(Table13[[#This Row],[Donor Name]],'Wtd scores by sub-groups'!$A$5:$K$72,3,FALSE)</f>
        <v>6.25</v>
      </c>
      <c r="K29" s="61">
        <f>VLOOKUP(Table13[[#This Row],[Donor Name]],'Wtd scores by sub-groups'!$A$5:$K$72,4,FALSE)</f>
        <v>2.5482870000000002</v>
      </c>
      <c r="L29" s="61">
        <f>VLOOKUP(Table13[[#This Row],[Donor Name]],'Wtd scores by sub-groups'!$A$5:$K$72,5,FALSE)</f>
        <v>3.8032789999999999</v>
      </c>
      <c r="M29" s="61">
        <f>VLOOKUP(Table13[[#This Row],[Donor Name]],'Wtd scores by sub-groups'!$A$5:$K$72,6,FALSE)</f>
        <v>1.8599999999999981</v>
      </c>
      <c r="N29" s="61">
        <f>VLOOKUP(Table13[[#This Row],[Donor Name]],'Wtd scores by sub-groups'!$A$5:$K$72,7,FALSE)</f>
        <v>3.2549999999999999</v>
      </c>
      <c r="O29" s="61">
        <f>VLOOKUP(Table13[[#This Row],[Donor Name]],'Wtd scores by sub-groups'!$A$5:$K$72,8,FALSE)</f>
        <v>3.25</v>
      </c>
      <c r="P29" s="61">
        <f>VLOOKUP(Table13[[#This Row],[Donor Name]],'Wtd scores by sub-groups'!$A$5:$K$72,9,FALSE)</f>
        <v>0</v>
      </c>
      <c r="Q29" s="61">
        <f>VLOOKUP(Table13[[#This Row],[Donor Name]],'Weighted scores by indicator'!$A$7:$AO$74,2,FALSE)</f>
        <v>2.2197779999999998</v>
      </c>
      <c r="R29" s="61">
        <f>VLOOKUP(Table13[[#This Row],[Donor Name]],'Weighted scores by indicator'!$A$7:$AO$74,3,FALSE)</f>
        <v>1.1322000000000001</v>
      </c>
      <c r="S29" s="61">
        <f>VLOOKUP(Table13[[#This Row],[Donor Name]],'Weighted scores by indicator'!$A$7:$AO$74,4,FALSE)</f>
        <v>3.33</v>
      </c>
      <c r="T29" s="61">
        <f>VLOOKUP(Table13[[#This Row],[Donor Name]],'Weighted scores by indicator'!$A$7:$AO$74,5,FALSE)</f>
        <v>1.25</v>
      </c>
      <c r="U29" s="61">
        <f>VLOOKUP(Table13[[#This Row],[Donor Name]],'Weighted scores by indicator'!$A$7:$AO$74,6,FALSE)</f>
        <v>1.25</v>
      </c>
      <c r="V29" s="61">
        <f>VLOOKUP(Table13[[#This Row],[Donor Name]],'Weighted scores by indicator'!$A$7:$AO$74,7,FALSE)</f>
        <v>1.25</v>
      </c>
      <c r="W29" s="61">
        <f>VLOOKUP(Table13[[#This Row],[Donor Name]],'Weighted scores by indicator'!$A$7:$AO$74,8,FALSE)</f>
        <v>1.25</v>
      </c>
      <c r="X29" s="61">
        <f>VLOOKUP(Table13[[#This Row],[Donor Name]],'Weighted scores by indicator'!$A$7:$AO$74,9,FALSE)</f>
        <v>1.25</v>
      </c>
      <c r="Y29" s="61">
        <f>VLOOKUP(Table13[[#This Row],[Donor Name]],'Weighted scores by indicator'!$A$7:$AO$74,10,FALSE)</f>
        <v>0.463287</v>
      </c>
      <c r="Z29" s="61">
        <f>VLOOKUP(Table13[[#This Row],[Donor Name]],'Weighted scores by indicator'!$A$7:$AO$74,11,FALSE)</f>
        <v>0</v>
      </c>
      <c r="AA29" s="61">
        <f>VLOOKUP(Table13[[#This Row],[Donor Name]],'Weighted scores by indicator'!$A$7:$AO$74,12,FALSE)</f>
        <v>2.085</v>
      </c>
      <c r="AB29" s="61">
        <f>VLOOKUP(Table13[[#This Row],[Donor Name]],'Weighted scores by indicator'!$A$7:$AO$74,13,FALSE)</f>
        <v>0.81499999999999995</v>
      </c>
      <c r="AC29" s="61">
        <f>VLOOKUP(Table13[[#This Row],[Donor Name]],'Weighted scores by indicator'!$A$7:$AO$74,14,FALSE)</f>
        <v>0.81499999999999995</v>
      </c>
      <c r="AD29" s="61">
        <f>VLOOKUP(Table13[[#This Row],[Donor Name]],'Weighted scores by indicator'!$A$7:$AO$74,15,FALSE)</f>
        <v>0.81499999999999995</v>
      </c>
      <c r="AE29" s="61">
        <f>VLOOKUP(Table13[[#This Row],[Donor Name]],'Weighted scores by indicator'!$A$7:$AO$74,16,FALSE)</f>
        <v>0.81499999999999995</v>
      </c>
      <c r="AF29" s="61">
        <f>VLOOKUP(Table13[[#This Row],[Donor Name]],'Weighted scores by indicator'!$A$7:$AO$74,17,FALSE)</f>
        <v>0</v>
      </c>
      <c r="AG29" s="61">
        <f>VLOOKUP(Table13[[#This Row],[Donor Name]],'Weighted scores by indicator'!$A$7:$AO$74,18,FALSE)</f>
        <v>0</v>
      </c>
      <c r="AH29" s="61">
        <f>VLOOKUP(Table13[[#This Row],[Donor Name]],'Weighted scores by indicator'!$A$7:$AO$74,19,FALSE)</f>
        <v>0</v>
      </c>
      <c r="AI29" s="61">
        <f>VLOOKUP(Table13[[#This Row],[Donor Name]],'Weighted scores by indicator'!$A$7:$AO$74,20,FALSE)</f>
        <v>0.54327899999999996</v>
      </c>
      <c r="AJ29" s="61">
        <f>VLOOKUP(Table13[[#This Row],[Donor Name]],'Weighted scores by indicator'!$A$7:$AO$74,21,FALSE)</f>
        <v>0.92999999999999905</v>
      </c>
      <c r="AK29" s="61">
        <f>VLOOKUP(Table13[[#This Row],[Donor Name]],'Weighted scores by indicator'!$A$7:$AO$74,22,FALSE)</f>
        <v>0</v>
      </c>
      <c r="AL29" s="61">
        <f>VLOOKUP(Table13[[#This Row],[Donor Name]],'Weighted scores by indicator'!$A$7:$AO$74,23,FALSE)</f>
        <v>0</v>
      </c>
      <c r="AM29" s="61">
        <f>VLOOKUP(Table13[[#This Row],[Donor Name]],'Weighted scores by indicator'!$A$7:$AO$74,24,FALSE)</f>
        <v>0</v>
      </c>
      <c r="AN29" s="61">
        <f>VLOOKUP(Table13[[#This Row],[Donor Name]],'Weighted scores by indicator'!$A$7:$AO$74,25,FALSE)</f>
        <v>0.92999999999999905</v>
      </c>
      <c r="AO29" s="61">
        <f>VLOOKUP(Table13[[#This Row],[Donor Name]],'Weighted scores by indicator'!$A$7:$AO$74,26,FALSE)</f>
        <v>0</v>
      </c>
      <c r="AP29" s="61">
        <f>VLOOKUP(Table13[[#This Row],[Donor Name]],'Weighted scores by indicator'!$A$7:$AO$74,27,FALSE)</f>
        <v>0</v>
      </c>
      <c r="AQ29" s="61">
        <f>VLOOKUP(Table13[[#This Row],[Donor Name]],'Weighted scores by indicator'!$A$7:$AO$74,28,FALSE)</f>
        <v>0</v>
      </c>
      <c r="AR29" s="61">
        <f>VLOOKUP(Table13[[#This Row],[Donor Name]],'Weighted scores by indicator'!$A$7:$AO$74,29,FALSE)</f>
        <v>1.085</v>
      </c>
      <c r="AS29" s="61">
        <f>VLOOKUP(Table13[[#This Row],[Donor Name]],'Weighted scores by indicator'!$A$7:$AO$74,30,FALSE)</f>
        <v>1.085</v>
      </c>
      <c r="AT29" s="61">
        <f>VLOOKUP(Table13[[#This Row],[Donor Name]],'Weighted scores by indicator'!$A$7:$AO$74,31,FALSE)</f>
        <v>0</v>
      </c>
      <c r="AU29" s="61">
        <f>VLOOKUP(Table13[[#This Row],[Donor Name]],'Weighted scores by indicator'!$A$7:$AO$74,32,FALSE)</f>
        <v>0</v>
      </c>
      <c r="AV29" s="61">
        <f>VLOOKUP(Table13[[#This Row],[Donor Name]],'Weighted scores by indicator'!$A$7:$AO$74,33,FALSE)</f>
        <v>1.085</v>
      </c>
      <c r="AW29" s="61">
        <f>VLOOKUP(Table13[[#This Row],[Donor Name]],'Weighted scores by indicator'!$A$7:$AO$74,34,FALSE)</f>
        <v>1.625</v>
      </c>
      <c r="AX29" s="61">
        <f>VLOOKUP(Table13[[#This Row],[Donor Name]],'Weighted scores by indicator'!$A$7:$AO$74,35,FALSE)</f>
        <v>1.625</v>
      </c>
      <c r="AY29" s="61">
        <f>VLOOKUP(Table13[[#This Row],[Donor Name]],'Weighted scores by indicator'!$A$7:$AO$74,36,FALSE)</f>
        <v>0</v>
      </c>
      <c r="AZ29" s="61">
        <f>VLOOKUP(Table13[[#This Row],[Donor Name]],'Weighted scores by indicator'!$A$7:$AO$74,37,FALSE)</f>
        <v>0</v>
      </c>
      <c r="BA29" s="61">
        <f>VLOOKUP(Table13[[#This Row],[Donor Name]],'Weighted scores by indicator'!$A$7:$AO$74,38,FALSE)</f>
        <v>0</v>
      </c>
      <c r="BB29" s="61">
        <f>VLOOKUP(Table13[[#This Row],[Donor Name]],'Weighted scores by indicator'!$A$7:$AO$74,39,FALSE)</f>
        <v>0</v>
      </c>
      <c r="BC29" s="111">
        <f>VLOOKUP(Table13[[#This Row],[Donor Name]],'Weighted scores by indicator'!$A$7:$AO$74,40,FALSE)</f>
        <v>0</v>
      </c>
      <c r="BD29" s="61">
        <f>COUNTIF(Table13[[#This Row],[FOIA]:[Conditions]],"0")</f>
        <v>17</v>
      </c>
      <c r="BE29" s="61">
        <f>COUNTIF(Table13[[#This Row],[FOIA]:[Conditions]],"&gt;0")</f>
        <v>22</v>
      </c>
      <c r="BG29">
        <f>39-SUM(Table13[[#This Row],[No of indicators not scoring on]:[No of indicators scoring on]])</f>
        <v>0</v>
      </c>
    </row>
    <row r="30" spans="1:59" x14ac:dyDescent="0.25">
      <c r="A30" s="104" t="s">
        <v>705</v>
      </c>
      <c r="B30" s="102" t="s">
        <v>704</v>
      </c>
      <c r="C30" s="157">
        <f>VLOOKUP(Table13[[#This Row],[Donor Name]],'Overall scores and ranking'!$A$3:$D$72,2,FALSE)</f>
        <v>26.544537499999997</v>
      </c>
      <c r="D30" s="107">
        <f>VLOOKUP(Table13[[#This Row],[Donor Name]],'Overall scores and ranking'!$A$3:$D$72,3,FALSE)</f>
        <v>43</v>
      </c>
      <c r="E30" s="107">
        <f>RANK(Table13[[#This Row],[Overall Score]],Table13[Overall Score],0)</f>
        <v>27</v>
      </c>
      <c r="F30" s="61" t="str">
        <f>VLOOKUP(Table13[[#This Row],[Donor Name]],'Overall scores and ranking'!$A$3:$D$72,4,FALSE)</f>
        <v>Poor</v>
      </c>
      <c r="G30" s="109">
        <f>VLOOKUP(Table13[[#This Row],[Donor Name]],'Wtd - IATI vs Others'!$A$5:$D$72,2,FALSE)</f>
        <v>0</v>
      </c>
      <c r="H30" s="61">
        <f>VLOOKUP(Table13[[#This Row],[Donor Name]],'Wtd - IATI vs Others'!$A$5:$D$72,3,FALSE)</f>
        <v>26.544537499999997</v>
      </c>
      <c r="I30" s="61">
        <f>VLOOKUP(Table13[[#This Row],[Donor Name]],'Wtd scores by sub-groups'!$A$5:$K$72,2,FALSE)</f>
        <v>2.2197779999999998</v>
      </c>
      <c r="J30" s="61">
        <f>VLOOKUP(Table13[[#This Row],[Donor Name]],'Wtd scores by sub-groups'!$A$5:$K$72,3,FALSE)</f>
        <v>5</v>
      </c>
      <c r="K30" s="61">
        <f>VLOOKUP(Table13[[#This Row],[Donor Name]],'Wtd scores by sub-groups'!$A$5:$K$72,4,FALSE)</f>
        <v>4.4016435000000005</v>
      </c>
      <c r="L30" s="61">
        <f>VLOOKUP(Table13[[#This Row],[Donor Name]],'Wtd scores by sub-groups'!$A$5:$K$72,5,FALSE)</f>
        <v>4.6181159999999997</v>
      </c>
      <c r="M30" s="61">
        <f>VLOOKUP(Table13[[#This Row],[Donor Name]],'Wtd scores by sub-groups'!$A$5:$K$72,6,FALSE)</f>
        <v>6.5099999999999927</v>
      </c>
      <c r="N30" s="61">
        <f>VLOOKUP(Table13[[#This Row],[Donor Name]],'Wtd scores by sub-groups'!$A$5:$K$72,7,FALSE)</f>
        <v>2.17</v>
      </c>
      <c r="O30" s="61">
        <f>VLOOKUP(Table13[[#This Row],[Donor Name]],'Wtd scores by sub-groups'!$A$5:$K$72,8,FALSE)</f>
        <v>1.625</v>
      </c>
      <c r="P30" s="61">
        <f>VLOOKUP(Table13[[#This Row],[Donor Name]],'Wtd scores by sub-groups'!$A$5:$K$72,9,FALSE)</f>
        <v>0</v>
      </c>
      <c r="Q30" s="61">
        <f>VLOOKUP(Table13[[#This Row],[Donor Name]],'Weighted scores by indicator'!$A$7:$AO$74,2,FALSE)</f>
        <v>2.2197779999999998</v>
      </c>
      <c r="R30" s="61">
        <f>VLOOKUP(Table13[[#This Row],[Donor Name]],'Weighted scores by indicator'!$A$7:$AO$74,3,FALSE)</f>
        <v>0</v>
      </c>
      <c r="S30" s="61">
        <f>VLOOKUP(Table13[[#This Row],[Donor Name]],'Weighted scores by indicator'!$A$7:$AO$74,4,FALSE)</f>
        <v>0</v>
      </c>
      <c r="T30" s="61">
        <f>VLOOKUP(Table13[[#This Row],[Donor Name]],'Weighted scores by indicator'!$A$7:$AO$74,5,FALSE)</f>
        <v>1.25</v>
      </c>
      <c r="U30" s="61">
        <f>VLOOKUP(Table13[[#This Row],[Donor Name]],'Weighted scores by indicator'!$A$7:$AO$74,6,FALSE)</f>
        <v>1.25</v>
      </c>
      <c r="V30" s="61">
        <f>VLOOKUP(Table13[[#This Row],[Donor Name]],'Weighted scores by indicator'!$A$7:$AO$74,7,FALSE)</f>
        <v>1.25</v>
      </c>
      <c r="W30" s="61">
        <f>VLOOKUP(Table13[[#This Row],[Donor Name]],'Weighted scores by indicator'!$A$7:$AO$74,8,FALSE)</f>
        <v>1.25</v>
      </c>
      <c r="X30" s="61">
        <f>VLOOKUP(Table13[[#This Row],[Donor Name]],'Weighted scores by indicator'!$A$7:$AO$74,9,FALSE)</f>
        <v>0</v>
      </c>
      <c r="Y30" s="61">
        <f>VLOOKUP(Table13[[#This Row],[Donor Name]],'Weighted scores by indicator'!$A$7:$AO$74,10,FALSE)</f>
        <v>0.2316435</v>
      </c>
      <c r="Z30" s="61">
        <f>VLOOKUP(Table13[[#This Row],[Donor Name]],'Weighted scores by indicator'!$A$7:$AO$74,11,FALSE)</f>
        <v>2.085</v>
      </c>
      <c r="AA30" s="61">
        <f>VLOOKUP(Table13[[#This Row],[Donor Name]],'Weighted scores by indicator'!$A$7:$AO$74,12,FALSE)</f>
        <v>2.085</v>
      </c>
      <c r="AB30" s="61">
        <f>VLOOKUP(Table13[[#This Row],[Donor Name]],'Weighted scores by indicator'!$A$7:$AO$74,13,FALSE)</f>
        <v>0.54327899999999996</v>
      </c>
      <c r="AC30" s="61">
        <f>VLOOKUP(Table13[[#This Row],[Donor Name]],'Weighted scores by indicator'!$A$7:$AO$74,14,FALSE)</f>
        <v>0.81499999999999995</v>
      </c>
      <c r="AD30" s="61">
        <f>VLOOKUP(Table13[[#This Row],[Donor Name]],'Weighted scores by indicator'!$A$7:$AO$74,15,FALSE)</f>
        <v>0.81499999999999995</v>
      </c>
      <c r="AE30" s="61">
        <f>VLOOKUP(Table13[[#This Row],[Donor Name]],'Weighted scores by indicator'!$A$7:$AO$74,16,FALSE)</f>
        <v>0.54327899999999996</v>
      </c>
      <c r="AF30" s="61">
        <f>VLOOKUP(Table13[[#This Row],[Donor Name]],'Weighted scores by indicator'!$A$7:$AO$74,17,FALSE)</f>
        <v>0.81499999999999995</v>
      </c>
      <c r="AG30" s="61">
        <f>VLOOKUP(Table13[[#This Row],[Donor Name]],'Weighted scores by indicator'!$A$7:$AO$74,18,FALSE)</f>
        <v>0</v>
      </c>
      <c r="AH30" s="61">
        <f>VLOOKUP(Table13[[#This Row],[Donor Name]],'Weighted scores by indicator'!$A$7:$AO$74,19,FALSE)</f>
        <v>0.54327899999999996</v>
      </c>
      <c r="AI30" s="61">
        <f>VLOOKUP(Table13[[#This Row],[Donor Name]],'Weighted scores by indicator'!$A$7:$AO$74,20,FALSE)</f>
        <v>0.54327899999999996</v>
      </c>
      <c r="AJ30" s="61">
        <f>VLOOKUP(Table13[[#This Row],[Donor Name]],'Weighted scores by indicator'!$A$7:$AO$74,21,FALSE)</f>
        <v>0.92999999999999905</v>
      </c>
      <c r="AK30" s="61">
        <f>VLOOKUP(Table13[[#This Row],[Donor Name]],'Weighted scores by indicator'!$A$7:$AO$74,22,FALSE)</f>
        <v>0.92999999999999905</v>
      </c>
      <c r="AL30" s="61">
        <f>VLOOKUP(Table13[[#This Row],[Donor Name]],'Weighted scores by indicator'!$A$7:$AO$74,23,FALSE)</f>
        <v>0.92999999999999905</v>
      </c>
      <c r="AM30" s="61">
        <f>VLOOKUP(Table13[[#This Row],[Donor Name]],'Weighted scores by indicator'!$A$7:$AO$74,24,FALSE)</f>
        <v>0.92999999999999905</v>
      </c>
      <c r="AN30" s="61">
        <f>VLOOKUP(Table13[[#This Row],[Donor Name]],'Weighted scores by indicator'!$A$7:$AO$74,25,FALSE)</f>
        <v>0.92999999999999905</v>
      </c>
      <c r="AO30" s="61">
        <f>VLOOKUP(Table13[[#This Row],[Donor Name]],'Weighted scores by indicator'!$A$7:$AO$74,26,FALSE)</f>
        <v>0.92999999999999905</v>
      </c>
      <c r="AP30" s="61">
        <f>VLOOKUP(Table13[[#This Row],[Donor Name]],'Weighted scores by indicator'!$A$7:$AO$74,27,FALSE)</f>
        <v>0.92999999999999905</v>
      </c>
      <c r="AQ30" s="61">
        <f>VLOOKUP(Table13[[#This Row],[Donor Name]],'Weighted scores by indicator'!$A$7:$AO$74,28,FALSE)</f>
        <v>0</v>
      </c>
      <c r="AR30" s="61">
        <f>VLOOKUP(Table13[[#This Row],[Donor Name]],'Weighted scores by indicator'!$A$7:$AO$74,29,FALSE)</f>
        <v>1.085</v>
      </c>
      <c r="AS30" s="61">
        <f>VLOOKUP(Table13[[#This Row],[Donor Name]],'Weighted scores by indicator'!$A$7:$AO$74,30,FALSE)</f>
        <v>0</v>
      </c>
      <c r="AT30" s="61">
        <f>VLOOKUP(Table13[[#This Row],[Donor Name]],'Weighted scores by indicator'!$A$7:$AO$74,31,FALSE)</f>
        <v>0</v>
      </c>
      <c r="AU30" s="61">
        <f>VLOOKUP(Table13[[#This Row],[Donor Name]],'Weighted scores by indicator'!$A$7:$AO$74,32,FALSE)</f>
        <v>1.085</v>
      </c>
      <c r="AV30" s="61">
        <f>VLOOKUP(Table13[[#This Row],[Donor Name]],'Weighted scores by indicator'!$A$7:$AO$74,33,FALSE)</f>
        <v>0</v>
      </c>
      <c r="AW30" s="61">
        <f>VLOOKUP(Table13[[#This Row],[Donor Name]],'Weighted scores by indicator'!$A$7:$AO$74,34,FALSE)</f>
        <v>0</v>
      </c>
      <c r="AX30" s="61">
        <f>VLOOKUP(Table13[[#This Row],[Donor Name]],'Weighted scores by indicator'!$A$7:$AO$74,35,FALSE)</f>
        <v>1.625</v>
      </c>
      <c r="AY30" s="61">
        <f>VLOOKUP(Table13[[#This Row],[Donor Name]],'Weighted scores by indicator'!$A$7:$AO$74,36,FALSE)</f>
        <v>0</v>
      </c>
      <c r="AZ30" s="61">
        <f>VLOOKUP(Table13[[#This Row],[Donor Name]],'Weighted scores by indicator'!$A$7:$AO$74,37,FALSE)</f>
        <v>0</v>
      </c>
      <c r="BA30" s="61">
        <f>VLOOKUP(Table13[[#This Row],[Donor Name]],'Weighted scores by indicator'!$A$7:$AO$74,38,FALSE)</f>
        <v>0</v>
      </c>
      <c r="BB30" s="61">
        <f>VLOOKUP(Table13[[#This Row],[Donor Name]],'Weighted scores by indicator'!$A$7:$AO$74,39,FALSE)</f>
        <v>0</v>
      </c>
      <c r="BC30" s="111">
        <f>VLOOKUP(Table13[[#This Row],[Donor Name]],'Weighted scores by indicator'!$A$7:$AO$74,40,FALSE)</f>
        <v>0</v>
      </c>
      <c r="BD30" s="61">
        <f>COUNTIF(Table13[[#This Row],[FOIA]:[Conditions]],"0")</f>
        <v>14</v>
      </c>
      <c r="BE30" s="61">
        <f>COUNTIF(Table13[[#This Row],[FOIA]:[Conditions]],"&gt;0")</f>
        <v>25</v>
      </c>
      <c r="BG30">
        <f>39-SUM(Table13[[#This Row],[No of indicators not scoring on]:[No of indicators scoring on]])</f>
        <v>0</v>
      </c>
    </row>
    <row r="31" spans="1:59" x14ac:dyDescent="0.25">
      <c r="A31" s="105" t="s">
        <v>2136</v>
      </c>
      <c r="B31" s="103" t="s">
        <v>2135</v>
      </c>
      <c r="C31" s="157">
        <f>VLOOKUP(Table13[[#This Row],[Donor Name]],'Overall scores and ranking'!$A$3:$D$72,2,FALSE)</f>
        <v>24.667978499999986</v>
      </c>
      <c r="D31" s="107">
        <f>VLOOKUP(Table13[[#This Row],[Donor Name]],'Overall scores and ranking'!$A$3:$D$72,3,FALSE)</f>
        <v>44</v>
      </c>
      <c r="E31" s="107">
        <f>RANK(Table13[[#This Row],[Overall Score]],Table13[Overall Score],0)</f>
        <v>28</v>
      </c>
      <c r="F31" s="61" t="str">
        <f>VLOOKUP(Table13[[#This Row],[Donor Name]],'Overall scores and ranking'!$A$3:$D$72,4,FALSE)</f>
        <v>Poor</v>
      </c>
      <c r="G31" s="109">
        <f>VLOOKUP(Table13[[#This Row],[Donor Name]],'Wtd - IATI vs Others'!$A$5:$D$72,2,FALSE)</f>
        <v>0</v>
      </c>
      <c r="H31" s="61">
        <f>VLOOKUP(Table13[[#This Row],[Donor Name]],'Wtd - IATI vs Others'!$A$5:$D$72,3,FALSE)</f>
        <v>24.667978499999986</v>
      </c>
      <c r="I31" s="61">
        <f>VLOOKUP(Table13[[#This Row],[Donor Name]],'Wtd scores by sub-groups'!$A$5:$K$72,2,FALSE)</f>
        <v>4.3619669999999999</v>
      </c>
      <c r="J31" s="61">
        <f>VLOOKUP(Table13[[#This Row],[Donor Name]],'Wtd scores by sub-groups'!$A$5:$K$72,3,FALSE)</f>
        <v>6.25</v>
      </c>
      <c r="K31" s="61">
        <f>VLOOKUP(Table13[[#This Row],[Donor Name]],'Wtd scores by sub-groups'!$A$5:$K$72,4,FALSE)</f>
        <v>2.085</v>
      </c>
      <c r="L31" s="61">
        <f>VLOOKUP(Table13[[#This Row],[Donor Name]],'Wtd scores by sub-groups'!$A$5:$K$72,5,FALSE)</f>
        <v>2.9880344999999999</v>
      </c>
      <c r="M31" s="61">
        <f>VLOOKUP(Table13[[#This Row],[Donor Name]],'Wtd scores by sub-groups'!$A$5:$K$72,6,FALSE)</f>
        <v>2.4797519999999951</v>
      </c>
      <c r="N31" s="61">
        <f>VLOOKUP(Table13[[#This Row],[Donor Name]],'Wtd scores by sub-groups'!$A$5:$K$72,7,FALSE)</f>
        <v>3.2549999999999999</v>
      </c>
      <c r="O31" s="61">
        <f>VLOOKUP(Table13[[#This Row],[Donor Name]],'Wtd scores by sub-groups'!$A$5:$K$72,8,FALSE)</f>
        <v>1.0832249999999899</v>
      </c>
      <c r="P31" s="61">
        <f>VLOOKUP(Table13[[#This Row],[Donor Name]],'Wtd scores by sub-groups'!$A$5:$K$72,9,FALSE)</f>
        <v>2.165</v>
      </c>
      <c r="Q31" s="61">
        <f>VLOOKUP(Table13[[#This Row],[Donor Name]],'Weighted scores by indicator'!$A$7:$AO$74,2,FALSE)</f>
        <v>2.2197779999999998</v>
      </c>
      <c r="R31" s="61">
        <f>VLOOKUP(Table13[[#This Row],[Donor Name]],'Weighted scores by indicator'!$A$7:$AO$74,3,FALSE)</f>
        <v>1.0323</v>
      </c>
      <c r="S31" s="61">
        <f>VLOOKUP(Table13[[#This Row],[Donor Name]],'Weighted scores by indicator'!$A$7:$AO$74,4,FALSE)</f>
        <v>1.1098889999999999</v>
      </c>
      <c r="T31" s="61">
        <f>VLOOKUP(Table13[[#This Row],[Donor Name]],'Weighted scores by indicator'!$A$7:$AO$74,5,FALSE)</f>
        <v>1.25</v>
      </c>
      <c r="U31" s="61">
        <f>VLOOKUP(Table13[[#This Row],[Donor Name]],'Weighted scores by indicator'!$A$7:$AO$74,6,FALSE)</f>
        <v>1.25</v>
      </c>
      <c r="V31" s="61">
        <f>VLOOKUP(Table13[[#This Row],[Donor Name]],'Weighted scores by indicator'!$A$7:$AO$74,7,FALSE)</f>
        <v>1.25</v>
      </c>
      <c r="W31" s="61">
        <f>VLOOKUP(Table13[[#This Row],[Donor Name]],'Weighted scores by indicator'!$A$7:$AO$74,8,FALSE)</f>
        <v>1.25</v>
      </c>
      <c r="X31" s="61">
        <f>VLOOKUP(Table13[[#This Row],[Donor Name]],'Weighted scores by indicator'!$A$7:$AO$74,9,FALSE)</f>
        <v>1.25</v>
      </c>
      <c r="Y31" s="61">
        <f>VLOOKUP(Table13[[#This Row],[Donor Name]],'Weighted scores by indicator'!$A$7:$AO$74,10,FALSE)</f>
        <v>0</v>
      </c>
      <c r="Z31" s="61">
        <f>VLOOKUP(Table13[[#This Row],[Donor Name]],'Weighted scores by indicator'!$A$7:$AO$74,11,FALSE)</f>
        <v>0</v>
      </c>
      <c r="AA31" s="61">
        <f>VLOOKUP(Table13[[#This Row],[Donor Name]],'Weighted scores by indicator'!$A$7:$AO$74,12,FALSE)</f>
        <v>2.085</v>
      </c>
      <c r="AB31" s="61">
        <f>VLOOKUP(Table13[[#This Row],[Donor Name]],'Weighted scores by indicator'!$A$7:$AO$74,13,FALSE)</f>
        <v>0.54327899999999996</v>
      </c>
      <c r="AC31" s="61">
        <f>VLOOKUP(Table13[[#This Row],[Donor Name]],'Weighted scores by indicator'!$A$7:$AO$74,14,FALSE)</f>
        <v>0.54327899999999996</v>
      </c>
      <c r="AD31" s="61">
        <f>VLOOKUP(Table13[[#This Row],[Donor Name]],'Weighted scores by indicator'!$A$7:$AO$74,15,FALSE)</f>
        <v>0.54327899999999996</v>
      </c>
      <c r="AE31" s="61">
        <f>VLOOKUP(Table13[[#This Row],[Donor Name]],'Weighted scores by indicator'!$A$7:$AO$74,16,FALSE)</f>
        <v>0.27163949999999998</v>
      </c>
      <c r="AF31" s="61">
        <f>VLOOKUP(Table13[[#This Row],[Donor Name]],'Weighted scores by indicator'!$A$7:$AO$74,17,FALSE)</f>
        <v>0</v>
      </c>
      <c r="AG31" s="61">
        <f>VLOOKUP(Table13[[#This Row],[Donor Name]],'Weighted scores by indicator'!$A$7:$AO$74,18,FALSE)</f>
        <v>0</v>
      </c>
      <c r="AH31" s="61">
        <f>VLOOKUP(Table13[[#This Row],[Donor Name]],'Weighted scores by indicator'!$A$7:$AO$74,19,FALSE)</f>
        <v>0.54327899999999996</v>
      </c>
      <c r="AI31" s="61">
        <f>VLOOKUP(Table13[[#This Row],[Donor Name]],'Weighted scores by indicator'!$A$7:$AO$74,20,FALSE)</f>
        <v>0.54327899999999996</v>
      </c>
      <c r="AJ31" s="61">
        <f>VLOOKUP(Table13[[#This Row],[Donor Name]],'Weighted scores by indicator'!$A$7:$AO$74,21,FALSE)</f>
        <v>0</v>
      </c>
      <c r="AK31" s="61">
        <f>VLOOKUP(Table13[[#This Row],[Donor Name]],'Weighted scores by indicator'!$A$7:$AO$74,22,FALSE)</f>
        <v>0</v>
      </c>
      <c r="AL31" s="61">
        <f>VLOOKUP(Table13[[#This Row],[Donor Name]],'Weighted scores by indicator'!$A$7:$AO$74,23,FALSE)</f>
        <v>0.309968999999999</v>
      </c>
      <c r="AM31" s="61">
        <f>VLOOKUP(Table13[[#This Row],[Donor Name]],'Weighted scores by indicator'!$A$7:$AO$74,24,FALSE)</f>
        <v>0.309968999999999</v>
      </c>
      <c r="AN31" s="61">
        <f>VLOOKUP(Table13[[#This Row],[Donor Name]],'Weighted scores by indicator'!$A$7:$AO$74,25,FALSE)</f>
        <v>0.61993799999999899</v>
      </c>
      <c r="AO31" s="61">
        <f>VLOOKUP(Table13[[#This Row],[Donor Name]],'Weighted scores by indicator'!$A$7:$AO$74,26,FALSE)</f>
        <v>0.61993799999999899</v>
      </c>
      <c r="AP31" s="61">
        <f>VLOOKUP(Table13[[#This Row],[Donor Name]],'Weighted scores by indicator'!$A$7:$AO$74,27,FALSE)</f>
        <v>0.61993799999999899</v>
      </c>
      <c r="AQ31" s="61">
        <f>VLOOKUP(Table13[[#This Row],[Donor Name]],'Weighted scores by indicator'!$A$7:$AO$74,28,FALSE)</f>
        <v>0</v>
      </c>
      <c r="AR31" s="61">
        <f>VLOOKUP(Table13[[#This Row],[Donor Name]],'Weighted scores by indicator'!$A$7:$AO$74,29,FALSE)</f>
        <v>1.085</v>
      </c>
      <c r="AS31" s="61">
        <f>VLOOKUP(Table13[[#This Row],[Donor Name]],'Weighted scores by indicator'!$A$7:$AO$74,30,FALSE)</f>
        <v>1.085</v>
      </c>
      <c r="AT31" s="61">
        <f>VLOOKUP(Table13[[#This Row],[Donor Name]],'Weighted scores by indicator'!$A$7:$AO$74,31,FALSE)</f>
        <v>0</v>
      </c>
      <c r="AU31" s="61">
        <f>VLOOKUP(Table13[[#This Row],[Donor Name]],'Weighted scores by indicator'!$A$7:$AO$74,32,FALSE)</f>
        <v>0</v>
      </c>
      <c r="AV31" s="61">
        <f>VLOOKUP(Table13[[#This Row],[Donor Name]],'Weighted scores by indicator'!$A$7:$AO$74,33,FALSE)</f>
        <v>1.085</v>
      </c>
      <c r="AW31" s="61">
        <f>VLOOKUP(Table13[[#This Row],[Donor Name]],'Weighted scores by indicator'!$A$7:$AO$74,34,FALSE)</f>
        <v>0</v>
      </c>
      <c r="AX31" s="61">
        <f>VLOOKUP(Table13[[#This Row],[Donor Name]],'Weighted scores by indicator'!$A$7:$AO$74,35,FALSE)</f>
        <v>1.0832249999999899</v>
      </c>
      <c r="AY31" s="61">
        <f>VLOOKUP(Table13[[#This Row],[Donor Name]],'Weighted scores by indicator'!$A$7:$AO$74,36,FALSE)</f>
        <v>0</v>
      </c>
      <c r="AZ31" s="61">
        <f>VLOOKUP(Table13[[#This Row],[Donor Name]],'Weighted scores by indicator'!$A$7:$AO$74,37,FALSE)</f>
        <v>0</v>
      </c>
      <c r="BA31" s="61">
        <f>VLOOKUP(Table13[[#This Row],[Donor Name]],'Weighted scores by indicator'!$A$7:$AO$74,38,FALSE)</f>
        <v>0</v>
      </c>
      <c r="BB31" s="61">
        <f>VLOOKUP(Table13[[#This Row],[Donor Name]],'Weighted scores by indicator'!$A$7:$AO$74,39,FALSE)</f>
        <v>2.165</v>
      </c>
      <c r="BC31" s="111">
        <f>VLOOKUP(Table13[[#This Row],[Donor Name]],'Weighted scores by indicator'!$A$7:$AO$74,40,FALSE)</f>
        <v>0</v>
      </c>
      <c r="BD31" s="61">
        <f>COUNTIF(Table13[[#This Row],[FOIA]:[Conditions]],"0")</f>
        <v>14</v>
      </c>
      <c r="BE31" s="61">
        <f>COUNTIF(Table13[[#This Row],[FOIA]:[Conditions]],"&gt;0")</f>
        <v>25</v>
      </c>
      <c r="BG31">
        <f>39-SUM(Table13[[#This Row],[No of indicators not scoring on]:[No of indicators scoring on]])</f>
        <v>0</v>
      </c>
    </row>
    <row r="32" spans="1:59" x14ac:dyDescent="0.25">
      <c r="A32" s="105" t="s">
        <v>29</v>
      </c>
      <c r="B32" s="103" t="s">
        <v>28</v>
      </c>
      <c r="C32" s="157">
        <f>VLOOKUP(Table13[[#This Row],[Donor Name]],'Overall scores and ranking'!$A$3:$D$72,2,FALSE)</f>
        <v>19.072684999999986</v>
      </c>
      <c r="D32" s="107">
        <f>VLOOKUP(Table13[[#This Row],[Donor Name]],'Overall scores and ranking'!$A$3:$D$72,3,FALSE)</f>
        <v>47</v>
      </c>
      <c r="E32" s="107">
        <f>RANK(Table13[[#This Row],[Overall Score]],Table13[Overall Score],0)</f>
        <v>29</v>
      </c>
      <c r="F32" s="61" t="str">
        <f>VLOOKUP(Table13[[#This Row],[Donor Name]],'Overall scores and ranking'!$A$3:$D$72,4,FALSE)</f>
        <v>Very Poor</v>
      </c>
      <c r="G32" s="109">
        <f>VLOOKUP(Table13[[#This Row],[Donor Name]],'Wtd - IATI vs Others'!$A$5:$D$72,2,FALSE)</f>
        <v>0</v>
      </c>
      <c r="H32" s="61">
        <f>VLOOKUP(Table13[[#This Row],[Donor Name]],'Wtd - IATI vs Others'!$A$5:$D$72,3,FALSE)</f>
        <v>19.072684999999986</v>
      </c>
      <c r="I32" s="61">
        <f>VLOOKUP(Table13[[#This Row],[Donor Name]],'Wtd scores by sub-groups'!$A$5:$K$72,2,FALSE)</f>
        <v>2.2197779999999998</v>
      </c>
      <c r="J32" s="61">
        <f>VLOOKUP(Table13[[#This Row],[Donor Name]],'Wtd scores by sub-groups'!$A$5:$K$72,3,FALSE)</f>
        <v>6.25</v>
      </c>
      <c r="K32" s="61">
        <f>VLOOKUP(Table13[[#This Row],[Donor Name]],'Wtd scores by sub-groups'!$A$5:$K$72,4,FALSE)</f>
        <v>4.6332870000000002</v>
      </c>
      <c r="L32" s="61">
        <f>VLOOKUP(Table13[[#This Row],[Donor Name]],'Wtd scores by sub-groups'!$A$5:$K$72,5,FALSE)</f>
        <v>2.7163949999999999</v>
      </c>
      <c r="M32" s="61">
        <f>VLOOKUP(Table13[[#This Row],[Donor Name]],'Wtd scores by sub-groups'!$A$5:$K$72,6,FALSE)</f>
        <v>0</v>
      </c>
      <c r="N32" s="61">
        <f>VLOOKUP(Table13[[#This Row],[Donor Name]],'Wtd scores by sub-groups'!$A$5:$K$72,7,FALSE)</f>
        <v>2.17</v>
      </c>
      <c r="O32" s="61">
        <f>VLOOKUP(Table13[[#This Row],[Donor Name]],'Wtd scores by sub-groups'!$A$5:$K$72,8,FALSE)</f>
        <v>1.0832249999999899</v>
      </c>
      <c r="P32" s="61">
        <f>VLOOKUP(Table13[[#This Row],[Donor Name]],'Wtd scores by sub-groups'!$A$5:$K$72,9,FALSE)</f>
        <v>0</v>
      </c>
      <c r="Q32" s="61">
        <f>VLOOKUP(Table13[[#This Row],[Donor Name]],'Weighted scores by indicator'!$A$7:$AO$74,2,FALSE)</f>
        <v>1.1098889999999999</v>
      </c>
      <c r="R32" s="61">
        <f>VLOOKUP(Table13[[#This Row],[Donor Name]],'Weighted scores by indicator'!$A$7:$AO$74,3,FALSE)</f>
        <v>0</v>
      </c>
      <c r="S32" s="61">
        <f>VLOOKUP(Table13[[#This Row],[Donor Name]],'Weighted scores by indicator'!$A$7:$AO$74,4,FALSE)</f>
        <v>1.1098889999999999</v>
      </c>
      <c r="T32" s="61">
        <f>VLOOKUP(Table13[[#This Row],[Donor Name]],'Weighted scores by indicator'!$A$7:$AO$74,5,FALSE)</f>
        <v>1.25</v>
      </c>
      <c r="U32" s="61">
        <f>VLOOKUP(Table13[[#This Row],[Donor Name]],'Weighted scores by indicator'!$A$7:$AO$74,6,FALSE)</f>
        <v>1.25</v>
      </c>
      <c r="V32" s="61">
        <f>VLOOKUP(Table13[[#This Row],[Donor Name]],'Weighted scores by indicator'!$A$7:$AO$74,7,FALSE)</f>
        <v>1.25</v>
      </c>
      <c r="W32" s="61">
        <f>VLOOKUP(Table13[[#This Row],[Donor Name]],'Weighted scores by indicator'!$A$7:$AO$74,8,FALSE)</f>
        <v>1.25</v>
      </c>
      <c r="X32" s="61">
        <f>VLOOKUP(Table13[[#This Row],[Donor Name]],'Weighted scores by indicator'!$A$7:$AO$74,9,FALSE)</f>
        <v>1.25</v>
      </c>
      <c r="Y32" s="61">
        <f>VLOOKUP(Table13[[#This Row],[Donor Name]],'Weighted scores by indicator'!$A$7:$AO$74,10,FALSE)</f>
        <v>0.463287</v>
      </c>
      <c r="Z32" s="61">
        <f>VLOOKUP(Table13[[#This Row],[Donor Name]],'Weighted scores by indicator'!$A$7:$AO$74,11,FALSE)</f>
        <v>2.085</v>
      </c>
      <c r="AA32" s="61">
        <f>VLOOKUP(Table13[[#This Row],[Donor Name]],'Weighted scores by indicator'!$A$7:$AO$74,12,FALSE)</f>
        <v>2.085</v>
      </c>
      <c r="AB32" s="61">
        <f>VLOOKUP(Table13[[#This Row],[Donor Name]],'Weighted scores by indicator'!$A$7:$AO$74,13,FALSE)</f>
        <v>0.54327899999999996</v>
      </c>
      <c r="AC32" s="61">
        <f>VLOOKUP(Table13[[#This Row],[Donor Name]],'Weighted scores by indicator'!$A$7:$AO$74,14,FALSE)</f>
        <v>0.54327899999999996</v>
      </c>
      <c r="AD32" s="61">
        <f>VLOOKUP(Table13[[#This Row],[Donor Name]],'Weighted scores by indicator'!$A$7:$AO$74,15,FALSE)</f>
        <v>0.54327899999999996</v>
      </c>
      <c r="AE32" s="61">
        <f>VLOOKUP(Table13[[#This Row],[Donor Name]],'Weighted scores by indicator'!$A$7:$AO$74,16,FALSE)</f>
        <v>0.54327899999999996</v>
      </c>
      <c r="AF32" s="61">
        <f>VLOOKUP(Table13[[#This Row],[Donor Name]],'Weighted scores by indicator'!$A$7:$AO$74,17,FALSE)</f>
        <v>0</v>
      </c>
      <c r="AG32" s="61">
        <f>VLOOKUP(Table13[[#This Row],[Donor Name]],'Weighted scores by indicator'!$A$7:$AO$74,18,FALSE)</f>
        <v>0</v>
      </c>
      <c r="AH32" s="61">
        <f>VLOOKUP(Table13[[#This Row],[Donor Name]],'Weighted scores by indicator'!$A$7:$AO$74,19,FALSE)</f>
        <v>0</v>
      </c>
      <c r="AI32" s="61">
        <f>VLOOKUP(Table13[[#This Row],[Donor Name]],'Weighted scores by indicator'!$A$7:$AO$74,20,FALSE)</f>
        <v>0.54327899999999996</v>
      </c>
      <c r="AJ32" s="61">
        <f>VLOOKUP(Table13[[#This Row],[Donor Name]],'Weighted scores by indicator'!$A$7:$AO$74,21,FALSE)</f>
        <v>0</v>
      </c>
      <c r="AK32" s="61">
        <f>VLOOKUP(Table13[[#This Row],[Donor Name]],'Weighted scores by indicator'!$A$7:$AO$74,22,FALSE)</f>
        <v>0</v>
      </c>
      <c r="AL32" s="61">
        <f>VLOOKUP(Table13[[#This Row],[Donor Name]],'Weighted scores by indicator'!$A$7:$AO$74,23,FALSE)</f>
        <v>0</v>
      </c>
      <c r="AM32" s="61">
        <f>VLOOKUP(Table13[[#This Row],[Donor Name]],'Weighted scores by indicator'!$A$7:$AO$74,24,FALSE)</f>
        <v>0</v>
      </c>
      <c r="AN32" s="61">
        <f>VLOOKUP(Table13[[#This Row],[Donor Name]],'Weighted scores by indicator'!$A$7:$AO$74,25,FALSE)</f>
        <v>0</v>
      </c>
      <c r="AO32" s="61">
        <f>VLOOKUP(Table13[[#This Row],[Donor Name]],'Weighted scores by indicator'!$A$7:$AO$74,26,FALSE)</f>
        <v>0</v>
      </c>
      <c r="AP32" s="61">
        <f>VLOOKUP(Table13[[#This Row],[Donor Name]],'Weighted scores by indicator'!$A$7:$AO$74,27,FALSE)</f>
        <v>0</v>
      </c>
      <c r="AQ32" s="61">
        <f>VLOOKUP(Table13[[#This Row],[Donor Name]],'Weighted scores by indicator'!$A$7:$AO$74,28,FALSE)</f>
        <v>0</v>
      </c>
      <c r="AR32" s="61">
        <f>VLOOKUP(Table13[[#This Row],[Donor Name]],'Weighted scores by indicator'!$A$7:$AO$74,29,FALSE)</f>
        <v>1.085</v>
      </c>
      <c r="AS32" s="61">
        <f>VLOOKUP(Table13[[#This Row],[Donor Name]],'Weighted scores by indicator'!$A$7:$AO$74,30,FALSE)</f>
        <v>0</v>
      </c>
      <c r="AT32" s="61">
        <f>VLOOKUP(Table13[[#This Row],[Donor Name]],'Weighted scores by indicator'!$A$7:$AO$74,31,FALSE)</f>
        <v>0</v>
      </c>
      <c r="AU32" s="61">
        <f>VLOOKUP(Table13[[#This Row],[Donor Name]],'Weighted scores by indicator'!$A$7:$AO$74,32,FALSE)</f>
        <v>0</v>
      </c>
      <c r="AV32" s="61">
        <f>VLOOKUP(Table13[[#This Row],[Donor Name]],'Weighted scores by indicator'!$A$7:$AO$74,33,FALSE)</f>
        <v>1.085</v>
      </c>
      <c r="AW32" s="61">
        <f>VLOOKUP(Table13[[#This Row],[Donor Name]],'Weighted scores by indicator'!$A$7:$AO$74,34,FALSE)</f>
        <v>0</v>
      </c>
      <c r="AX32" s="61">
        <f>VLOOKUP(Table13[[#This Row],[Donor Name]],'Weighted scores by indicator'!$A$7:$AO$74,35,FALSE)</f>
        <v>1.0832249999999899</v>
      </c>
      <c r="AY32" s="61">
        <f>VLOOKUP(Table13[[#This Row],[Donor Name]],'Weighted scores by indicator'!$A$7:$AO$74,36,FALSE)</f>
        <v>0</v>
      </c>
      <c r="AZ32" s="61">
        <f>VLOOKUP(Table13[[#This Row],[Donor Name]],'Weighted scores by indicator'!$A$7:$AO$74,37,FALSE)</f>
        <v>0</v>
      </c>
      <c r="BA32" s="61">
        <f>VLOOKUP(Table13[[#This Row],[Donor Name]],'Weighted scores by indicator'!$A$7:$AO$74,38,FALSE)</f>
        <v>0</v>
      </c>
      <c r="BB32" s="61">
        <f>VLOOKUP(Table13[[#This Row],[Donor Name]],'Weighted scores by indicator'!$A$7:$AO$74,39,FALSE)</f>
        <v>0</v>
      </c>
      <c r="BC32" s="111">
        <f>VLOOKUP(Table13[[#This Row],[Donor Name]],'Weighted scores by indicator'!$A$7:$AO$74,40,FALSE)</f>
        <v>0</v>
      </c>
      <c r="BD32" s="61">
        <f>COUNTIF(Table13[[#This Row],[FOIA]:[Conditions]],"0")</f>
        <v>21</v>
      </c>
      <c r="BE32" s="61">
        <f>COUNTIF(Table13[[#This Row],[FOIA]:[Conditions]],"&gt;0")</f>
        <v>18</v>
      </c>
      <c r="BG32">
        <f>39-SUM(Table13[[#This Row],[No of indicators not scoring on]:[No of indicators scoring on]])</f>
        <v>0</v>
      </c>
    </row>
    <row r="33" spans="1:59" x14ac:dyDescent="0.25">
      <c r="A33" s="104" t="s">
        <v>664</v>
      </c>
      <c r="B33" s="102" t="s">
        <v>663</v>
      </c>
      <c r="C33" s="157">
        <f>VLOOKUP(Table13[[#This Row],[Donor Name]],'Overall scores and ranking'!$A$3:$D$72,2,FALSE)</f>
        <v>19.032905999999997</v>
      </c>
      <c r="D33" s="107">
        <f>VLOOKUP(Table13[[#This Row],[Donor Name]],'Overall scores and ranking'!$A$3:$D$72,3,FALSE)</f>
        <v>48</v>
      </c>
      <c r="E33" s="107">
        <f>RANK(Table13[[#This Row],[Overall Score]],Table13[Overall Score],0)</f>
        <v>30</v>
      </c>
      <c r="F33" s="61" t="str">
        <f>VLOOKUP(Table13[[#This Row],[Donor Name]],'Overall scores and ranking'!$A$3:$D$72,4,FALSE)</f>
        <v>Very Poor</v>
      </c>
      <c r="G33" s="109">
        <f>VLOOKUP(Table13[[#This Row],[Donor Name]],'Wtd - IATI vs Others'!$A$5:$D$72,2,FALSE)</f>
        <v>0</v>
      </c>
      <c r="H33" s="61">
        <f>VLOOKUP(Table13[[#This Row],[Donor Name]],'Wtd - IATI vs Others'!$A$5:$D$72,3,FALSE)</f>
        <v>19.032905999999997</v>
      </c>
      <c r="I33" s="61">
        <f>VLOOKUP(Table13[[#This Row],[Donor Name]],'Wtd scores by sub-groups'!$A$5:$K$72,2,FALSE)</f>
        <v>2.2197779999999998</v>
      </c>
      <c r="J33" s="61">
        <f>VLOOKUP(Table13[[#This Row],[Donor Name]],'Wtd scores by sub-groups'!$A$5:$K$72,3,FALSE)</f>
        <v>5</v>
      </c>
      <c r="K33" s="61">
        <f>VLOOKUP(Table13[[#This Row],[Donor Name]],'Wtd scores by sub-groups'!$A$5:$K$72,4,FALSE)</f>
        <v>2.7799305000000003</v>
      </c>
      <c r="L33" s="61">
        <f>VLOOKUP(Table13[[#This Row],[Donor Name]],'Wtd scores by sub-groups'!$A$5:$K$72,5,FALSE)</f>
        <v>4.6181975</v>
      </c>
      <c r="M33" s="61">
        <f>VLOOKUP(Table13[[#This Row],[Donor Name]],'Wtd scores by sub-groups'!$A$5:$K$72,6,FALSE)</f>
        <v>2.7899999999999974</v>
      </c>
      <c r="N33" s="61">
        <f>VLOOKUP(Table13[[#This Row],[Donor Name]],'Wtd scores by sub-groups'!$A$5:$K$72,7,FALSE)</f>
        <v>0</v>
      </c>
      <c r="O33" s="61">
        <f>VLOOKUP(Table13[[#This Row],[Donor Name]],'Wtd scores by sub-groups'!$A$5:$K$72,8,FALSE)</f>
        <v>1.625</v>
      </c>
      <c r="P33" s="61">
        <f>VLOOKUP(Table13[[#This Row],[Donor Name]],'Wtd scores by sub-groups'!$A$5:$K$72,9,FALSE)</f>
        <v>0</v>
      </c>
      <c r="Q33" s="61">
        <f>VLOOKUP(Table13[[#This Row],[Donor Name]],'Weighted scores by indicator'!$A$7:$AO$74,2,FALSE)</f>
        <v>2.2197779999999998</v>
      </c>
      <c r="R33" s="61">
        <f>VLOOKUP(Table13[[#This Row],[Donor Name]],'Weighted scores by indicator'!$A$7:$AO$74,3,FALSE)</f>
        <v>0</v>
      </c>
      <c r="S33" s="61">
        <f>VLOOKUP(Table13[[#This Row],[Donor Name]],'Weighted scores by indicator'!$A$7:$AO$74,4,FALSE)</f>
        <v>0</v>
      </c>
      <c r="T33" s="61">
        <f>VLOOKUP(Table13[[#This Row],[Donor Name]],'Weighted scores by indicator'!$A$7:$AO$74,5,FALSE)</f>
        <v>1.25</v>
      </c>
      <c r="U33" s="61">
        <f>VLOOKUP(Table13[[#This Row],[Donor Name]],'Weighted scores by indicator'!$A$7:$AO$74,6,FALSE)</f>
        <v>1.25</v>
      </c>
      <c r="V33" s="61">
        <f>VLOOKUP(Table13[[#This Row],[Donor Name]],'Weighted scores by indicator'!$A$7:$AO$74,7,FALSE)</f>
        <v>1.25</v>
      </c>
      <c r="W33" s="61">
        <f>VLOOKUP(Table13[[#This Row],[Donor Name]],'Weighted scores by indicator'!$A$7:$AO$74,8,FALSE)</f>
        <v>1.25</v>
      </c>
      <c r="X33" s="61">
        <f>VLOOKUP(Table13[[#This Row],[Donor Name]],'Weighted scores by indicator'!$A$7:$AO$74,9,FALSE)</f>
        <v>0</v>
      </c>
      <c r="Y33" s="61">
        <f>VLOOKUP(Table13[[#This Row],[Donor Name]],'Weighted scores by indicator'!$A$7:$AO$74,10,FALSE)</f>
        <v>0.463287</v>
      </c>
      <c r="Z33" s="61">
        <f>VLOOKUP(Table13[[#This Row],[Donor Name]],'Weighted scores by indicator'!$A$7:$AO$74,11,FALSE)</f>
        <v>0.2316435</v>
      </c>
      <c r="AA33" s="61">
        <f>VLOOKUP(Table13[[#This Row],[Donor Name]],'Weighted scores by indicator'!$A$7:$AO$74,12,FALSE)</f>
        <v>2.085</v>
      </c>
      <c r="AB33" s="61">
        <f>VLOOKUP(Table13[[#This Row],[Donor Name]],'Weighted scores by indicator'!$A$7:$AO$74,13,FALSE)</f>
        <v>0.81499999999999995</v>
      </c>
      <c r="AC33" s="61">
        <f>VLOOKUP(Table13[[#This Row],[Donor Name]],'Weighted scores by indicator'!$A$7:$AO$74,14,FALSE)</f>
        <v>0.54327899999999996</v>
      </c>
      <c r="AD33" s="61">
        <f>VLOOKUP(Table13[[#This Row],[Donor Name]],'Weighted scores by indicator'!$A$7:$AO$74,15,FALSE)</f>
        <v>0.81499999999999995</v>
      </c>
      <c r="AE33" s="61">
        <f>VLOOKUP(Table13[[#This Row],[Donor Name]],'Weighted scores by indicator'!$A$7:$AO$74,16,FALSE)</f>
        <v>0.81499999999999995</v>
      </c>
      <c r="AF33" s="61">
        <f>VLOOKUP(Table13[[#This Row],[Donor Name]],'Weighted scores by indicator'!$A$7:$AO$74,17,FALSE)</f>
        <v>0.81499999999999995</v>
      </c>
      <c r="AG33" s="61">
        <f>VLOOKUP(Table13[[#This Row],[Donor Name]],'Weighted scores by indicator'!$A$7:$AO$74,18,FALSE)</f>
        <v>0</v>
      </c>
      <c r="AH33" s="61">
        <f>VLOOKUP(Table13[[#This Row],[Donor Name]],'Weighted scores by indicator'!$A$7:$AO$74,19,FALSE)</f>
        <v>0.27163949999999998</v>
      </c>
      <c r="AI33" s="61">
        <f>VLOOKUP(Table13[[#This Row],[Donor Name]],'Weighted scores by indicator'!$A$7:$AO$74,20,FALSE)</f>
        <v>0.54327899999999996</v>
      </c>
      <c r="AJ33" s="61">
        <f>VLOOKUP(Table13[[#This Row],[Donor Name]],'Weighted scores by indicator'!$A$7:$AO$74,21,FALSE)</f>
        <v>0.92999999999999905</v>
      </c>
      <c r="AK33" s="61">
        <f>VLOOKUP(Table13[[#This Row],[Donor Name]],'Weighted scores by indicator'!$A$7:$AO$74,22,FALSE)</f>
        <v>0</v>
      </c>
      <c r="AL33" s="61">
        <f>VLOOKUP(Table13[[#This Row],[Donor Name]],'Weighted scores by indicator'!$A$7:$AO$74,23,FALSE)</f>
        <v>0.92999999999999905</v>
      </c>
      <c r="AM33" s="61">
        <f>VLOOKUP(Table13[[#This Row],[Donor Name]],'Weighted scores by indicator'!$A$7:$AO$74,24,FALSE)</f>
        <v>0</v>
      </c>
      <c r="AN33" s="61">
        <f>VLOOKUP(Table13[[#This Row],[Donor Name]],'Weighted scores by indicator'!$A$7:$AO$74,25,FALSE)</f>
        <v>0.92999999999999905</v>
      </c>
      <c r="AO33" s="61">
        <f>VLOOKUP(Table13[[#This Row],[Donor Name]],'Weighted scores by indicator'!$A$7:$AO$74,26,FALSE)</f>
        <v>0</v>
      </c>
      <c r="AP33" s="61">
        <f>VLOOKUP(Table13[[#This Row],[Donor Name]],'Weighted scores by indicator'!$A$7:$AO$74,27,FALSE)</f>
        <v>0</v>
      </c>
      <c r="AQ33" s="61">
        <f>VLOOKUP(Table13[[#This Row],[Donor Name]],'Weighted scores by indicator'!$A$7:$AO$74,28,FALSE)</f>
        <v>0</v>
      </c>
      <c r="AR33" s="61">
        <f>VLOOKUP(Table13[[#This Row],[Donor Name]],'Weighted scores by indicator'!$A$7:$AO$74,29,FALSE)</f>
        <v>0</v>
      </c>
      <c r="AS33" s="61">
        <f>VLOOKUP(Table13[[#This Row],[Donor Name]],'Weighted scores by indicator'!$A$7:$AO$74,30,FALSE)</f>
        <v>0</v>
      </c>
      <c r="AT33" s="61">
        <f>VLOOKUP(Table13[[#This Row],[Donor Name]],'Weighted scores by indicator'!$A$7:$AO$74,31,FALSE)</f>
        <v>0</v>
      </c>
      <c r="AU33" s="61">
        <f>VLOOKUP(Table13[[#This Row],[Donor Name]],'Weighted scores by indicator'!$A$7:$AO$74,32,FALSE)</f>
        <v>0</v>
      </c>
      <c r="AV33" s="61">
        <f>VLOOKUP(Table13[[#This Row],[Donor Name]],'Weighted scores by indicator'!$A$7:$AO$74,33,FALSE)</f>
        <v>0</v>
      </c>
      <c r="AW33" s="61">
        <f>VLOOKUP(Table13[[#This Row],[Donor Name]],'Weighted scores by indicator'!$A$7:$AO$74,34,FALSE)</f>
        <v>0</v>
      </c>
      <c r="AX33" s="61">
        <f>VLOOKUP(Table13[[#This Row],[Donor Name]],'Weighted scores by indicator'!$A$7:$AO$74,35,FALSE)</f>
        <v>1.625</v>
      </c>
      <c r="AY33" s="61">
        <f>VLOOKUP(Table13[[#This Row],[Donor Name]],'Weighted scores by indicator'!$A$7:$AO$74,36,FALSE)</f>
        <v>0</v>
      </c>
      <c r="AZ33" s="61">
        <f>VLOOKUP(Table13[[#This Row],[Donor Name]],'Weighted scores by indicator'!$A$7:$AO$74,37,FALSE)</f>
        <v>0</v>
      </c>
      <c r="BA33" s="61">
        <f>VLOOKUP(Table13[[#This Row],[Donor Name]],'Weighted scores by indicator'!$A$7:$AO$74,38,FALSE)</f>
        <v>0</v>
      </c>
      <c r="BB33" s="61">
        <f>VLOOKUP(Table13[[#This Row],[Donor Name]],'Weighted scores by indicator'!$A$7:$AO$74,39,FALSE)</f>
        <v>0</v>
      </c>
      <c r="BC33" s="111">
        <f>VLOOKUP(Table13[[#This Row],[Donor Name]],'Weighted scores by indicator'!$A$7:$AO$74,40,FALSE)</f>
        <v>0</v>
      </c>
      <c r="BD33" s="61">
        <f>COUNTIF(Table13[[#This Row],[FOIA]:[Conditions]],"0")</f>
        <v>20</v>
      </c>
      <c r="BE33" s="61">
        <f>COUNTIF(Table13[[#This Row],[FOIA]:[Conditions]],"&gt;0")</f>
        <v>19</v>
      </c>
      <c r="BG33">
        <f>39-SUM(Table13[[#This Row],[No of indicators not scoring on]:[No of indicators scoring on]])</f>
        <v>0</v>
      </c>
    </row>
    <row r="34" spans="1:59" x14ac:dyDescent="0.25">
      <c r="A34" s="104" t="s">
        <v>1932</v>
      </c>
      <c r="B34" s="102" t="s">
        <v>1931</v>
      </c>
      <c r="C34" s="157">
        <f>VLOOKUP(Table13[[#This Row],[Donor Name]],'Overall scores and ranking'!$A$3:$D$72,2,FALSE)</f>
        <v>18.846488999999988</v>
      </c>
      <c r="D34" s="107">
        <f>VLOOKUP(Table13[[#This Row],[Donor Name]],'Overall scores and ranking'!$A$3:$D$72,3,FALSE)</f>
        <v>49</v>
      </c>
      <c r="E34" s="107">
        <f>RANK(Table13[[#This Row],[Overall Score]],Table13[Overall Score],0)</f>
        <v>31</v>
      </c>
      <c r="F34" s="61" t="str">
        <f>VLOOKUP(Table13[[#This Row],[Donor Name]],'Overall scores and ranking'!$A$3:$D$72,4,FALSE)</f>
        <v>Very Poor</v>
      </c>
      <c r="G34" s="109">
        <f>VLOOKUP(Table13[[#This Row],[Donor Name]],'Wtd - IATI vs Others'!$A$5:$D$72,2,FALSE)</f>
        <v>0</v>
      </c>
      <c r="H34" s="61">
        <f>VLOOKUP(Table13[[#This Row],[Donor Name]],'Wtd - IATI vs Others'!$A$5:$D$72,3,FALSE)</f>
        <v>18.846488999999988</v>
      </c>
      <c r="I34" s="61">
        <f>VLOOKUP(Table13[[#This Row],[Donor Name]],'Wtd scores by sub-groups'!$A$5:$K$72,2,FALSE)</f>
        <v>4.173489</v>
      </c>
      <c r="J34" s="61">
        <f>VLOOKUP(Table13[[#This Row],[Donor Name]],'Wtd scores by sub-groups'!$A$5:$K$72,3,FALSE)</f>
        <v>5</v>
      </c>
      <c r="K34" s="61">
        <f>VLOOKUP(Table13[[#This Row],[Donor Name]],'Wtd scores by sub-groups'!$A$5:$K$72,4,FALSE)</f>
        <v>4.17</v>
      </c>
      <c r="L34" s="61">
        <f>VLOOKUP(Table13[[#This Row],[Donor Name]],'Wtd scores by sub-groups'!$A$5:$K$72,5,FALSE)</f>
        <v>1.6298369999999998</v>
      </c>
      <c r="M34" s="61">
        <f>VLOOKUP(Table13[[#This Row],[Donor Name]],'Wtd scores by sub-groups'!$A$5:$K$72,6,FALSE)</f>
        <v>0.61993799999999899</v>
      </c>
      <c r="N34" s="61">
        <f>VLOOKUP(Table13[[#This Row],[Donor Name]],'Wtd scores by sub-groups'!$A$5:$K$72,7,FALSE)</f>
        <v>2.17</v>
      </c>
      <c r="O34" s="61">
        <f>VLOOKUP(Table13[[#This Row],[Donor Name]],'Wtd scores by sub-groups'!$A$5:$K$72,8,FALSE)</f>
        <v>1.0832249999999899</v>
      </c>
      <c r="P34" s="61">
        <f>VLOOKUP(Table13[[#This Row],[Donor Name]],'Wtd scores by sub-groups'!$A$5:$K$72,9,FALSE)</f>
        <v>0</v>
      </c>
      <c r="Q34" s="61">
        <f>VLOOKUP(Table13[[#This Row],[Donor Name]],'Weighted scores by indicator'!$A$7:$AO$74,2,FALSE)</f>
        <v>1.1098889999999999</v>
      </c>
      <c r="R34" s="61">
        <f>VLOOKUP(Table13[[#This Row],[Donor Name]],'Weighted scores by indicator'!$A$7:$AO$74,3,FALSE)</f>
        <v>3.0636000000000001</v>
      </c>
      <c r="S34" s="61">
        <f>VLOOKUP(Table13[[#This Row],[Donor Name]],'Weighted scores by indicator'!$A$7:$AO$74,4,FALSE)</f>
        <v>0</v>
      </c>
      <c r="T34" s="61">
        <f>VLOOKUP(Table13[[#This Row],[Donor Name]],'Weighted scores by indicator'!$A$7:$AO$74,5,FALSE)</f>
        <v>1.25</v>
      </c>
      <c r="U34" s="61">
        <f>VLOOKUP(Table13[[#This Row],[Donor Name]],'Weighted scores by indicator'!$A$7:$AO$74,6,FALSE)</f>
        <v>1.25</v>
      </c>
      <c r="V34" s="61">
        <f>VLOOKUP(Table13[[#This Row],[Donor Name]],'Weighted scores by indicator'!$A$7:$AO$74,7,FALSE)</f>
        <v>1.25</v>
      </c>
      <c r="W34" s="61">
        <f>VLOOKUP(Table13[[#This Row],[Donor Name]],'Weighted scores by indicator'!$A$7:$AO$74,8,FALSE)</f>
        <v>1.25</v>
      </c>
      <c r="X34" s="61">
        <f>VLOOKUP(Table13[[#This Row],[Donor Name]],'Weighted scores by indicator'!$A$7:$AO$74,9,FALSE)</f>
        <v>0</v>
      </c>
      <c r="Y34" s="61">
        <f>VLOOKUP(Table13[[#This Row],[Donor Name]],'Weighted scores by indicator'!$A$7:$AO$74,10,FALSE)</f>
        <v>0</v>
      </c>
      <c r="Z34" s="61">
        <f>VLOOKUP(Table13[[#This Row],[Donor Name]],'Weighted scores by indicator'!$A$7:$AO$74,11,FALSE)</f>
        <v>2.085</v>
      </c>
      <c r="AA34" s="61">
        <f>VLOOKUP(Table13[[#This Row],[Donor Name]],'Weighted scores by indicator'!$A$7:$AO$74,12,FALSE)</f>
        <v>2.085</v>
      </c>
      <c r="AB34" s="61">
        <f>VLOOKUP(Table13[[#This Row],[Donor Name]],'Weighted scores by indicator'!$A$7:$AO$74,13,FALSE)</f>
        <v>0</v>
      </c>
      <c r="AC34" s="61">
        <f>VLOOKUP(Table13[[#This Row],[Donor Name]],'Weighted scores by indicator'!$A$7:$AO$74,14,FALSE)</f>
        <v>0</v>
      </c>
      <c r="AD34" s="61">
        <f>VLOOKUP(Table13[[#This Row],[Donor Name]],'Weighted scores by indicator'!$A$7:$AO$74,15,FALSE)</f>
        <v>0.54327899999999996</v>
      </c>
      <c r="AE34" s="61">
        <f>VLOOKUP(Table13[[#This Row],[Donor Name]],'Weighted scores by indicator'!$A$7:$AO$74,16,FALSE)</f>
        <v>0.54327899999999996</v>
      </c>
      <c r="AF34" s="61">
        <f>VLOOKUP(Table13[[#This Row],[Donor Name]],'Weighted scores by indicator'!$A$7:$AO$74,17,FALSE)</f>
        <v>0</v>
      </c>
      <c r="AG34" s="61">
        <f>VLOOKUP(Table13[[#This Row],[Donor Name]],'Weighted scores by indicator'!$A$7:$AO$74,18,FALSE)</f>
        <v>0</v>
      </c>
      <c r="AH34" s="61">
        <f>VLOOKUP(Table13[[#This Row],[Donor Name]],'Weighted scores by indicator'!$A$7:$AO$74,19,FALSE)</f>
        <v>0</v>
      </c>
      <c r="AI34" s="61">
        <f>VLOOKUP(Table13[[#This Row],[Donor Name]],'Weighted scores by indicator'!$A$7:$AO$74,20,FALSE)</f>
        <v>0.54327899999999996</v>
      </c>
      <c r="AJ34" s="61">
        <f>VLOOKUP(Table13[[#This Row],[Donor Name]],'Weighted scores by indicator'!$A$7:$AO$74,21,FALSE)</f>
        <v>0</v>
      </c>
      <c r="AK34" s="61">
        <f>VLOOKUP(Table13[[#This Row],[Donor Name]],'Weighted scores by indicator'!$A$7:$AO$74,22,FALSE)</f>
        <v>0</v>
      </c>
      <c r="AL34" s="61">
        <f>VLOOKUP(Table13[[#This Row],[Donor Name]],'Weighted scores by indicator'!$A$7:$AO$74,23,FALSE)</f>
        <v>0</v>
      </c>
      <c r="AM34" s="61">
        <f>VLOOKUP(Table13[[#This Row],[Donor Name]],'Weighted scores by indicator'!$A$7:$AO$74,24,FALSE)</f>
        <v>0</v>
      </c>
      <c r="AN34" s="61">
        <f>VLOOKUP(Table13[[#This Row],[Donor Name]],'Weighted scores by indicator'!$A$7:$AO$74,25,FALSE)</f>
        <v>0.61993799999999899</v>
      </c>
      <c r="AO34" s="61">
        <f>VLOOKUP(Table13[[#This Row],[Donor Name]],'Weighted scores by indicator'!$A$7:$AO$74,26,FALSE)</f>
        <v>0</v>
      </c>
      <c r="AP34" s="61">
        <f>VLOOKUP(Table13[[#This Row],[Donor Name]],'Weighted scores by indicator'!$A$7:$AO$74,27,FALSE)</f>
        <v>0</v>
      </c>
      <c r="AQ34" s="61">
        <f>VLOOKUP(Table13[[#This Row],[Donor Name]],'Weighted scores by indicator'!$A$7:$AO$74,28,FALSE)</f>
        <v>0</v>
      </c>
      <c r="AR34" s="61">
        <f>VLOOKUP(Table13[[#This Row],[Donor Name]],'Weighted scores by indicator'!$A$7:$AO$74,29,FALSE)</f>
        <v>0</v>
      </c>
      <c r="AS34" s="61">
        <f>VLOOKUP(Table13[[#This Row],[Donor Name]],'Weighted scores by indicator'!$A$7:$AO$74,30,FALSE)</f>
        <v>1.085</v>
      </c>
      <c r="AT34" s="61">
        <f>VLOOKUP(Table13[[#This Row],[Donor Name]],'Weighted scores by indicator'!$A$7:$AO$74,31,FALSE)</f>
        <v>0</v>
      </c>
      <c r="AU34" s="61">
        <f>VLOOKUP(Table13[[#This Row],[Donor Name]],'Weighted scores by indicator'!$A$7:$AO$74,32,FALSE)</f>
        <v>0</v>
      </c>
      <c r="AV34" s="61">
        <f>VLOOKUP(Table13[[#This Row],[Donor Name]],'Weighted scores by indicator'!$A$7:$AO$74,33,FALSE)</f>
        <v>1.085</v>
      </c>
      <c r="AW34" s="61">
        <f>VLOOKUP(Table13[[#This Row],[Donor Name]],'Weighted scores by indicator'!$A$7:$AO$74,34,FALSE)</f>
        <v>0</v>
      </c>
      <c r="AX34" s="61">
        <f>VLOOKUP(Table13[[#This Row],[Donor Name]],'Weighted scores by indicator'!$A$7:$AO$74,35,FALSE)</f>
        <v>1.0832249999999899</v>
      </c>
      <c r="AY34" s="61">
        <f>VLOOKUP(Table13[[#This Row],[Donor Name]],'Weighted scores by indicator'!$A$7:$AO$74,36,FALSE)</f>
        <v>0</v>
      </c>
      <c r="AZ34" s="61">
        <f>VLOOKUP(Table13[[#This Row],[Donor Name]],'Weighted scores by indicator'!$A$7:$AO$74,37,FALSE)</f>
        <v>0</v>
      </c>
      <c r="BA34" s="61">
        <f>VLOOKUP(Table13[[#This Row],[Donor Name]],'Weighted scores by indicator'!$A$7:$AO$74,38,FALSE)</f>
        <v>0</v>
      </c>
      <c r="BB34" s="61">
        <f>VLOOKUP(Table13[[#This Row],[Donor Name]],'Weighted scores by indicator'!$A$7:$AO$74,39,FALSE)</f>
        <v>0</v>
      </c>
      <c r="BC34" s="111">
        <f>VLOOKUP(Table13[[#This Row],[Donor Name]],'Weighted scores by indicator'!$A$7:$AO$74,40,FALSE)</f>
        <v>0</v>
      </c>
      <c r="BD34" s="61">
        <f>COUNTIF(Table13[[#This Row],[FOIA]:[Conditions]],"0")</f>
        <v>24</v>
      </c>
      <c r="BE34" s="61">
        <f>COUNTIF(Table13[[#This Row],[FOIA]:[Conditions]],"&gt;0")</f>
        <v>15</v>
      </c>
      <c r="BG34">
        <f>39-SUM(Table13[[#This Row],[No of indicators not scoring on]:[No of indicators scoring on]])</f>
        <v>0</v>
      </c>
    </row>
    <row r="35" spans="1:59" x14ac:dyDescent="0.25">
      <c r="A35" s="104" t="s">
        <v>1809</v>
      </c>
      <c r="B35" s="102" t="s">
        <v>1808</v>
      </c>
      <c r="C35" s="157">
        <f>VLOOKUP(Table13[[#This Row],[Donor Name]],'Overall scores and ranking'!$A$3:$D$72,2,FALSE)</f>
        <v>18.812663999999987</v>
      </c>
      <c r="D35" s="107">
        <f>VLOOKUP(Table13[[#This Row],[Donor Name]],'Overall scores and ranking'!$A$3:$D$72,3,FALSE)</f>
        <v>50</v>
      </c>
      <c r="E35" s="107">
        <f>RANK(Table13[[#This Row],[Overall Score]],Table13[Overall Score],0)</f>
        <v>32</v>
      </c>
      <c r="F35" s="61" t="str">
        <f>VLOOKUP(Table13[[#This Row],[Donor Name]],'Overall scores and ranking'!$A$3:$D$72,4,FALSE)</f>
        <v>Very Poor</v>
      </c>
      <c r="G35" s="109">
        <f>VLOOKUP(Table13[[#This Row],[Donor Name]],'Wtd - IATI vs Others'!$A$5:$D$72,2,FALSE)</f>
        <v>0</v>
      </c>
      <c r="H35" s="61">
        <f>VLOOKUP(Table13[[#This Row],[Donor Name]],'Wtd - IATI vs Others'!$A$5:$D$72,3,FALSE)</f>
        <v>18.812663999999987</v>
      </c>
      <c r="I35" s="61">
        <f>VLOOKUP(Table13[[#This Row],[Donor Name]],'Wtd scores by sub-groups'!$A$5:$K$72,2,FALSE)</f>
        <v>1.1098889999999999</v>
      </c>
      <c r="J35" s="61">
        <f>VLOOKUP(Table13[[#This Row],[Donor Name]],'Wtd scores by sub-groups'!$A$5:$K$72,3,FALSE)</f>
        <v>5</v>
      </c>
      <c r="K35" s="61">
        <f>VLOOKUP(Table13[[#This Row],[Donor Name]],'Wtd scores by sub-groups'!$A$5:$K$72,4,FALSE)</f>
        <v>2.78</v>
      </c>
      <c r="L35" s="61">
        <f>VLOOKUP(Table13[[#This Row],[Donor Name]],'Wtd scores by sub-groups'!$A$5:$K$72,5,FALSE)</f>
        <v>3.259674</v>
      </c>
      <c r="M35" s="61">
        <f>VLOOKUP(Table13[[#This Row],[Donor Name]],'Wtd scores by sub-groups'!$A$5:$K$72,6,FALSE)</f>
        <v>1.239875999999998</v>
      </c>
      <c r="N35" s="61">
        <f>VLOOKUP(Table13[[#This Row],[Donor Name]],'Wtd scores by sub-groups'!$A$5:$K$72,7,FALSE)</f>
        <v>4.34</v>
      </c>
      <c r="O35" s="61">
        <f>VLOOKUP(Table13[[#This Row],[Donor Name]],'Wtd scores by sub-groups'!$A$5:$K$72,8,FALSE)</f>
        <v>1.0832249999999899</v>
      </c>
      <c r="P35" s="61">
        <f>VLOOKUP(Table13[[#This Row],[Donor Name]],'Wtd scores by sub-groups'!$A$5:$K$72,9,FALSE)</f>
        <v>0</v>
      </c>
      <c r="Q35" s="61">
        <f>VLOOKUP(Table13[[#This Row],[Donor Name]],'Weighted scores by indicator'!$A$7:$AO$74,2,FALSE)</f>
        <v>0</v>
      </c>
      <c r="R35" s="61">
        <f>VLOOKUP(Table13[[#This Row],[Donor Name]],'Weighted scores by indicator'!$A$7:$AO$74,3,FALSE)</f>
        <v>0</v>
      </c>
      <c r="S35" s="61">
        <f>VLOOKUP(Table13[[#This Row],[Donor Name]],'Weighted scores by indicator'!$A$7:$AO$74,4,FALSE)</f>
        <v>1.1098889999999999</v>
      </c>
      <c r="T35" s="61">
        <f>VLOOKUP(Table13[[#This Row],[Donor Name]],'Weighted scores by indicator'!$A$7:$AO$74,5,FALSE)</f>
        <v>1.25</v>
      </c>
      <c r="U35" s="61">
        <f>VLOOKUP(Table13[[#This Row],[Donor Name]],'Weighted scores by indicator'!$A$7:$AO$74,6,FALSE)</f>
        <v>1.25</v>
      </c>
      <c r="V35" s="61">
        <f>VLOOKUP(Table13[[#This Row],[Donor Name]],'Weighted scores by indicator'!$A$7:$AO$74,7,FALSE)</f>
        <v>0</v>
      </c>
      <c r="W35" s="61">
        <f>VLOOKUP(Table13[[#This Row],[Donor Name]],'Weighted scores by indicator'!$A$7:$AO$74,8,FALSE)</f>
        <v>1.25</v>
      </c>
      <c r="X35" s="61">
        <f>VLOOKUP(Table13[[#This Row],[Donor Name]],'Weighted scores by indicator'!$A$7:$AO$74,9,FALSE)</f>
        <v>1.25</v>
      </c>
      <c r="Y35" s="61">
        <f>VLOOKUP(Table13[[#This Row],[Donor Name]],'Weighted scores by indicator'!$A$7:$AO$74,10,FALSE)</f>
        <v>0</v>
      </c>
      <c r="Z35" s="61">
        <f>VLOOKUP(Table13[[#This Row],[Donor Name]],'Weighted scores by indicator'!$A$7:$AO$74,11,FALSE)</f>
        <v>0.69499999999999995</v>
      </c>
      <c r="AA35" s="61">
        <f>VLOOKUP(Table13[[#This Row],[Donor Name]],'Weighted scores by indicator'!$A$7:$AO$74,12,FALSE)</f>
        <v>2.085</v>
      </c>
      <c r="AB35" s="61">
        <f>VLOOKUP(Table13[[#This Row],[Donor Name]],'Weighted scores by indicator'!$A$7:$AO$74,13,FALSE)</f>
        <v>0.54327899999999996</v>
      </c>
      <c r="AC35" s="61">
        <f>VLOOKUP(Table13[[#This Row],[Donor Name]],'Weighted scores by indicator'!$A$7:$AO$74,14,FALSE)</f>
        <v>0.54327899999999996</v>
      </c>
      <c r="AD35" s="61">
        <f>VLOOKUP(Table13[[#This Row],[Donor Name]],'Weighted scores by indicator'!$A$7:$AO$74,15,FALSE)</f>
        <v>0.54327899999999996</v>
      </c>
      <c r="AE35" s="61">
        <f>VLOOKUP(Table13[[#This Row],[Donor Name]],'Weighted scores by indicator'!$A$7:$AO$74,16,FALSE)</f>
        <v>0.54327899999999996</v>
      </c>
      <c r="AF35" s="61">
        <f>VLOOKUP(Table13[[#This Row],[Donor Name]],'Weighted scores by indicator'!$A$7:$AO$74,17,FALSE)</f>
        <v>0.54327899999999996</v>
      </c>
      <c r="AG35" s="61">
        <f>VLOOKUP(Table13[[#This Row],[Donor Name]],'Weighted scores by indicator'!$A$7:$AO$74,18,FALSE)</f>
        <v>0</v>
      </c>
      <c r="AH35" s="61">
        <f>VLOOKUP(Table13[[#This Row],[Donor Name]],'Weighted scores by indicator'!$A$7:$AO$74,19,FALSE)</f>
        <v>0</v>
      </c>
      <c r="AI35" s="61">
        <f>VLOOKUP(Table13[[#This Row],[Donor Name]],'Weighted scores by indicator'!$A$7:$AO$74,20,FALSE)</f>
        <v>0.54327899999999996</v>
      </c>
      <c r="AJ35" s="61">
        <f>VLOOKUP(Table13[[#This Row],[Donor Name]],'Weighted scores by indicator'!$A$7:$AO$74,21,FALSE)</f>
        <v>0.61993799999999899</v>
      </c>
      <c r="AK35" s="61">
        <f>VLOOKUP(Table13[[#This Row],[Donor Name]],'Weighted scores by indicator'!$A$7:$AO$74,22,FALSE)</f>
        <v>0</v>
      </c>
      <c r="AL35" s="61">
        <f>VLOOKUP(Table13[[#This Row],[Donor Name]],'Weighted scores by indicator'!$A$7:$AO$74,23,FALSE)</f>
        <v>0</v>
      </c>
      <c r="AM35" s="61">
        <f>VLOOKUP(Table13[[#This Row],[Donor Name]],'Weighted scores by indicator'!$A$7:$AO$74,24,FALSE)</f>
        <v>0</v>
      </c>
      <c r="AN35" s="61">
        <f>VLOOKUP(Table13[[#This Row],[Donor Name]],'Weighted scores by indicator'!$A$7:$AO$74,25,FALSE)</f>
        <v>0.61993799999999899</v>
      </c>
      <c r="AO35" s="61">
        <f>VLOOKUP(Table13[[#This Row],[Donor Name]],'Weighted scores by indicator'!$A$7:$AO$74,26,FALSE)</f>
        <v>0</v>
      </c>
      <c r="AP35" s="61">
        <f>VLOOKUP(Table13[[#This Row],[Donor Name]],'Weighted scores by indicator'!$A$7:$AO$74,27,FALSE)</f>
        <v>0</v>
      </c>
      <c r="AQ35" s="61">
        <f>VLOOKUP(Table13[[#This Row],[Donor Name]],'Weighted scores by indicator'!$A$7:$AO$74,28,FALSE)</f>
        <v>0</v>
      </c>
      <c r="AR35" s="61">
        <f>VLOOKUP(Table13[[#This Row],[Donor Name]],'Weighted scores by indicator'!$A$7:$AO$74,29,FALSE)</f>
        <v>1.085</v>
      </c>
      <c r="AS35" s="61">
        <f>VLOOKUP(Table13[[#This Row],[Donor Name]],'Weighted scores by indicator'!$A$7:$AO$74,30,FALSE)</f>
        <v>1.085</v>
      </c>
      <c r="AT35" s="61">
        <f>VLOOKUP(Table13[[#This Row],[Donor Name]],'Weighted scores by indicator'!$A$7:$AO$74,31,FALSE)</f>
        <v>0</v>
      </c>
      <c r="AU35" s="61">
        <f>VLOOKUP(Table13[[#This Row],[Donor Name]],'Weighted scores by indicator'!$A$7:$AO$74,32,FALSE)</f>
        <v>1.085</v>
      </c>
      <c r="AV35" s="61">
        <f>VLOOKUP(Table13[[#This Row],[Donor Name]],'Weighted scores by indicator'!$A$7:$AO$74,33,FALSE)</f>
        <v>1.085</v>
      </c>
      <c r="AW35" s="61">
        <f>VLOOKUP(Table13[[#This Row],[Donor Name]],'Weighted scores by indicator'!$A$7:$AO$74,34,FALSE)</f>
        <v>0</v>
      </c>
      <c r="AX35" s="61">
        <f>VLOOKUP(Table13[[#This Row],[Donor Name]],'Weighted scores by indicator'!$A$7:$AO$74,35,FALSE)</f>
        <v>1.0832249999999899</v>
      </c>
      <c r="AY35" s="61">
        <f>VLOOKUP(Table13[[#This Row],[Donor Name]],'Weighted scores by indicator'!$A$7:$AO$74,36,FALSE)</f>
        <v>0</v>
      </c>
      <c r="AZ35" s="61">
        <f>VLOOKUP(Table13[[#This Row],[Donor Name]],'Weighted scores by indicator'!$A$7:$AO$74,37,FALSE)</f>
        <v>0</v>
      </c>
      <c r="BA35" s="61">
        <f>VLOOKUP(Table13[[#This Row],[Donor Name]],'Weighted scores by indicator'!$A$7:$AO$74,38,FALSE)</f>
        <v>0</v>
      </c>
      <c r="BB35" s="61">
        <f>VLOOKUP(Table13[[#This Row],[Donor Name]],'Weighted scores by indicator'!$A$7:$AO$74,39,FALSE)</f>
        <v>0</v>
      </c>
      <c r="BC35" s="111">
        <f>VLOOKUP(Table13[[#This Row],[Donor Name]],'Weighted scores by indicator'!$A$7:$AO$74,40,FALSE)</f>
        <v>0</v>
      </c>
      <c r="BD35" s="61">
        <f>COUNTIF(Table13[[#This Row],[FOIA]:[Conditions]],"0")</f>
        <v>19</v>
      </c>
      <c r="BE35" s="61">
        <f>COUNTIF(Table13[[#This Row],[FOIA]:[Conditions]],"&gt;0")</f>
        <v>20</v>
      </c>
      <c r="BG35">
        <f>39-SUM(Table13[[#This Row],[No of indicators not scoring on]:[No of indicators scoring on]])</f>
        <v>0</v>
      </c>
    </row>
    <row r="36" spans="1:59" x14ac:dyDescent="0.25">
      <c r="A36" s="104" t="s">
        <v>787</v>
      </c>
      <c r="B36" s="102" t="s">
        <v>786</v>
      </c>
      <c r="C36" s="157">
        <f>VLOOKUP(Table13[[#This Row],[Donor Name]],'Overall scores and ranking'!$A$3:$D$72,2,FALSE)</f>
        <v>18.250666999999986</v>
      </c>
      <c r="D36" s="107">
        <f>VLOOKUP(Table13[[#This Row],[Donor Name]],'Overall scores and ranking'!$A$3:$D$72,3,FALSE)</f>
        <v>51</v>
      </c>
      <c r="E36" s="107">
        <f>RANK(Table13[[#This Row],[Overall Score]],Table13[Overall Score],0)</f>
        <v>33</v>
      </c>
      <c r="F36" s="61" t="str">
        <f>VLOOKUP(Table13[[#This Row],[Donor Name]],'Overall scores and ranking'!$A$3:$D$72,4,FALSE)</f>
        <v>Very Poor</v>
      </c>
      <c r="G36" s="109">
        <f>VLOOKUP(Table13[[#This Row],[Donor Name]],'Wtd - IATI vs Others'!$A$5:$D$72,2,FALSE)</f>
        <v>0</v>
      </c>
      <c r="H36" s="61">
        <f>VLOOKUP(Table13[[#This Row],[Donor Name]],'Wtd - IATI vs Others'!$A$5:$D$72,3,FALSE)</f>
        <v>18.250666999999986</v>
      </c>
      <c r="I36" s="61">
        <f>VLOOKUP(Table13[[#This Row],[Donor Name]],'Wtd scores by sub-groups'!$A$5:$K$72,2,FALSE)</f>
        <v>3.3296669999999997</v>
      </c>
      <c r="J36" s="61">
        <f>VLOOKUP(Table13[[#This Row],[Donor Name]],'Wtd scores by sub-groups'!$A$5:$K$72,3,FALSE)</f>
        <v>5</v>
      </c>
      <c r="K36" s="61">
        <f>VLOOKUP(Table13[[#This Row],[Donor Name]],'Wtd scores by sub-groups'!$A$5:$K$72,4,FALSE)</f>
        <v>0.463287</v>
      </c>
      <c r="L36" s="61">
        <f>VLOOKUP(Table13[[#This Row],[Donor Name]],'Wtd scores by sub-groups'!$A$5:$K$72,5,FALSE)</f>
        <v>3.259674</v>
      </c>
      <c r="M36" s="61">
        <f>VLOOKUP(Table13[[#This Row],[Donor Name]],'Wtd scores by sub-groups'!$A$5:$K$72,6,FALSE)</f>
        <v>1.859813999999997</v>
      </c>
      <c r="N36" s="61">
        <f>VLOOKUP(Table13[[#This Row],[Donor Name]],'Wtd scores by sub-groups'!$A$5:$K$72,7,FALSE)</f>
        <v>3.2549999999999999</v>
      </c>
      <c r="O36" s="61">
        <f>VLOOKUP(Table13[[#This Row],[Donor Name]],'Wtd scores by sub-groups'!$A$5:$K$72,8,FALSE)</f>
        <v>1.0832249999999899</v>
      </c>
      <c r="P36" s="61">
        <f>VLOOKUP(Table13[[#This Row],[Donor Name]],'Wtd scores by sub-groups'!$A$5:$K$72,9,FALSE)</f>
        <v>0</v>
      </c>
      <c r="Q36" s="61">
        <f>VLOOKUP(Table13[[#This Row],[Donor Name]],'Weighted scores by indicator'!$A$7:$AO$74,2,FALSE)</f>
        <v>2.2197779999999998</v>
      </c>
      <c r="R36" s="61">
        <f>VLOOKUP(Table13[[#This Row],[Donor Name]],'Weighted scores by indicator'!$A$7:$AO$74,3,FALSE)</f>
        <v>0</v>
      </c>
      <c r="S36" s="61">
        <f>VLOOKUP(Table13[[#This Row],[Donor Name]],'Weighted scores by indicator'!$A$7:$AO$74,4,FALSE)</f>
        <v>1.1098889999999999</v>
      </c>
      <c r="T36" s="61">
        <f>VLOOKUP(Table13[[#This Row],[Donor Name]],'Weighted scores by indicator'!$A$7:$AO$74,5,FALSE)</f>
        <v>1.25</v>
      </c>
      <c r="U36" s="61">
        <f>VLOOKUP(Table13[[#This Row],[Donor Name]],'Weighted scores by indicator'!$A$7:$AO$74,6,FALSE)</f>
        <v>1.25</v>
      </c>
      <c r="V36" s="61">
        <f>VLOOKUP(Table13[[#This Row],[Donor Name]],'Weighted scores by indicator'!$A$7:$AO$74,7,FALSE)</f>
        <v>1.25</v>
      </c>
      <c r="W36" s="61">
        <f>VLOOKUP(Table13[[#This Row],[Donor Name]],'Weighted scores by indicator'!$A$7:$AO$74,8,FALSE)</f>
        <v>1.25</v>
      </c>
      <c r="X36" s="61">
        <f>VLOOKUP(Table13[[#This Row],[Donor Name]],'Weighted scores by indicator'!$A$7:$AO$74,9,FALSE)</f>
        <v>0</v>
      </c>
      <c r="Y36" s="61">
        <f>VLOOKUP(Table13[[#This Row],[Donor Name]],'Weighted scores by indicator'!$A$7:$AO$74,10,FALSE)</f>
        <v>0.463287</v>
      </c>
      <c r="Z36" s="61">
        <f>VLOOKUP(Table13[[#This Row],[Donor Name]],'Weighted scores by indicator'!$A$7:$AO$74,11,FALSE)</f>
        <v>0</v>
      </c>
      <c r="AA36" s="61">
        <f>VLOOKUP(Table13[[#This Row],[Donor Name]],'Weighted scores by indicator'!$A$7:$AO$74,12,FALSE)</f>
        <v>0</v>
      </c>
      <c r="AB36" s="61">
        <f>VLOOKUP(Table13[[#This Row],[Donor Name]],'Weighted scores by indicator'!$A$7:$AO$74,13,FALSE)</f>
        <v>0.54327899999999996</v>
      </c>
      <c r="AC36" s="61">
        <f>VLOOKUP(Table13[[#This Row],[Donor Name]],'Weighted scores by indicator'!$A$7:$AO$74,14,FALSE)</f>
        <v>0.54327899999999996</v>
      </c>
      <c r="AD36" s="61">
        <f>VLOOKUP(Table13[[#This Row],[Donor Name]],'Weighted scores by indicator'!$A$7:$AO$74,15,FALSE)</f>
        <v>0.54327899999999996</v>
      </c>
      <c r="AE36" s="61">
        <f>VLOOKUP(Table13[[#This Row],[Donor Name]],'Weighted scores by indicator'!$A$7:$AO$74,16,FALSE)</f>
        <v>0.54327899999999996</v>
      </c>
      <c r="AF36" s="61">
        <f>VLOOKUP(Table13[[#This Row],[Donor Name]],'Weighted scores by indicator'!$A$7:$AO$74,17,FALSE)</f>
        <v>0.54327899999999996</v>
      </c>
      <c r="AG36" s="61">
        <f>VLOOKUP(Table13[[#This Row],[Donor Name]],'Weighted scores by indicator'!$A$7:$AO$74,18,FALSE)</f>
        <v>0</v>
      </c>
      <c r="AH36" s="61">
        <f>VLOOKUP(Table13[[#This Row],[Donor Name]],'Weighted scores by indicator'!$A$7:$AO$74,19,FALSE)</f>
        <v>0</v>
      </c>
      <c r="AI36" s="61">
        <f>VLOOKUP(Table13[[#This Row],[Donor Name]],'Weighted scores by indicator'!$A$7:$AO$74,20,FALSE)</f>
        <v>0.54327899999999996</v>
      </c>
      <c r="AJ36" s="61">
        <f>VLOOKUP(Table13[[#This Row],[Donor Name]],'Weighted scores by indicator'!$A$7:$AO$74,21,FALSE)</f>
        <v>0</v>
      </c>
      <c r="AK36" s="61">
        <f>VLOOKUP(Table13[[#This Row],[Donor Name]],'Weighted scores by indicator'!$A$7:$AO$74,22,FALSE)</f>
        <v>0</v>
      </c>
      <c r="AL36" s="61">
        <f>VLOOKUP(Table13[[#This Row],[Donor Name]],'Weighted scores by indicator'!$A$7:$AO$74,23,FALSE)</f>
        <v>0</v>
      </c>
      <c r="AM36" s="61">
        <f>VLOOKUP(Table13[[#This Row],[Donor Name]],'Weighted scores by indicator'!$A$7:$AO$74,24,FALSE)</f>
        <v>0.61993799999999899</v>
      </c>
      <c r="AN36" s="61">
        <f>VLOOKUP(Table13[[#This Row],[Donor Name]],'Weighted scores by indicator'!$A$7:$AO$74,25,FALSE)</f>
        <v>0.61993799999999899</v>
      </c>
      <c r="AO36" s="61">
        <f>VLOOKUP(Table13[[#This Row],[Donor Name]],'Weighted scores by indicator'!$A$7:$AO$74,26,FALSE)</f>
        <v>0.61993799999999899</v>
      </c>
      <c r="AP36" s="61">
        <f>VLOOKUP(Table13[[#This Row],[Donor Name]],'Weighted scores by indicator'!$A$7:$AO$74,27,FALSE)</f>
        <v>0</v>
      </c>
      <c r="AQ36" s="61">
        <f>VLOOKUP(Table13[[#This Row],[Donor Name]],'Weighted scores by indicator'!$A$7:$AO$74,28,FALSE)</f>
        <v>0</v>
      </c>
      <c r="AR36" s="61">
        <f>VLOOKUP(Table13[[#This Row],[Donor Name]],'Weighted scores by indicator'!$A$7:$AO$74,29,FALSE)</f>
        <v>1.085</v>
      </c>
      <c r="AS36" s="61">
        <f>VLOOKUP(Table13[[#This Row],[Donor Name]],'Weighted scores by indicator'!$A$7:$AO$74,30,FALSE)</f>
        <v>1.085</v>
      </c>
      <c r="AT36" s="61">
        <f>VLOOKUP(Table13[[#This Row],[Donor Name]],'Weighted scores by indicator'!$A$7:$AO$74,31,FALSE)</f>
        <v>0</v>
      </c>
      <c r="AU36" s="61">
        <f>VLOOKUP(Table13[[#This Row],[Donor Name]],'Weighted scores by indicator'!$A$7:$AO$74,32,FALSE)</f>
        <v>1.085</v>
      </c>
      <c r="AV36" s="61">
        <f>VLOOKUP(Table13[[#This Row],[Donor Name]],'Weighted scores by indicator'!$A$7:$AO$74,33,FALSE)</f>
        <v>0</v>
      </c>
      <c r="AW36" s="61">
        <f>VLOOKUP(Table13[[#This Row],[Donor Name]],'Weighted scores by indicator'!$A$7:$AO$74,34,FALSE)</f>
        <v>0</v>
      </c>
      <c r="AX36" s="61">
        <f>VLOOKUP(Table13[[#This Row],[Donor Name]],'Weighted scores by indicator'!$A$7:$AO$74,35,FALSE)</f>
        <v>1.0832249999999899</v>
      </c>
      <c r="AY36" s="61">
        <f>VLOOKUP(Table13[[#This Row],[Donor Name]],'Weighted scores by indicator'!$A$7:$AO$74,36,FALSE)</f>
        <v>0</v>
      </c>
      <c r="AZ36" s="61">
        <f>VLOOKUP(Table13[[#This Row],[Donor Name]],'Weighted scores by indicator'!$A$7:$AO$74,37,FALSE)</f>
        <v>0</v>
      </c>
      <c r="BA36" s="61">
        <f>VLOOKUP(Table13[[#This Row],[Donor Name]],'Weighted scores by indicator'!$A$7:$AO$74,38,FALSE)</f>
        <v>0</v>
      </c>
      <c r="BB36" s="61">
        <f>VLOOKUP(Table13[[#This Row],[Donor Name]],'Weighted scores by indicator'!$A$7:$AO$74,39,FALSE)</f>
        <v>0</v>
      </c>
      <c r="BC36" s="111">
        <f>VLOOKUP(Table13[[#This Row],[Donor Name]],'Weighted scores by indicator'!$A$7:$AO$74,40,FALSE)</f>
        <v>0</v>
      </c>
      <c r="BD36" s="61">
        <f>COUNTIF(Table13[[#This Row],[FOIA]:[Conditions]],"0")</f>
        <v>19</v>
      </c>
      <c r="BE36" s="61">
        <f>COUNTIF(Table13[[#This Row],[FOIA]:[Conditions]],"&gt;0")</f>
        <v>20</v>
      </c>
      <c r="BG36">
        <f>39-SUM(Table13[[#This Row],[No of indicators not scoring on]:[No of indicators scoring on]])</f>
        <v>0</v>
      </c>
    </row>
    <row r="37" spans="1:59" x14ac:dyDescent="0.25">
      <c r="A37" s="104" t="s">
        <v>828</v>
      </c>
      <c r="B37" s="102" t="s">
        <v>827</v>
      </c>
      <c r="C37" s="157">
        <f>VLOOKUP(Table13[[#This Row],[Donor Name]],'Overall scores and ranking'!$A$3:$D$72,2,FALSE)</f>
        <v>17.784162999999985</v>
      </c>
      <c r="D37" s="107">
        <f>VLOOKUP(Table13[[#This Row],[Donor Name]],'Overall scores and ranking'!$A$3:$D$72,3,FALSE)</f>
        <v>52</v>
      </c>
      <c r="E37" s="107">
        <f>RANK(Table13[[#This Row],[Overall Score]],Table13[Overall Score],0)</f>
        <v>34</v>
      </c>
      <c r="F37" s="61" t="str">
        <f>VLOOKUP(Table13[[#This Row],[Donor Name]],'Overall scores and ranking'!$A$3:$D$72,4,FALSE)</f>
        <v>Very Poor</v>
      </c>
      <c r="G37" s="109">
        <f>VLOOKUP(Table13[[#This Row],[Donor Name]],'Wtd - IATI vs Others'!$A$5:$D$72,2,FALSE)</f>
        <v>0</v>
      </c>
      <c r="H37" s="61">
        <f>VLOOKUP(Table13[[#This Row],[Donor Name]],'Wtd - IATI vs Others'!$A$5:$D$72,3,FALSE)</f>
        <v>17.784162999999985</v>
      </c>
      <c r="I37" s="61">
        <f>VLOOKUP(Table13[[#This Row],[Donor Name]],'Wtd scores by sub-groups'!$A$5:$K$72,2,FALSE)</f>
        <v>3.33</v>
      </c>
      <c r="J37" s="61">
        <f>VLOOKUP(Table13[[#This Row],[Donor Name]],'Wtd scores by sub-groups'!$A$5:$K$72,3,FALSE)</f>
        <v>5</v>
      </c>
      <c r="K37" s="61">
        <f>VLOOKUP(Table13[[#This Row],[Donor Name]],'Wtd scores by sub-groups'!$A$5:$K$72,4,FALSE)</f>
        <v>0.92657400000000001</v>
      </c>
      <c r="L37" s="61">
        <f>VLOOKUP(Table13[[#This Row],[Donor Name]],'Wtd scores by sub-groups'!$A$5:$K$72,5,FALSE)</f>
        <v>3.259674</v>
      </c>
      <c r="M37" s="61">
        <f>VLOOKUP(Table13[[#This Row],[Donor Name]],'Wtd scores by sub-groups'!$A$5:$K$72,6,FALSE)</f>
        <v>3.0996899999999949</v>
      </c>
      <c r="N37" s="61">
        <f>VLOOKUP(Table13[[#This Row],[Donor Name]],'Wtd scores by sub-groups'!$A$5:$K$72,7,FALSE)</f>
        <v>1.085</v>
      </c>
      <c r="O37" s="61">
        <f>VLOOKUP(Table13[[#This Row],[Donor Name]],'Wtd scores by sub-groups'!$A$5:$K$72,8,FALSE)</f>
        <v>1.0832249999999899</v>
      </c>
      <c r="P37" s="61">
        <f>VLOOKUP(Table13[[#This Row],[Donor Name]],'Wtd scores by sub-groups'!$A$5:$K$72,9,FALSE)</f>
        <v>0</v>
      </c>
      <c r="Q37" s="61">
        <f>VLOOKUP(Table13[[#This Row],[Donor Name]],'Weighted scores by indicator'!$A$7:$AO$74,2,FALSE)</f>
        <v>3.33</v>
      </c>
      <c r="R37" s="61">
        <f>VLOOKUP(Table13[[#This Row],[Donor Name]],'Weighted scores by indicator'!$A$7:$AO$74,3,FALSE)</f>
        <v>0</v>
      </c>
      <c r="S37" s="61">
        <f>VLOOKUP(Table13[[#This Row],[Donor Name]],'Weighted scores by indicator'!$A$7:$AO$74,4,FALSE)</f>
        <v>0</v>
      </c>
      <c r="T37" s="61">
        <f>VLOOKUP(Table13[[#This Row],[Donor Name]],'Weighted scores by indicator'!$A$7:$AO$74,5,FALSE)</f>
        <v>1.25</v>
      </c>
      <c r="U37" s="61">
        <f>VLOOKUP(Table13[[#This Row],[Donor Name]],'Weighted scores by indicator'!$A$7:$AO$74,6,FALSE)</f>
        <v>1.25</v>
      </c>
      <c r="V37" s="61">
        <f>VLOOKUP(Table13[[#This Row],[Donor Name]],'Weighted scores by indicator'!$A$7:$AO$74,7,FALSE)</f>
        <v>1.25</v>
      </c>
      <c r="W37" s="61">
        <f>VLOOKUP(Table13[[#This Row],[Donor Name]],'Weighted scores by indicator'!$A$7:$AO$74,8,FALSE)</f>
        <v>1.25</v>
      </c>
      <c r="X37" s="61">
        <f>VLOOKUP(Table13[[#This Row],[Donor Name]],'Weighted scores by indicator'!$A$7:$AO$74,9,FALSE)</f>
        <v>0</v>
      </c>
      <c r="Y37" s="61">
        <f>VLOOKUP(Table13[[#This Row],[Donor Name]],'Weighted scores by indicator'!$A$7:$AO$74,10,FALSE)</f>
        <v>0.463287</v>
      </c>
      <c r="Z37" s="61">
        <f>VLOOKUP(Table13[[#This Row],[Donor Name]],'Weighted scores by indicator'!$A$7:$AO$74,11,FALSE)</f>
        <v>0.463287</v>
      </c>
      <c r="AA37" s="61">
        <f>VLOOKUP(Table13[[#This Row],[Donor Name]],'Weighted scores by indicator'!$A$7:$AO$74,12,FALSE)</f>
        <v>0</v>
      </c>
      <c r="AB37" s="61">
        <f>VLOOKUP(Table13[[#This Row],[Donor Name]],'Weighted scores by indicator'!$A$7:$AO$74,13,FALSE)</f>
        <v>0</v>
      </c>
      <c r="AC37" s="61">
        <f>VLOOKUP(Table13[[#This Row],[Donor Name]],'Weighted scores by indicator'!$A$7:$AO$74,14,FALSE)</f>
        <v>0.54327899999999996</v>
      </c>
      <c r="AD37" s="61">
        <f>VLOOKUP(Table13[[#This Row],[Donor Name]],'Weighted scores by indicator'!$A$7:$AO$74,15,FALSE)</f>
        <v>0.54327899999999996</v>
      </c>
      <c r="AE37" s="61">
        <f>VLOOKUP(Table13[[#This Row],[Donor Name]],'Weighted scores by indicator'!$A$7:$AO$74,16,FALSE)</f>
        <v>0.54327899999999996</v>
      </c>
      <c r="AF37" s="61">
        <f>VLOOKUP(Table13[[#This Row],[Donor Name]],'Weighted scores by indicator'!$A$7:$AO$74,17,FALSE)</f>
        <v>0.54327899999999996</v>
      </c>
      <c r="AG37" s="61">
        <f>VLOOKUP(Table13[[#This Row],[Donor Name]],'Weighted scores by indicator'!$A$7:$AO$74,18,FALSE)</f>
        <v>0</v>
      </c>
      <c r="AH37" s="61">
        <f>VLOOKUP(Table13[[#This Row],[Donor Name]],'Weighted scores by indicator'!$A$7:$AO$74,19,FALSE)</f>
        <v>0.54327899999999996</v>
      </c>
      <c r="AI37" s="61">
        <f>VLOOKUP(Table13[[#This Row],[Donor Name]],'Weighted scores by indicator'!$A$7:$AO$74,20,FALSE)</f>
        <v>0.54327899999999996</v>
      </c>
      <c r="AJ37" s="61">
        <f>VLOOKUP(Table13[[#This Row],[Donor Name]],'Weighted scores by indicator'!$A$7:$AO$74,21,FALSE)</f>
        <v>0.61993799999999899</v>
      </c>
      <c r="AK37" s="61">
        <f>VLOOKUP(Table13[[#This Row],[Donor Name]],'Weighted scores by indicator'!$A$7:$AO$74,22,FALSE)</f>
        <v>0.61993799999999899</v>
      </c>
      <c r="AL37" s="61">
        <f>VLOOKUP(Table13[[#This Row],[Donor Name]],'Weighted scores by indicator'!$A$7:$AO$74,23,FALSE)</f>
        <v>0.61993799999999899</v>
      </c>
      <c r="AM37" s="61">
        <f>VLOOKUP(Table13[[#This Row],[Donor Name]],'Weighted scores by indicator'!$A$7:$AO$74,24,FALSE)</f>
        <v>0.61993799999999899</v>
      </c>
      <c r="AN37" s="61">
        <f>VLOOKUP(Table13[[#This Row],[Donor Name]],'Weighted scores by indicator'!$A$7:$AO$74,25,FALSE)</f>
        <v>0.61993799999999899</v>
      </c>
      <c r="AO37" s="61">
        <f>VLOOKUP(Table13[[#This Row],[Donor Name]],'Weighted scores by indicator'!$A$7:$AO$74,26,FALSE)</f>
        <v>0</v>
      </c>
      <c r="AP37" s="61">
        <f>VLOOKUP(Table13[[#This Row],[Donor Name]],'Weighted scores by indicator'!$A$7:$AO$74,27,FALSE)</f>
        <v>0</v>
      </c>
      <c r="AQ37" s="61">
        <f>VLOOKUP(Table13[[#This Row],[Donor Name]],'Weighted scores by indicator'!$A$7:$AO$74,28,FALSE)</f>
        <v>0</v>
      </c>
      <c r="AR37" s="61">
        <f>VLOOKUP(Table13[[#This Row],[Donor Name]],'Weighted scores by indicator'!$A$7:$AO$74,29,FALSE)</f>
        <v>0</v>
      </c>
      <c r="AS37" s="61">
        <f>VLOOKUP(Table13[[#This Row],[Donor Name]],'Weighted scores by indicator'!$A$7:$AO$74,30,FALSE)</f>
        <v>0</v>
      </c>
      <c r="AT37" s="61">
        <f>VLOOKUP(Table13[[#This Row],[Donor Name]],'Weighted scores by indicator'!$A$7:$AO$74,31,FALSE)</f>
        <v>0</v>
      </c>
      <c r="AU37" s="61">
        <f>VLOOKUP(Table13[[#This Row],[Donor Name]],'Weighted scores by indicator'!$A$7:$AO$74,32,FALSE)</f>
        <v>0</v>
      </c>
      <c r="AV37" s="61">
        <f>VLOOKUP(Table13[[#This Row],[Donor Name]],'Weighted scores by indicator'!$A$7:$AO$74,33,FALSE)</f>
        <v>1.085</v>
      </c>
      <c r="AW37" s="61">
        <f>VLOOKUP(Table13[[#This Row],[Donor Name]],'Weighted scores by indicator'!$A$7:$AO$74,34,FALSE)</f>
        <v>0</v>
      </c>
      <c r="AX37" s="61">
        <f>VLOOKUP(Table13[[#This Row],[Donor Name]],'Weighted scores by indicator'!$A$7:$AO$74,35,FALSE)</f>
        <v>1.0832249999999899</v>
      </c>
      <c r="AY37" s="61">
        <f>VLOOKUP(Table13[[#This Row],[Donor Name]],'Weighted scores by indicator'!$A$7:$AO$74,36,FALSE)</f>
        <v>0</v>
      </c>
      <c r="AZ37" s="61">
        <f>VLOOKUP(Table13[[#This Row],[Donor Name]],'Weighted scores by indicator'!$A$7:$AO$74,37,FALSE)</f>
        <v>0</v>
      </c>
      <c r="BA37" s="61">
        <f>VLOOKUP(Table13[[#This Row],[Donor Name]],'Weighted scores by indicator'!$A$7:$AO$74,38,FALSE)</f>
        <v>0</v>
      </c>
      <c r="BB37" s="61">
        <f>VLOOKUP(Table13[[#This Row],[Donor Name]],'Weighted scores by indicator'!$A$7:$AO$74,39,FALSE)</f>
        <v>0</v>
      </c>
      <c r="BC37" s="111">
        <f>VLOOKUP(Table13[[#This Row],[Donor Name]],'Weighted scores by indicator'!$A$7:$AO$74,40,FALSE)</f>
        <v>0</v>
      </c>
      <c r="BD37" s="61">
        <f>COUNTIF(Table13[[#This Row],[FOIA]:[Conditions]],"0")</f>
        <v>19</v>
      </c>
      <c r="BE37" s="61">
        <f>COUNTIF(Table13[[#This Row],[FOIA]:[Conditions]],"&gt;0")</f>
        <v>20</v>
      </c>
      <c r="BG37">
        <f>39-SUM(Table13[[#This Row],[No of indicators not scoring on]:[No of indicators scoring on]])</f>
        <v>0</v>
      </c>
    </row>
    <row r="38" spans="1:59" x14ac:dyDescent="0.25">
      <c r="A38" s="104" t="s">
        <v>582</v>
      </c>
      <c r="B38" s="102" t="s">
        <v>581</v>
      </c>
      <c r="C38" s="157">
        <f>VLOOKUP(Table13[[#This Row],[Donor Name]],'Overall scores and ranking'!$A$3:$D$72,2,FALSE)</f>
        <v>17.012573999999987</v>
      </c>
      <c r="D38" s="107">
        <f>VLOOKUP(Table13[[#This Row],[Donor Name]],'Overall scores and ranking'!$A$3:$D$72,3,FALSE)</f>
        <v>53</v>
      </c>
      <c r="E38" s="107">
        <f>RANK(Table13[[#This Row],[Overall Score]],Table13[Overall Score],0)</f>
        <v>35</v>
      </c>
      <c r="F38" s="61" t="str">
        <f>VLOOKUP(Table13[[#This Row],[Donor Name]],'Overall scores and ranking'!$A$3:$D$72,4,FALSE)</f>
        <v>Very Poor</v>
      </c>
      <c r="G38" s="109">
        <f>VLOOKUP(Table13[[#This Row],[Donor Name]],'Wtd - IATI vs Others'!$A$5:$D$72,2,FALSE)</f>
        <v>0</v>
      </c>
      <c r="H38" s="61">
        <f>VLOOKUP(Table13[[#This Row],[Donor Name]],'Wtd - IATI vs Others'!$A$5:$D$72,3,FALSE)</f>
        <v>17.012573999999987</v>
      </c>
      <c r="I38" s="61">
        <f>VLOOKUP(Table13[[#This Row],[Donor Name]],'Wtd scores by sub-groups'!$A$5:$K$72,2,FALSE)</f>
        <v>3.3296669999999997</v>
      </c>
      <c r="J38" s="61">
        <f>VLOOKUP(Table13[[#This Row],[Donor Name]],'Wtd scores by sub-groups'!$A$5:$K$72,3,FALSE)</f>
        <v>6.25</v>
      </c>
      <c r="K38" s="61">
        <f>VLOOKUP(Table13[[#This Row],[Donor Name]],'Wtd scores by sub-groups'!$A$5:$K$72,4,FALSE)</f>
        <v>2.085</v>
      </c>
      <c r="L38" s="61">
        <f>VLOOKUP(Table13[[#This Row],[Donor Name]],'Wtd scores by sub-groups'!$A$5:$K$72,5,FALSE)</f>
        <v>1.6298369999999998</v>
      </c>
      <c r="M38" s="61">
        <f>VLOOKUP(Table13[[#This Row],[Donor Name]],'Wtd scores by sub-groups'!$A$5:$K$72,6,FALSE)</f>
        <v>1.549844999999997</v>
      </c>
      <c r="N38" s="61">
        <f>VLOOKUP(Table13[[#This Row],[Donor Name]],'Wtd scores by sub-groups'!$A$5:$K$72,7,FALSE)</f>
        <v>1.085</v>
      </c>
      <c r="O38" s="61">
        <f>VLOOKUP(Table13[[#This Row],[Donor Name]],'Wtd scores by sub-groups'!$A$5:$K$72,8,FALSE)</f>
        <v>1.0832249999999899</v>
      </c>
      <c r="P38" s="61">
        <f>VLOOKUP(Table13[[#This Row],[Donor Name]],'Wtd scores by sub-groups'!$A$5:$K$72,9,FALSE)</f>
        <v>0</v>
      </c>
      <c r="Q38" s="61">
        <f>VLOOKUP(Table13[[#This Row],[Donor Name]],'Weighted scores by indicator'!$A$7:$AO$74,2,FALSE)</f>
        <v>2.2197779999999998</v>
      </c>
      <c r="R38" s="61">
        <f>VLOOKUP(Table13[[#This Row],[Donor Name]],'Weighted scores by indicator'!$A$7:$AO$74,3,FALSE)</f>
        <v>0</v>
      </c>
      <c r="S38" s="61">
        <f>VLOOKUP(Table13[[#This Row],[Donor Name]],'Weighted scores by indicator'!$A$7:$AO$74,4,FALSE)</f>
        <v>1.1098889999999999</v>
      </c>
      <c r="T38" s="61">
        <f>VLOOKUP(Table13[[#This Row],[Donor Name]],'Weighted scores by indicator'!$A$7:$AO$74,5,FALSE)</f>
        <v>1.25</v>
      </c>
      <c r="U38" s="61">
        <f>VLOOKUP(Table13[[#This Row],[Donor Name]],'Weighted scores by indicator'!$A$7:$AO$74,6,FALSE)</f>
        <v>1.25</v>
      </c>
      <c r="V38" s="61">
        <f>VLOOKUP(Table13[[#This Row],[Donor Name]],'Weighted scores by indicator'!$A$7:$AO$74,7,FALSE)</f>
        <v>1.25</v>
      </c>
      <c r="W38" s="61">
        <f>VLOOKUP(Table13[[#This Row],[Donor Name]],'Weighted scores by indicator'!$A$7:$AO$74,8,FALSE)</f>
        <v>1.25</v>
      </c>
      <c r="X38" s="61">
        <f>VLOOKUP(Table13[[#This Row],[Donor Name]],'Weighted scores by indicator'!$A$7:$AO$74,9,FALSE)</f>
        <v>1.25</v>
      </c>
      <c r="Y38" s="61">
        <f>VLOOKUP(Table13[[#This Row],[Donor Name]],'Weighted scores by indicator'!$A$7:$AO$74,10,FALSE)</f>
        <v>0</v>
      </c>
      <c r="Z38" s="61">
        <f>VLOOKUP(Table13[[#This Row],[Donor Name]],'Weighted scores by indicator'!$A$7:$AO$74,11,FALSE)</f>
        <v>0</v>
      </c>
      <c r="AA38" s="61">
        <f>VLOOKUP(Table13[[#This Row],[Donor Name]],'Weighted scores by indicator'!$A$7:$AO$74,12,FALSE)</f>
        <v>2.085</v>
      </c>
      <c r="AB38" s="61">
        <f>VLOOKUP(Table13[[#This Row],[Donor Name]],'Weighted scores by indicator'!$A$7:$AO$74,13,FALSE)</f>
        <v>0.54327899999999996</v>
      </c>
      <c r="AC38" s="61">
        <f>VLOOKUP(Table13[[#This Row],[Donor Name]],'Weighted scores by indicator'!$A$7:$AO$74,14,FALSE)</f>
        <v>0</v>
      </c>
      <c r="AD38" s="61">
        <f>VLOOKUP(Table13[[#This Row],[Donor Name]],'Weighted scores by indicator'!$A$7:$AO$74,15,FALSE)</f>
        <v>0.54327899999999996</v>
      </c>
      <c r="AE38" s="61">
        <f>VLOOKUP(Table13[[#This Row],[Donor Name]],'Weighted scores by indicator'!$A$7:$AO$74,16,FALSE)</f>
        <v>0.54327899999999996</v>
      </c>
      <c r="AF38" s="61">
        <f>VLOOKUP(Table13[[#This Row],[Donor Name]],'Weighted scores by indicator'!$A$7:$AO$74,17,FALSE)</f>
        <v>0</v>
      </c>
      <c r="AG38" s="61">
        <f>VLOOKUP(Table13[[#This Row],[Donor Name]],'Weighted scores by indicator'!$A$7:$AO$74,18,FALSE)</f>
        <v>0</v>
      </c>
      <c r="AH38" s="61">
        <f>VLOOKUP(Table13[[#This Row],[Donor Name]],'Weighted scores by indicator'!$A$7:$AO$74,19,FALSE)</f>
        <v>0</v>
      </c>
      <c r="AI38" s="61">
        <f>VLOOKUP(Table13[[#This Row],[Donor Name]],'Weighted scores by indicator'!$A$7:$AO$74,20,FALSE)</f>
        <v>0</v>
      </c>
      <c r="AJ38" s="61">
        <f>VLOOKUP(Table13[[#This Row],[Donor Name]],'Weighted scores by indicator'!$A$7:$AO$74,21,FALSE)</f>
        <v>0</v>
      </c>
      <c r="AK38" s="61">
        <f>VLOOKUP(Table13[[#This Row],[Donor Name]],'Weighted scores by indicator'!$A$7:$AO$74,22,FALSE)</f>
        <v>0.61993799999999899</v>
      </c>
      <c r="AL38" s="61">
        <f>VLOOKUP(Table13[[#This Row],[Donor Name]],'Weighted scores by indicator'!$A$7:$AO$74,23,FALSE)</f>
        <v>0</v>
      </c>
      <c r="AM38" s="61">
        <f>VLOOKUP(Table13[[#This Row],[Donor Name]],'Weighted scores by indicator'!$A$7:$AO$74,24,FALSE)</f>
        <v>0.61993799999999899</v>
      </c>
      <c r="AN38" s="61">
        <f>VLOOKUP(Table13[[#This Row],[Donor Name]],'Weighted scores by indicator'!$A$7:$AO$74,25,FALSE)</f>
        <v>0</v>
      </c>
      <c r="AO38" s="61">
        <f>VLOOKUP(Table13[[#This Row],[Donor Name]],'Weighted scores by indicator'!$A$7:$AO$74,26,FALSE)</f>
        <v>0.309968999999999</v>
      </c>
      <c r="AP38" s="61">
        <f>VLOOKUP(Table13[[#This Row],[Donor Name]],'Weighted scores by indicator'!$A$7:$AO$74,27,FALSE)</f>
        <v>0</v>
      </c>
      <c r="AQ38" s="61">
        <f>VLOOKUP(Table13[[#This Row],[Donor Name]],'Weighted scores by indicator'!$A$7:$AO$74,28,FALSE)</f>
        <v>0</v>
      </c>
      <c r="AR38" s="61">
        <f>VLOOKUP(Table13[[#This Row],[Donor Name]],'Weighted scores by indicator'!$A$7:$AO$74,29,FALSE)</f>
        <v>0</v>
      </c>
      <c r="AS38" s="61">
        <f>VLOOKUP(Table13[[#This Row],[Donor Name]],'Weighted scores by indicator'!$A$7:$AO$74,30,FALSE)</f>
        <v>1.085</v>
      </c>
      <c r="AT38" s="61">
        <f>VLOOKUP(Table13[[#This Row],[Donor Name]],'Weighted scores by indicator'!$A$7:$AO$74,31,FALSE)</f>
        <v>0</v>
      </c>
      <c r="AU38" s="61">
        <f>VLOOKUP(Table13[[#This Row],[Donor Name]],'Weighted scores by indicator'!$A$7:$AO$74,32,FALSE)</f>
        <v>0</v>
      </c>
      <c r="AV38" s="61">
        <f>VLOOKUP(Table13[[#This Row],[Donor Name]],'Weighted scores by indicator'!$A$7:$AO$74,33,FALSE)</f>
        <v>0</v>
      </c>
      <c r="AW38" s="61">
        <f>VLOOKUP(Table13[[#This Row],[Donor Name]],'Weighted scores by indicator'!$A$7:$AO$74,34,FALSE)</f>
        <v>0</v>
      </c>
      <c r="AX38" s="61">
        <f>VLOOKUP(Table13[[#This Row],[Donor Name]],'Weighted scores by indicator'!$A$7:$AO$74,35,FALSE)</f>
        <v>1.0832249999999899</v>
      </c>
      <c r="AY38" s="61">
        <f>VLOOKUP(Table13[[#This Row],[Donor Name]],'Weighted scores by indicator'!$A$7:$AO$74,36,FALSE)</f>
        <v>0</v>
      </c>
      <c r="AZ38" s="61">
        <f>VLOOKUP(Table13[[#This Row],[Donor Name]],'Weighted scores by indicator'!$A$7:$AO$74,37,FALSE)</f>
        <v>0</v>
      </c>
      <c r="BA38" s="61">
        <f>VLOOKUP(Table13[[#This Row],[Donor Name]],'Weighted scores by indicator'!$A$7:$AO$74,38,FALSE)</f>
        <v>0</v>
      </c>
      <c r="BB38" s="61">
        <f>VLOOKUP(Table13[[#This Row],[Donor Name]],'Weighted scores by indicator'!$A$7:$AO$74,39,FALSE)</f>
        <v>0</v>
      </c>
      <c r="BC38" s="111">
        <f>VLOOKUP(Table13[[#This Row],[Donor Name]],'Weighted scores by indicator'!$A$7:$AO$74,40,FALSE)</f>
        <v>0</v>
      </c>
      <c r="BD38" s="61">
        <f>COUNTIF(Table13[[#This Row],[FOIA]:[Conditions]],"0")</f>
        <v>23</v>
      </c>
      <c r="BE38" s="61">
        <f>COUNTIF(Table13[[#This Row],[FOIA]:[Conditions]],"&gt;0")</f>
        <v>16</v>
      </c>
      <c r="BG38">
        <f>39-SUM(Table13[[#This Row],[No of indicators not scoring on]:[No of indicators scoring on]])</f>
        <v>0</v>
      </c>
    </row>
    <row r="39" spans="1:59" x14ac:dyDescent="0.25">
      <c r="A39" s="104" t="s">
        <v>2341</v>
      </c>
      <c r="B39" s="102" t="s">
        <v>2340</v>
      </c>
      <c r="C39" s="157">
        <f>VLOOKUP(Table13[[#This Row],[Donor Name]],'Overall scores and ranking'!$A$3:$D$72,2,FALSE)</f>
        <v>15.646043999999986</v>
      </c>
      <c r="D39" s="107">
        <f>VLOOKUP(Table13[[#This Row],[Donor Name]],'Overall scores and ranking'!$A$3:$D$72,3,FALSE)</f>
        <v>54</v>
      </c>
      <c r="E39" s="107">
        <f>RANK(Table13[[#This Row],[Overall Score]],Table13[Overall Score],0)</f>
        <v>36</v>
      </c>
      <c r="F39" s="61" t="str">
        <f>VLOOKUP(Table13[[#This Row],[Donor Name]],'Overall scores and ranking'!$A$3:$D$72,4,FALSE)</f>
        <v>Very Poor</v>
      </c>
      <c r="G39" s="109">
        <f>VLOOKUP(Table13[[#This Row],[Donor Name]],'Wtd - IATI vs Others'!$A$5:$D$72,2,FALSE)</f>
        <v>0</v>
      </c>
      <c r="H39" s="61">
        <f>VLOOKUP(Table13[[#This Row],[Donor Name]],'Wtd - IATI vs Others'!$A$5:$D$72,3,FALSE)</f>
        <v>15.646043999999986</v>
      </c>
      <c r="I39" s="61">
        <f>VLOOKUP(Table13[[#This Row],[Donor Name]],'Wtd scores by sub-groups'!$A$5:$K$72,2,FALSE)</f>
        <v>1.1098889999999999</v>
      </c>
      <c r="J39" s="61">
        <f>VLOOKUP(Table13[[#This Row],[Donor Name]],'Wtd scores by sub-groups'!$A$5:$K$72,3,FALSE)</f>
        <v>6.25</v>
      </c>
      <c r="K39" s="61">
        <f>VLOOKUP(Table13[[#This Row],[Donor Name]],'Wtd scores by sub-groups'!$A$5:$K$72,4,FALSE)</f>
        <v>2.085</v>
      </c>
      <c r="L39" s="61">
        <f>VLOOKUP(Table13[[#This Row],[Donor Name]],'Wtd scores by sub-groups'!$A$5:$K$72,5,FALSE)</f>
        <v>2.1731159999999998</v>
      </c>
      <c r="M39" s="61">
        <f>VLOOKUP(Table13[[#This Row],[Donor Name]],'Wtd scores by sub-groups'!$A$5:$K$72,6,FALSE)</f>
        <v>1.859813999999997</v>
      </c>
      <c r="N39" s="61">
        <f>VLOOKUP(Table13[[#This Row],[Donor Name]],'Wtd scores by sub-groups'!$A$5:$K$72,7,FALSE)</f>
        <v>1.085</v>
      </c>
      <c r="O39" s="61">
        <f>VLOOKUP(Table13[[#This Row],[Donor Name]],'Wtd scores by sub-groups'!$A$5:$K$72,8,FALSE)</f>
        <v>1.0832249999999899</v>
      </c>
      <c r="P39" s="61">
        <f>VLOOKUP(Table13[[#This Row],[Donor Name]],'Wtd scores by sub-groups'!$A$5:$K$72,9,FALSE)</f>
        <v>0</v>
      </c>
      <c r="Q39" s="61">
        <f>VLOOKUP(Table13[[#This Row],[Donor Name]],'Weighted scores by indicator'!$A$7:$AO$74,2,FALSE)</f>
        <v>1.1098889999999999</v>
      </c>
      <c r="R39" s="61">
        <f>VLOOKUP(Table13[[#This Row],[Donor Name]],'Weighted scores by indicator'!$A$7:$AO$74,3,FALSE)</f>
        <v>0</v>
      </c>
      <c r="S39" s="61">
        <f>VLOOKUP(Table13[[#This Row],[Donor Name]],'Weighted scores by indicator'!$A$7:$AO$74,4,FALSE)</f>
        <v>0</v>
      </c>
      <c r="T39" s="61">
        <f>VLOOKUP(Table13[[#This Row],[Donor Name]],'Weighted scores by indicator'!$A$7:$AO$74,5,FALSE)</f>
        <v>1.25</v>
      </c>
      <c r="U39" s="61">
        <f>VLOOKUP(Table13[[#This Row],[Donor Name]],'Weighted scores by indicator'!$A$7:$AO$74,6,FALSE)</f>
        <v>1.25</v>
      </c>
      <c r="V39" s="61">
        <f>VLOOKUP(Table13[[#This Row],[Donor Name]],'Weighted scores by indicator'!$A$7:$AO$74,7,FALSE)</f>
        <v>1.25</v>
      </c>
      <c r="W39" s="61">
        <f>VLOOKUP(Table13[[#This Row],[Donor Name]],'Weighted scores by indicator'!$A$7:$AO$74,8,FALSE)</f>
        <v>1.25</v>
      </c>
      <c r="X39" s="61">
        <f>VLOOKUP(Table13[[#This Row],[Donor Name]],'Weighted scores by indicator'!$A$7:$AO$74,9,FALSE)</f>
        <v>1.25</v>
      </c>
      <c r="Y39" s="61">
        <f>VLOOKUP(Table13[[#This Row],[Donor Name]],'Weighted scores by indicator'!$A$7:$AO$74,10,FALSE)</f>
        <v>0</v>
      </c>
      <c r="Z39" s="61">
        <f>VLOOKUP(Table13[[#This Row],[Donor Name]],'Weighted scores by indicator'!$A$7:$AO$74,11,FALSE)</f>
        <v>0</v>
      </c>
      <c r="AA39" s="61">
        <f>VLOOKUP(Table13[[#This Row],[Donor Name]],'Weighted scores by indicator'!$A$7:$AO$74,12,FALSE)</f>
        <v>2.085</v>
      </c>
      <c r="AB39" s="61">
        <f>VLOOKUP(Table13[[#This Row],[Donor Name]],'Weighted scores by indicator'!$A$7:$AO$74,13,FALSE)</f>
        <v>0.54327899999999996</v>
      </c>
      <c r="AC39" s="61">
        <f>VLOOKUP(Table13[[#This Row],[Donor Name]],'Weighted scores by indicator'!$A$7:$AO$74,14,FALSE)</f>
        <v>0</v>
      </c>
      <c r="AD39" s="61">
        <f>VLOOKUP(Table13[[#This Row],[Donor Name]],'Weighted scores by indicator'!$A$7:$AO$74,15,FALSE)</f>
        <v>0.54327899999999996</v>
      </c>
      <c r="AE39" s="61">
        <f>VLOOKUP(Table13[[#This Row],[Donor Name]],'Weighted scores by indicator'!$A$7:$AO$74,16,FALSE)</f>
        <v>0.54327899999999996</v>
      </c>
      <c r="AF39" s="61">
        <f>VLOOKUP(Table13[[#This Row],[Donor Name]],'Weighted scores by indicator'!$A$7:$AO$74,17,FALSE)</f>
        <v>0</v>
      </c>
      <c r="AG39" s="61">
        <f>VLOOKUP(Table13[[#This Row],[Donor Name]],'Weighted scores by indicator'!$A$7:$AO$74,18,FALSE)</f>
        <v>0</v>
      </c>
      <c r="AH39" s="61">
        <f>VLOOKUP(Table13[[#This Row],[Donor Name]],'Weighted scores by indicator'!$A$7:$AO$74,19,FALSE)</f>
        <v>0</v>
      </c>
      <c r="AI39" s="61">
        <f>VLOOKUP(Table13[[#This Row],[Donor Name]],'Weighted scores by indicator'!$A$7:$AO$74,20,FALSE)</f>
        <v>0.54327899999999996</v>
      </c>
      <c r="AJ39" s="61">
        <f>VLOOKUP(Table13[[#This Row],[Donor Name]],'Weighted scores by indicator'!$A$7:$AO$74,21,FALSE)</f>
        <v>0.61993799999999899</v>
      </c>
      <c r="AK39" s="61">
        <f>VLOOKUP(Table13[[#This Row],[Donor Name]],'Weighted scores by indicator'!$A$7:$AO$74,22,FALSE)</f>
        <v>0</v>
      </c>
      <c r="AL39" s="61">
        <f>VLOOKUP(Table13[[#This Row],[Donor Name]],'Weighted scores by indicator'!$A$7:$AO$74,23,FALSE)</f>
        <v>0</v>
      </c>
      <c r="AM39" s="61">
        <f>VLOOKUP(Table13[[#This Row],[Donor Name]],'Weighted scores by indicator'!$A$7:$AO$74,24,FALSE)</f>
        <v>0.61993799999999899</v>
      </c>
      <c r="AN39" s="61">
        <f>VLOOKUP(Table13[[#This Row],[Donor Name]],'Weighted scores by indicator'!$A$7:$AO$74,25,FALSE)</f>
        <v>0.61993799999999899</v>
      </c>
      <c r="AO39" s="61">
        <f>VLOOKUP(Table13[[#This Row],[Donor Name]],'Weighted scores by indicator'!$A$7:$AO$74,26,FALSE)</f>
        <v>0</v>
      </c>
      <c r="AP39" s="61">
        <f>VLOOKUP(Table13[[#This Row],[Donor Name]],'Weighted scores by indicator'!$A$7:$AO$74,27,FALSE)</f>
        <v>0</v>
      </c>
      <c r="AQ39" s="61">
        <f>VLOOKUP(Table13[[#This Row],[Donor Name]],'Weighted scores by indicator'!$A$7:$AO$74,28,FALSE)</f>
        <v>0</v>
      </c>
      <c r="AR39" s="61">
        <f>VLOOKUP(Table13[[#This Row],[Donor Name]],'Weighted scores by indicator'!$A$7:$AO$74,29,FALSE)</f>
        <v>0</v>
      </c>
      <c r="AS39" s="61">
        <f>VLOOKUP(Table13[[#This Row],[Donor Name]],'Weighted scores by indicator'!$A$7:$AO$74,30,FALSE)</f>
        <v>0</v>
      </c>
      <c r="AT39" s="61">
        <f>VLOOKUP(Table13[[#This Row],[Donor Name]],'Weighted scores by indicator'!$A$7:$AO$74,31,FALSE)</f>
        <v>0</v>
      </c>
      <c r="AU39" s="61">
        <f>VLOOKUP(Table13[[#This Row],[Donor Name]],'Weighted scores by indicator'!$A$7:$AO$74,32,FALSE)</f>
        <v>0</v>
      </c>
      <c r="AV39" s="61">
        <f>VLOOKUP(Table13[[#This Row],[Donor Name]],'Weighted scores by indicator'!$A$7:$AO$74,33,FALSE)</f>
        <v>1.085</v>
      </c>
      <c r="AW39" s="61">
        <f>VLOOKUP(Table13[[#This Row],[Donor Name]],'Weighted scores by indicator'!$A$7:$AO$74,34,FALSE)</f>
        <v>0</v>
      </c>
      <c r="AX39" s="61">
        <f>VLOOKUP(Table13[[#This Row],[Donor Name]],'Weighted scores by indicator'!$A$7:$AO$74,35,FALSE)</f>
        <v>1.0832249999999899</v>
      </c>
      <c r="AY39" s="61">
        <f>VLOOKUP(Table13[[#This Row],[Donor Name]],'Weighted scores by indicator'!$A$7:$AO$74,36,FALSE)</f>
        <v>0</v>
      </c>
      <c r="AZ39" s="61">
        <f>VLOOKUP(Table13[[#This Row],[Donor Name]],'Weighted scores by indicator'!$A$7:$AO$74,37,FALSE)</f>
        <v>0</v>
      </c>
      <c r="BA39" s="61">
        <f>VLOOKUP(Table13[[#This Row],[Donor Name]],'Weighted scores by indicator'!$A$7:$AO$74,38,FALSE)</f>
        <v>0</v>
      </c>
      <c r="BB39" s="61">
        <f>VLOOKUP(Table13[[#This Row],[Donor Name]],'Weighted scores by indicator'!$A$7:$AO$74,39,FALSE)</f>
        <v>0</v>
      </c>
      <c r="BC39" s="111">
        <f>VLOOKUP(Table13[[#This Row],[Donor Name]],'Weighted scores by indicator'!$A$7:$AO$74,40,FALSE)</f>
        <v>0</v>
      </c>
      <c r="BD39" s="61">
        <f>COUNTIF(Table13[[#This Row],[FOIA]:[Conditions]],"0")</f>
        <v>23</v>
      </c>
      <c r="BE39" s="61">
        <f>COUNTIF(Table13[[#This Row],[FOIA]:[Conditions]],"&gt;0")</f>
        <v>16</v>
      </c>
      <c r="BG39">
        <f>39-SUM(Table13[[#This Row],[No of indicators not scoring on]:[No of indicators scoring on]])</f>
        <v>0</v>
      </c>
    </row>
    <row r="40" spans="1:59" x14ac:dyDescent="0.25">
      <c r="A40" s="104" t="s">
        <v>1565</v>
      </c>
      <c r="B40" s="102" t="s">
        <v>1564</v>
      </c>
      <c r="C40" s="157">
        <f>VLOOKUP(Table13[[#This Row],[Donor Name]],'Overall scores and ranking'!$A$3:$D$72,2,FALSE)</f>
        <v>14.359405999999987</v>
      </c>
      <c r="D40" s="107">
        <f>VLOOKUP(Table13[[#This Row],[Donor Name]],'Overall scores and ranking'!$A$3:$D$72,3,FALSE)</f>
        <v>55</v>
      </c>
      <c r="E40" s="107">
        <f>RANK(Table13[[#This Row],[Overall Score]],Table13[Overall Score],0)</f>
        <v>37</v>
      </c>
      <c r="F40" s="61" t="str">
        <f>VLOOKUP(Table13[[#This Row],[Donor Name]],'Overall scores and ranking'!$A$3:$D$72,4,FALSE)</f>
        <v>Very Poor</v>
      </c>
      <c r="G40" s="109">
        <f>VLOOKUP(Table13[[#This Row],[Donor Name]],'Wtd - IATI vs Others'!$A$5:$D$72,2,FALSE)</f>
        <v>0</v>
      </c>
      <c r="H40" s="61">
        <f>VLOOKUP(Table13[[#This Row],[Donor Name]],'Wtd - IATI vs Others'!$A$5:$D$72,3,FALSE)</f>
        <v>14.359405999999987</v>
      </c>
      <c r="I40" s="61">
        <f>VLOOKUP(Table13[[#This Row],[Donor Name]],'Wtd scores by sub-groups'!$A$5:$K$72,2,FALSE)</f>
        <v>2.2197779999999998</v>
      </c>
      <c r="J40" s="61">
        <f>VLOOKUP(Table13[[#This Row],[Donor Name]],'Wtd scores by sub-groups'!$A$5:$K$72,3,FALSE)</f>
        <v>6.25</v>
      </c>
      <c r="K40" s="61">
        <f>VLOOKUP(Table13[[#This Row],[Donor Name]],'Wtd scores by sub-groups'!$A$5:$K$72,4,FALSE)</f>
        <v>0.463287</v>
      </c>
      <c r="L40" s="61">
        <f>VLOOKUP(Table13[[#This Row],[Donor Name]],'Wtd scores by sub-groups'!$A$5:$K$72,5,FALSE)</f>
        <v>2.1731159999999998</v>
      </c>
      <c r="M40" s="61">
        <f>VLOOKUP(Table13[[#This Row],[Donor Name]],'Wtd scores by sub-groups'!$A$5:$K$72,6,FALSE)</f>
        <v>0</v>
      </c>
      <c r="N40" s="61">
        <f>VLOOKUP(Table13[[#This Row],[Donor Name]],'Wtd scores by sub-groups'!$A$5:$K$72,7,FALSE)</f>
        <v>2.17</v>
      </c>
      <c r="O40" s="61">
        <f>VLOOKUP(Table13[[#This Row],[Donor Name]],'Wtd scores by sub-groups'!$A$5:$K$72,8,FALSE)</f>
        <v>1.0832249999999899</v>
      </c>
      <c r="P40" s="61">
        <f>VLOOKUP(Table13[[#This Row],[Donor Name]],'Wtd scores by sub-groups'!$A$5:$K$72,9,FALSE)</f>
        <v>0</v>
      </c>
      <c r="Q40" s="61">
        <f>VLOOKUP(Table13[[#This Row],[Donor Name]],'Weighted scores by indicator'!$A$7:$AO$74,2,FALSE)</f>
        <v>2.2197779999999998</v>
      </c>
      <c r="R40" s="61">
        <f>VLOOKUP(Table13[[#This Row],[Donor Name]],'Weighted scores by indicator'!$A$7:$AO$74,3,FALSE)</f>
        <v>0</v>
      </c>
      <c r="S40" s="61">
        <f>VLOOKUP(Table13[[#This Row],[Donor Name]],'Weighted scores by indicator'!$A$7:$AO$74,4,FALSE)</f>
        <v>0</v>
      </c>
      <c r="T40" s="61">
        <f>VLOOKUP(Table13[[#This Row],[Donor Name]],'Weighted scores by indicator'!$A$7:$AO$74,5,FALSE)</f>
        <v>1.25</v>
      </c>
      <c r="U40" s="61">
        <f>VLOOKUP(Table13[[#This Row],[Donor Name]],'Weighted scores by indicator'!$A$7:$AO$74,6,FALSE)</f>
        <v>1.25</v>
      </c>
      <c r="V40" s="61">
        <f>VLOOKUP(Table13[[#This Row],[Donor Name]],'Weighted scores by indicator'!$A$7:$AO$74,7,FALSE)</f>
        <v>1.25</v>
      </c>
      <c r="W40" s="61">
        <f>VLOOKUP(Table13[[#This Row],[Donor Name]],'Weighted scores by indicator'!$A$7:$AO$74,8,FALSE)</f>
        <v>1.25</v>
      </c>
      <c r="X40" s="61">
        <f>VLOOKUP(Table13[[#This Row],[Donor Name]],'Weighted scores by indicator'!$A$7:$AO$74,9,FALSE)</f>
        <v>1.25</v>
      </c>
      <c r="Y40" s="61">
        <f>VLOOKUP(Table13[[#This Row],[Donor Name]],'Weighted scores by indicator'!$A$7:$AO$74,10,FALSE)</f>
        <v>0.2316435</v>
      </c>
      <c r="Z40" s="61">
        <f>VLOOKUP(Table13[[#This Row],[Donor Name]],'Weighted scores by indicator'!$A$7:$AO$74,11,FALSE)</f>
        <v>0.2316435</v>
      </c>
      <c r="AA40" s="61">
        <f>VLOOKUP(Table13[[#This Row],[Donor Name]],'Weighted scores by indicator'!$A$7:$AO$74,12,FALSE)</f>
        <v>0</v>
      </c>
      <c r="AB40" s="61">
        <f>VLOOKUP(Table13[[#This Row],[Donor Name]],'Weighted scores by indicator'!$A$7:$AO$74,13,FALSE)</f>
        <v>0.54327899999999996</v>
      </c>
      <c r="AC40" s="61">
        <f>VLOOKUP(Table13[[#This Row],[Donor Name]],'Weighted scores by indicator'!$A$7:$AO$74,14,FALSE)</f>
        <v>0.54327899999999996</v>
      </c>
      <c r="AD40" s="61">
        <f>VLOOKUP(Table13[[#This Row],[Donor Name]],'Weighted scores by indicator'!$A$7:$AO$74,15,FALSE)</f>
        <v>0.54327899999999996</v>
      </c>
      <c r="AE40" s="61">
        <f>VLOOKUP(Table13[[#This Row],[Donor Name]],'Weighted scores by indicator'!$A$7:$AO$74,16,FALSE)</f>
        <v>0</v>
      </c>
      <c r="AF40" s="61">
        <f>VLOOKUP(Table13[[#This Row],[Donor Name]],'Weighted scores by indicator'!$A$7:$AO$74,17,FALSE)</f>
        <v>0</v>
      </c>
      <c r="AG40" s="61">
        <f>VLOOKUP(Table13[[#This Row],[Donor Name]],'Weighted scores by indicator'!$A$7:$AO$74,18,FALSE)</f>
        <v>0</v>
      </c>
      <c r="AH40" s="61">
        <f>VLOOKUP(Table13[[#This Row],[Donor Name]],'Weighted scores by indicator'!$A$7:$AO$74,19,FALSE)</f>
        <v>0</v>
      </c>
      <c r="AI40" s="61">
        <f>VLOOKUP(Table13[[#This Row],[Donor Name]],'Weighted scores by indicator'!$A$7:$AO$74,20,FALSE)</f>
        <v>0.54327899999999996</v>
      </c>
      <c r="AJ40" s="61">
        <f>VLOOKUP(Table13[[#This Row],[Donor Name]],'Weighted scores by indicator'!$A$7:$AO$74,21,FALSE)</f>
        <v>0</v>
      </c>
      <c r="AK40" s="61">
        <f>VLOOKUP(Table13[[#This Row],[Donor Name]],'Weighted scores by indicator'!$A$7:$AO$74,22,FALSE)</f>
        <v>0</v>
      </c>
      <c r="AL40" s="61">
        <f>VLOOKUP(Table13[[#This Row],[Donor Name]],'Weighted scores by indicator'!$A$7:$AO$74,23,FALSE)</f>
        <v>0</v>
      </c>
      <c r="AM40" s="61">
        <f>VLOOKUP(Table13[[#This Row],[Donor Name]],'Weighted scores by indicator'!$A$7:$AO$74,24,FALSE)</f>
        <v>0</v>
      </c>
      <c r="AN40" s="61">
        <f>VLOOKUP(Table13[[#This Row],[Donor Name]],'Weighted scores by indicator'!$A$7:$AO$74,25,FALSE)</f>
        <v>0</v>
      </c>
      <c r="AO40" s="61">
        <f>VLOOKUP(Table13[[#This Row],[Donor Name]],'Weighted scores by indicator'!$A$7:$AO$74,26,FALSE)</f>
        <v>0</v>
      </c>
      <c r="AP40" s="61">
        <f>VLOOKUP(Table13[[#This Row],[Donor Name]],'Weighted scores by indicator'!$A$7:$AO$74,27,FALSE)</f>
        <v>0</v>
      </c>
      <c r="AQ40" s="61">
        <f>VLOOKUP(Table13[[#This Row],[Donor Name]],'Weighted scores by indicator'!$A$7:$AO$74,28,FALSE)</f>
        <v>0</v>
      </c>
      <c r="AR40" s="61">
        <f>VLOOKUP(Table13[[#This Row],[Donor Name]],'Weighted scores by indicator'!$A$7:$AO$74,29,FALSE)</f>
        <v>1.085</v>
      </c>
      <c r="AS40" s="61">
        <f>VLOOKUP(Table13[[#This Row],[Donor Name]],'Weighted scores by indicator'!$A$7:$AO$74,30,FALSE)</f>
        <v>0</v>
      </c>
      <c r="AT40" s="61">
        <f>VLOOKUP(Table13[[#This Row],[Donor Name]],'Weighted scores by indicator'!$A$7:$AO$74,31,FALSE)</f>
        <v>0</v>
      </c>
      <c r="AU40" s="61">
        <f>VLOOKUP(Table13[[#This Row],[Donor Name]],'Weighted scores by indicator'!$A$7:$AO$74,32,FALSE)</f>
        <v>0</v>
      </c>
      <c r="AV40" s="61">
        <f>VLOOKUP(Table13[[#This Row],[Donor Name]],'Weighted scores by indicator'!$A$7:$AO$74,33,FALSE)</f>
        <v>1.085</v>
      </c>
      <c r="AW40" s="61">
        <f>VLOOKUP(Table13[[#This Row],[Donor Name]],'Weighted scores by indicator'!$A$7:$AO$74,34,FALSE)</f>
        <v>0</v>
      </c>
      <c r="AX40" s="61">
        <f>VLOOKUP(Table13[[#This Row],[Donor Name]],'Weighted scores by indicator'!$A$7:$AO$74,35,FALSE)</f>
        <v>1.0832249999999899</v>
      </c>
      <c r="AY40" s="61">
        <f>VLOOKUP(Table13[[#This Row],[Donor Name]],'Weighted scores by indicator'!$A$7:$AO$74,36,FALSE)</f>
        <v>0</v>
      </c>
      <c r="AZ40" s="61">
        <f>VLOOKUP(Table13[[#This Row],[Donor Name]],'Weighted scores by indicator'!$A$7:$AO$74,37,FALSE)</f>
        <v>0</v>
      </c>
      <c r="BA40" s="61">
        <f>VLOOKUP(Table13[[#This Row],[Donor Name]],'Weighted scores by indicator'!$A$7:$AO$74,38,FALSE)</f>
        <v>0</v>
      </c>
      <c r="BB40" s="61">
        <f>VLOOKUP(Table13[[#This Row],[Donor Name]],'Weighted scores by indicator'!$A$7:$AO$74,39,FALSE)</f>
        <v>0</v>
      </c>
      <c r="BC40" s="111">
        <f>VLOOKUP(Table13[[#This Row],[Donor Name]],'Weighted scores by indicator'!$A$7:$AO$74,40,FALSE)</f>
        <v>0</v>
      </c>
      <c r="BD40" s="61">
        <f>COUNTIF(Table13[[#This Row],[FOIA]:[Conditions]],"0")</f>
        <v>24</v>
      </c>
      <c r="BE40" s="61">
        <f>COUNTIF(Table13[[#This Row],[FOIA]:[Conditions]],"&gt;0")</f>
        <v>15</v>
      </c>
      <c r="BG40">
        <f>39-SUM(Table13[[#This Row],[No of indicators not scoring on]:[No of indicators scoring on]])</f>
        <v>0</v>
      </c>
    </row>
    <row r="41" spans="1:59" x14ac:dyDescent="0.25">
      <c r="A41" s="105" t="s">
        <v>174</v>
      </c>
      <c r="B41" s="103" t="s">
        <v>173</v>
      </c>
      <c r="C41" s="157">
        <f>VLOOKUP(Table13[[#This Row],[Donor Name]],'Overall scores and ranking'!$A$3:$D$72,2,FALSE)</f>
        <v>11.814868499999999</v>
      </c>
      <c r="D41" s="107">
        <f>VLOOKUP(Table13[[#This Row],[Donor Name]],'Overall scores and ranking'!$A$3:$D$72,3,FALSE)</f>
        <v>56</v>
      </c>
      <c r="E41" s="107">
        <f>RANK(Table13[[#This Row],[Overall Score]],Table13[Overall Score],0)</f>
        <v>38</v>
      </c>
      <c r="F41" s="61" t="str">
        <f>VLOOKUP(Table13[[#This Row],[Donor Name]],'Overall scores and ranking'!$A$3:$D$72,4,FALSE)</f>
        <v>Very Poor</v>
      </c>
      <c r="G41" s="109">
        <f>VLOOKUP(Table13[[#This Row],[Donor Name]],'Wtd - IATI vs Others'!$A$5:$D$72,2,FALSE)</f>
        <v>0</v>
      </c>
      <c r="H41" s="61">
        <f>VLOOKUP(Table13[[#This Row],[Donor Name]],'Wtd - IATI vs Others'!$A$5:$D$72,3,FALSE)</f>
        <v>11.814868499999999</v>
      </c>
      <c r="I41" s="61">
        <f>VLOOKUP(Table13[[#This Row],[Donor Name]],'Wtd scores by sub-groups'!$A$5:$K$72,2,FALSE)</f>
        <v>3.33</v>
      </c>
      <c r="J41" s="61">
        <f>VLOOKUP(Table13[[#This Row],[Donor Name]],'Wtd scores by sub-groups'!$A$5:$K$72,3,FALSE)</f>
        <v>5</v>
      </c>
      <c r="K41" s="61">
        <f>VLOOKUP(Table13[[#This Row],[Donor Name]],'Wtd scores by sub-groups'!$A$5:$K$72,4,FALSE)</f>
        <v>0.69493050000000001</v>
      </c>
      <c r="L41" s="61">
        <f>VLOOKUP(Table13[[#This Row],[Donor Name]],'Wtd scores by sub-groups'!$A$5:$K$72,5,FALSE)</f>
        <v>0</v>
      </c>
      <c r="M41" s="61">
        <f>VLOOKUP(Table13[[#This Row],[Donor Name]],'Wtd scores by sub-groups'!$A$5:$K$72,6,FALSE)</f>
        <v>0.61993799999999899</v>
      </c>
      <c r="N41" s="61">
        <f>VLOOKUP(Table13[[#This Row],[Donor Name]],'Wtd scores by sub-groups'!$A$5:$K$72,7,FALSE)</f>
        <v>2.17</v>
      </c>
      <c r="O41" s="61">
        <f>VLOOKUP(Table13[[#This Row],[Donor Name]],'Wtd scores by sub-groups'!$A$5:$K$72,8,FALSE)</f>
        <v>0</v>
      </c>
      <c r="P41" s="61">
        <f>VLOOKUP(Table13[[#This Row],[Donor Name]],'Wtd scores by sub-groups'!$A$5:$K$72,9,FALSE)</f>
        <v>0</v>
      </c>
      <c r="Q41" s="61">
        <f>VLOOKUP(Table13[[#This Row],[Donor Name]],'Weighted scores by indicator'!$A$7:$AO$74,2,FALSE)</f>
        <v>3.33</v>
      </c>
      <c r="R41" s="61">
        <f>VLOOKUP(Table13[[#This Row],[Donor Name]],'Weighted scores by indicator'!$A$7:$AO$74,3,FALSE)</f>
        <v>0</v>
      </c>
      <c r="S41" s="61">
        <f>VLOOKUP(Table13[[#This Row],[Donor Name]],'Weighted scores by indicator'!$A$7:$AO$74,4,FALSE)</f>
        <v>0</v>
      </c>
      <c r="T41" s="61">
        <f>VLOOKUP(Table13[[#This Row],[Donor Name]],'Weighted scores by indicator'!$A$7:$AO$74,5,FALSE)</f>
        <v>1.25</v>
      </c>
      <c r="U41" s="61">
        <f>VLOOKUP(Table13[[#This Row],[Donor Name]],'Weighted scores by indicator'!$A$7:$AO$74,6,FALSE)</f>
        <v>1.25</v>
      </c>
      <c r="V41" s="61">
        <f>VLOOKUP(Table13[[#This Row],[Donor Name]],'Weighted scores by indicator'!$A$7:$AO$74,7,FALSE)</f>
        <v>1.25</v>
      </c>
      <c r="W41" s="61">
        <f>VLOOKUP(Table13[[#This Row],[Donor Name]],'Weighted scores by indicator'!$A$7:$AO$74,8,FALSE)</f>
        <v>1.25</v>
      </c>
      <c r="X41" s="61">
        <f>VLOOKUP(Table13[[#This Row],[Donor Name]],'Weighted scores by indicator'!$A$7:$AO$74,9,FALSE)</f>
        <v>0</v>
      </c>
      <c r="Y41" s="61">
        <f>VLOOKUP(Table13[[#This Row],[Donor Name]],'Weighted scores by indicator'!$A$7:$AO$74,10,FALSE)</f>
        <v>0.69493050000000001</v>
      </c>
      <c r="Z41" s="61">
        <f>VLOOKUP(Table13[[#This Row],[Donor Name]],'Weighted scores by indicator'!$A$7:$AO$74,11,FALSE)</f>
        <v>0</v>
      </c>
      <c r="AA41" s="61">
        <f>VLOOKUP(Table13[[#This Row],[Donor Name]],'Weighted scores by indicator'!$A$7:$AO$74,12,FALSE)</f>
        <v>0</v>
      </c>
      <c r="AB41" s="61">
        <f>VLOOKUP(Table13[[#This Row],[Donor Name]],'Weighted scores by indicator'!$A$7:$AO$74,13,FALSE)</f>
        <v>0</v>
      </c>
      <c r="AC41" s="61">
        <f>VLOOKUP(Table13[[#This Row],[Donor Name]],'Weighted scores by indicator'!$A$7:$AO$74,14,FALSE)</f>
        <v>0</v>
      </c>
      <c r="AD41" s="61">
        <f>VLOOKUP(Table13[[#This Row],[Donor Name]],'Weighted scores by indicator'!$A$7:$AO$74,15,FALSE)</f>
        <v>0</v>
      </c>
      <c r="AE41" s="61">
        <f>VLOOKUP(Table13[[#This Row],[Donor Name]],'Weighted scores by indicator'!$A$7:$AO$74,16,FALSE)</f>
        <v>0</v>
      </c>
      <c r="AF41" s="61">
        <f>VLOOKUP(Table13[[#This Row],[Donor Name]],'Weighted scores by indicator'!$A$7:$AO$74,17,FALSE)</f>
        <v>0</v>
      </c>
      <c r="AG41" s="61">
        <f>VLOOKUP(Table13[[#This Row],[Donor Name]],'Weighted scores by indicator'!$A$7:$AO$74,18,FALSE)</f>
        <v>0</v>
      </c>
      <c r="AH41" s="61">
        <f>VLOOKUP(Table13[[#This Row],[Donor Name]],'Weighted scores by indicator'!$A$7:$AO$74,19,FALSE)</f>
        <v>0</v>
      </c>
      <c r="AI41" s="61">
        <f>VLOOKUP(Table13[[#This Row],[Donor Name]],'Weighted scores by indicator'!$A$7:$AO$74,20,FALSE)</f>
        <v>0</v>
      </c>
      <c r="AJ41" s="61">
        <f>VLOOKUP(Table13[[#This Row],[Donor Name]],'Weighted scores by indicator'!$A$7:$AO$74,21,FALSE)</f>
        <v>0</v>
      </c>
      <c r="AK41" s="61">
        <f>VLOOKUP(Table13[[#This Row],[Donor Name]],'Weighted scores by indicator'!$A$7:$AO$74,22,FALSE)</f>
        <v>0.61993799999999899</v>
      </c>
      <c r="AL41" s="61">
        <f>VLOOKUP(Table13[[#This Row],[Donor Name]],'Weighted scores by indicator'!$A$7:$AO$74,23,FALSE)</f>
        <v>0</v>
      </c>
      <c r="AM41" s="61">
        <f>VLOOKUP(Table13[[#This Row],[Donor Name]],'Weighted scores by indicator'!$A$7:$AO$74,24,FALSE)</f>
        <v>0</v>
      </c>
      <c r="AN41" s="61">
        <f>VLOOKUP(Table13[[#This Row],[Donor Name]],'Weighted scores by indicator'!$A$7:$AO$74,25,FALSE)</f>
        <v>0</v>
      </c>
      <c r="AO41" s="61">
        <f>VLOOKUP(Table13[[#This Row],[Donor Name]],'Weighted scores by indicator'!$A$7:$AO$74,26,FALSE)</f>
        <v>0</v>
      </c>
      <c r="AP41" s="61">
        <f>VLOOKUP(Table13[[#This Row],[Donor Name]],'Weighted scores by indicator'!$A$7:$AO$74,27,FALSE)</f>
        <v>0</v>
      </c>
      <c r="AQ41" s="61">
        <f>VLOOKUP(Table13[[#This Row],[Donor Name]],'Weighted scores by indicator'!$A$7:$AO$74,28,FALSE)</f>
        <v>0</v>
      </c>
      <c r="AR41" s="61">
        <f>VLOOKUP(Table13[[#This Row],[Donor Name]],'Weighted scores by indicator'!$A$7:$AO$74,29,FALSE)</f>
        <v>0</v>
      </c>
      <c r="AS41" s="61">
        <f>VLOOKUP(Table13[[#This Row],[Donor Name]],'Weighted scores by indicator'!$A$7:$AO$74,30,FALSE)</f>
        <v>0</v>
      </c>
      <c r="AT41" s="61">
        <f>VLOOKUP(Table13[[#This Row],[Donor Name]],'Weighted scores by indicator'!$A$7:$AO$74,31,FALSE)</f>
        <v>0</v>
      </c>
      <c r="AU41" s="61">
        <f>VLOOKUP(Table13[[#This Row],[Donor Name]],'Weighted scores by indicator'!$A$7:$AO$74,32,FALSE)</f>
        <v>1.085</v>
      </c>
      <c r="AV41" s="61">
        <f>VLOOKUP(Table13[[#This Row],[Donor Name]],'Weighted scores by indicator'!$A$7:$AO$74,33,FALSE)</f>
        <v>1.085</v>
      </c>
      <c r="AW41" s="61">
        <f>VLOOKUP(Table13[[#This Row],[Donor Name]],'Weighted scores by indicator'!$A$7:$AO$74,34,FALSE)</f>
        <v>0</v>
      </c>
      <c r="AX41" s="61">
        <f>VLOOKUP(Table13[[#This Row],[Donor Name]],'Weighted scores by indicator'!$A$7:$AO$74,35,FALSE)</f>
        <v>0</v>
      </c>
      <c r="AY41" s="61">
        <f>VLOOKUP(Table13[[#This Row],[Donor Name]],'Weighted scores by indicator'!$A$7:$AO$74,36,FALSE)</f>
        <v>0</v>
      </c>
      <c r="AZ41" s="61">
        <f>VLOOKUP(Table13[[#This Row],[Donor Name]],'Weighted scores by indicator'!$A$7:$AO$74,37,FALSE)</f>
        <v>0</v>
      </c>
      <c r="BA41" s="61">
        <f>VLOOKUP(Table13[[#This Row],[Donor Name]],'Weighted scores by indicator'!$A$7:$AO$74,38,FALSE)</f>
        <v>0</v>
      </c>
      <c r="BB41" s="61">
        <f>VLOOKUP(Table13[[#This Row],[Donor Name]],'Weighted scores by indicator'!$A$7:$AO$74,39,FALSE)</f>
        <v>0</v>
      </c>
      <c r="BC41" s="111">
        <f>VLOOKUP(Table13[[#This Row],[Donor Name]],'Weighted scores by indicator'!$A$7:$AO$74,40,FALSE)</f>
        <v>0</v>
      </c>
      <c r="BD41" s="61">
        <f>COUNTIF(Table13[[#This Row],[FOIA]:[Conditions]],"0")</f>
        <v>30</v>
      </c>
      <c r="BE41" s="61">
        <f>COUNTIF(Table13[[#This Row],[FOIA]:[Conditions]],"&gt;0")</f>
        <v>9</v>
      </c>
      <c r="BG41">
        <f>39-SUM(Table13[[#This Row],[No of indicators not scoring on]:[No of indicators scoring on]])</f>
        <v>0</v>
      </c>
    </row>
    <row r="42" spans="1:59" x14ac:dyDescent="0.25">
      <c r="A42" s="104" t="s">
        <v>746</v>
      </c>
      <c r="B42" s="102" t="s">
        <v>745</v>
      </c>
      <c r="C42" s="157">
        <f>VLOOKUP(Table13[[#This Row],[Donor Name]],'Overall scores and ranking'!$A$3:$D$72,2,FALSE)</f>
        <v>10.551111499999996</v>
      </c>
      <c r="D42" s="107">
        <f>VLOOKUP(Table13[[#This Row],[Donor Name]],'Overall scores and ranking'!$A$3:$D$72,3,FALSE)</f>
        <v>57</v>
      </c>
      <c r="E42" s="107">
        <f>RANK(Table13[[#This Row],[Overall Score]],Table13[Overall Score],0)</f>
        <v>39</v>
      </c>
      <c r="F42" s="61" t="str">
        <f>VLOOKUP(Table13[[#This Row],[Donor Name]],'Overall scores and ranking'!$A$3:$D$72,4,FALSE)</f>
        <v>Very Poor</v>
      </c>
      <c r="G42" s="109">
        <f>VLOOKUP(Table13[[#This Row],[Donor Name]],'Wtd - IATI vs Others'!$A$5:$D$72,2,FALSE)</f>
        <v>0</v>
      </c>
      <c r="H42" s="61">
        <f>VLOOKUP(Table13[[#This Row],[Donor Name]],'Wtd - IATI vs Others'!$A$5:$D$72,3,FALSE)</f>
        <v>10.551111499999996</v>
      </c>
      <c r="I42" s="61">
        <f>VLOOKUP(Table13[[#This Row],[Donor Name]],'Wtd scores by sub-groups'!$A$5:$K$72,2,FALSE)</f>
        <v>2.2197779999999998</v>
      </c>
      <c r="J42" s="61">
        <f>VLOOKUP(Table13[[#This Row],[Donor Name]],'Wtd scores by sub-groups'!$A$5:$K$72,3,FALSE)</f>
        <v>5</v>
      </c>
      <c r="K42" s="61">
        <f>VLOOKUP(Table13[[#This Row],[Donor Name]],'Wtd scores by sub-groups'!$A$5:$K$72,4,FALSE)</f>
        <v>0.463287</v>
      </c>
      <c r="L42" s="61">
        <f>VLOOKUP(Table13[[#This Row],[Donor Name]],'Wtd scores by sub-groups'!$A$5:$K$72,5,FALSE)</f>
        <v>1.0865579999999999</v>
      </c>
      <c r="M42" s="61">
        <f>VLOOKUP(Table13[[#This Row],[Donor Name]],'Wtd scores by sub-groups'!$A$5:$K$72,6,FALSE)</f>
        <v>1.2398759999999971</v>
      </c>
      <c r="N42" s="61">
        <f>VLOOKUP(Table13[[#This Row],[Donor Name]],'Wtd scores by sub-groups'!$A$5:$K$72,7,FALSE)</f>
        <v>0</v>
      </c>
      <c r="O42" s="61">
        <f>VLOOKUP(Table13[[#This Row],[Donor Name]],'Wtd scores by sub-groups'!$A$5:$K$72,8,FALSE)</f>
        <v>0.54161249999999905</v>
      </c>
      <c r="P42" s="61">
        <f>VLOOKUP(Table13[[#This Row],[Donor Name]],'Wtd scores by sub-groups'!$A$5:$K$72,9,FALSE)</f>
        <v>0</v>
      </c>
      <c r="Q42" s="61">
        <f>VLOOKUP(Table13[[#This Row],[Donor Name]],'Weighted scores by indicator'!$A$7:$AO$74,2,FALSE)</f>
        <v>2.2197779999999998</v>
      </c>
      <c r="R42" s="61">
        <f>VLOOKUP(Table13[[#This Row],[Donor Name]],'Weighted scores by indicator'!$A$7:$AO$74,3,FALSE)</f>
        <v>0</v>
      </c>
      <c r="S42" s="61">
        <f>VLOOKUP(Table13[[#This Row],[Donor Name]],'Weighted scores by indicator'!$A$7:$AO$74,4,FALSE)</f>
        <v>0</v>
      </c>
      <c r="T42" s="61">
        <f>VLOOKUP(Table13[[#This Row],[Donor Name]],'Weighted scores by indicator'!$A$7:$AO$74,5,FALSE)</f>
        <v>1.25</v>
      </c>
      <c r="U42" s="61">
        <f>VLOOKUP(Table13[[#This Row],[Donor Name]],'Weighted scores by indicator'!$A$7:$AO$74,6,FALSE)</f>
        <v>1.25</v>
      </c>
      <c r="V42" s="61">
        <f>VLOOKUP(Table13[[#This Row],[Donor Name]],'Weighted scores by indicator'!$A$7:$AO$74,7,FALSE)</f>
        <v>1.25</v>
      </c>
      <c r="W42" s="61">
        <f>VLOOKUP(Table13[[#This Row],[Donor Name]],'Weighted scores by indicator'!$A$7:$AO$74,8,FALSE)</f>
        <v>1.25</v>
      </c>
      <c r="X42" s="61">
        <f>VLOOKUP(Table13[[#This Row],[Donor Name]],'Weighted scores by indicator'!$A$7:$AO$74,9,FALSE)</f>
        <v>0</v>
      </c>
      <c r="Y42" s="61">
        <f>VLOOKUP(Table13[[#This Row],[Donor Name]],'Weighted scores by indicator'!$A$7:$AO$74,10,FALSE)</f>
        <v>0.2316435</v>
      </c>
      <c r="Z42" s="61">
        <f>VLOOKUP(Table13[[#This Row],[Donor Name]],'Weighted scores by indicator'!$A$7:$AO$74,11,FALSE)</f>
        <v>0.2316435</v>
      </c>
      <c r="AA42" s="61">
        <f>VLOOKUP(Table13[[#This Row],[Donor Name]],'Weighted scores by indicator'!$A$7:$AO$74,12,FALSE)</f>
        <v>0</v>
      </c>
      <c r="AB42" s="61">
        <f>VLOOKUP(Table13[[#This Row],[Donor Name]],'Weighted scores by indicator'!$A$7:$AO$74,13,FALSE)</f>
        <v>0.27163949999999998</v>
      </c>
      <c r="AC42" s="61">
        <f>VLOOKUP(Table13[[#This Row],[Donor Name]],'Weighted scores by indicator'!$A$7:$AO$74,14,FALSE)</f>
        <v>0</v>
      </c>
      <c r="AD42" s="61">
        <f>VLOOKUP(Table13[[#This Row],[Donor Name]],'Weighted scores by indicator'!$A$7:$AO$74,15,FALSE)</f>
        <v>0.27163949999999998</v>
      </c>
      <c r="AE42" s="61">
        <f>VLOOKUP(Table13[[#This Row],[Donor Name]],'Weighted scores by indicator'!$A$7:$AO$74,16,FALSE)</f>
        <v>0</v>
      </c>
      <c r="AF42" s="61">
        <f>VLOOKUP(Table13[[#This Row],[Donor Name]],'Weighted scores by indicator'!$A$7:$AO$74,17,FALSE)</f>
        <v>0</v>
      </c>
      <c r="AG42" s="61">
        <f>VLOOKUP(Table13[[#This Row],[Donor Name]],'Weighted scores by indicator'!$A$7:$AO$74,18,FALSE)</f>
        <v>0</v>
      </c>
      <c r="AH42" s="61">
        <f>VLOOKUP(Table13[[#This Row],[Donor Name]],'Weighted scores by indicator'!$A$7:$AO$74,19,FALSE)</f>
        <v>0</v>
      </c>
      <c r="AI42" s="61">
        <f>VLOOKUP(Table13[[#This Row],[Donor Name]],'Weighted scores by indicator'!$A$7:$AO$74,20,FALSE)</f>
        <v>0.54327899999999996</v>
      </c>
      <c r="AJ42" s="61">
        <f>VLOOKUP(Table13[[#This Row],[Donor Name]],'Weighted scores by indicator'!$A$7:$AO$74,21,FALSE)</f>
        <v>0.309968999999999</v>
      </c>
      <c r="AK42" s="61">
        <f>VLOOKUP(Table13[[#This Row],[Donor Name]],'Weighted scores by indicator'!$A$7:$AO$74,22,FALSE)</f>
        <v>0</v>
      </c>
      <c r="AL42" s="61">
        <f>VLOOKUP(Table13[[#This Row],[Donor Name]],'Weighted scores by indicator'!$A$7:$AO$74,23,FALSE)</f>
        <v>0.309968999999999</v>
      </c>
      <c r="AM42" s="61">
        <f>VLOOKUP(Table13[[#This Row],[Donor Name]],'Weighted scores by indicator'!$A$7:$AO$74,24,FALSE)</f>
        <v>0</v>
      </c>
      <c r="AN42" s="61">
        <f>VLOOKUP(Table13[[#This Row],[Donor Name]],'Weighted scores by indicator'!$A$7:$AO$74,25,FALSE)</f>
        <v>0</v>
      </c>
      <c r="AO42" s="61">
        <f>VLOOKUP(Table13[[#This Row],[Donor Name]],'Weighted scores by indicator'!$A$7:$AO$74,26,FALSE)</f>
        <v>0</v>
      </c>
      <c r="AP42" s="61">
        <f>VLOOKUP(Table13[[#This Row],[Donor Name]],'Weighted scores by indicator'!$A$7:$AO$74,27,FALSE)</f>
        <v>0.61993799999999899</v>
      </c>
      <c r="AQ42" s="61">
        <f>VLOOKUP(Table13[[#This Row],[Donor Name]],'Weighted scores by indicator'!$A$7:$AO$74,28,FALSE)</f>
        <v>0</v>
      </c>
      <c r="AR42" s="61">
        <f>VLOOKUP(Table13[[#This Row],[Donor Name]],'Weighted scores by indicator'!$A$7:$AO$74,29,FALSE)</f>
        <v>0</v>
      </c>
      <c r="AS42" s="61">
        <f>VLOOKUP(Table13[[#This Row],[Donor Name]],'Weighted scores by indicator'!$A$7:$AO$74,30,FALSE)</f>
        <v>0</v>
      </c>
      <c r="AT42" s="61">
        <f>VLOOKUP(Table13[[#This Row],[Donor Name]],'Weighted scores by indicator'!$A$7:$AO$74,31,FALSE)</f>
        <v>0</v>
      </c>
      <c r="AU42" s="61">
        <f>VLOOKUP(Table13[[#This Row],[Donor Name]],'Weighted scores by indicator'!$A$7:$AO$74,32,FALSE)</f>
        <v>0</v>
      </c>
      <c r="AV42" s="61">
        <f>VLOOKUP(Table13[[#This Row],[Donor Name]],'Weighted scores by indicator'!$A$7:$AO$74,33,FALSE)</f>
        <v>0</v>
      </c>
      <c r="AW42" s="61">
        <f>VLOOKUP(Table13[[#This Row],[Donor Name]],'Weighted scores by indicator'!$A$7:$AO$74,34,FALSE)</f>
        <v>0</v>
      </c>
      <c r="AX42" s="61">
        <f>VLOOKUP(Table13[[#This Row],[Donor Name]],'Weighted scores by indicator'!$A$7:$AO$74,35,FALSE)</f>
        <v>0.54161249999999905</v>
      </c>
      <c r="AY42" s="61">
        <f>VLOOKUP(Table13[[#This Row],[Donor Name]],'Weighted scores by indicator'!$A$7:$AO$74,36,FALSE)</f>
        <v>0</v>
      </c>
      <c r="AZ42" s="61">
        <f>VLOOKUP(Table13[[#This Row],[Donor Name]],'Weighted scores by indicator'!$A$7:$AO$74,37,FALSE)</f>
        <v>0</v>
      </c>
      <c r="BA42" s="61">
        <f>VLOOKUP(Table13[[#This Row],[Donor Name]],'Weighted scores by indicator'!$A$7:$AO$74,38,FALSE)</f>
        <v>0</v>
      </c>
      <c r="BB42" s="61">
        <f>VLOOKUP(Table13[[#This Row],[Donor Name]],'Weighted scores by indicator'!$A$7:$AO$74,39,FALSE)</f>
        <v>0</v>
      </c>
      <c r="BC42" s="111">
        <f>VLOOKUP(Table13[[#This Row],[Donor Name]],'Weighted scores by indicator'!$A$7:$AO$74,40,FALSE)</f>
        <v>0</v>
      </c>
      <c r="BD42" s="61">
        <f>COUNTIF(Table13[[#This Row],[FOIA]:[Conditions]],"0")</f>
        <v>25</v>
      </c>
      <c r="BE42" s="61">
        <f>COUNTIF(Table13[[#This Row],[FOIA]:[Conditions]],"&gt;0")</f>
        <v>14</v>
      </c>
      <c r="BG42">
        <f>39-SUM(Table13[[#This Row],[No of indicators not scoring on]:[No of indicators scoring on]])</f>
        <v>0</v>
      </c>
    </row>
    <row r="43" spans="1:59" x14ac:dyDescent="0.25">
      <c r="A43" s="105" t="s">
        <v>377</v>
      </c>
      <c r="B43" s="103" t="s">
        <v>376</v>
      </c>
      <c r="C43" s="157">
        <f>VLOOKUP(Table13[[#This Row],[Donor Name]],'Overall scores and ranking'!$A$3:$D$72,2,FALSE)</f>
        <v>10.3011585</v>
      </c>
      <c r="D43" s="107">
        <f>VLOOKUP(Table13[[#This Row],[Donor Name]],'Overall scores and ranking'!$A$3:$D$72,3,FALSE)</f>
        <v>58</v>
      </c>
      <c r="E43" s="107">
        <f>RANK(Table13[[#This Row],[Overall Score]],Table13[Overall Score],0)</f>
        <v>40</v>
      </c>
      <c r="F43" s="61" t="str">
        <f>VLOOKUP(Table13[[#This Row],[Donor Name]],'Overall scores and ranking'!$A$3:$D$72,4,FALSE)</f>
        <v>Very Poor</v>
      </c>
      <c r="G43" s="109">
        <f>VLOOKUP(Table13[[#This Row],[Donor Name]],'Wtd - IATI vs Others'!$A$5:$D$72,2,FALSE)</f>
        <v>0</v>
      </c>
      <c r="H43" s="61">
        <f>VLOOKUP(Table13[[#This Row],[Donor Name]],'Wtd - IATI vs Others'!$A$5:$D$72,3,FALSE)</f>
        <v>10.3011585</v>
      </c>
      <c r="I43" s="61">
        <f>VLOOKUP(Table13[[#This Row],[Donor Name]],'Wtd scores by sub-groups'!$A$5:$K$72,2,FALSE)</f>
        <v>2.4362279999999998</v>
      </c>
      <c r="J43" s="61">
        <f>VLOOKUP(Table13[[#This Row],[Donor Name]],'Wtd scores by sub-groups'!$A$5:$K$72,3,FALSE)</f>
        <v>5</v>
      </c>
      <c r="K43" s="61">
        <f>VLOOKUP(Table13[[#This Row],[Donor Name]],'Wtd scores by sub-groups'!$A$5:$K$72,4,FALSE)</f>
        <v>0.69493050000000001</v>
      </c>
      <c r="L43" s="61">
        <f>VLOOKUP(Table13[[#This Row],[Donor Name]],'Wtd scores by sub-groups'!$A$5:$K$72,5,FALSE)</f>
        <v>0</v>
      </c>
      <c r="M43" s="61">
        <f>VLOOKUP(Table13[[#This Row],[Donor Name]],'Wtd scores by sub-groups'!$A$5:$K$72,6,FALSE)</f>
        <v>0</v>
      </c>
      <c r="N43" s="61">
        <f>VLOOKUP(Table13[[#This Row],[Donor Name]],'Wtd scores by sub-groups'!$A$5:$K$72,7,FALSE)</f>
        <v>2.17</v>
      </c>
      <c r="O43" s="61">
        <f>VLOOKUP(Table13[[#This Row],[Donor Name]],'Wtd scores by sub-groups'!$A$5:$K$72,8,FALSE)</f>
        <v>0</v>
      </c>
      <c r="P43" s="61">
        <f>VLOOKUP(Table13[[#This Row],[Donor Name]],'Wtd scores by sub-groups'!$A$5:$K$72,9,FALSE)</f>
        <v>0</v>
      </c>
      <c r="Q43" s="61">
        <f>VLOOKUP(Table13[[#This Row],[Donor Name]],'Weighted scores by indicator'!$A$7:$AO$74,2,FALSE)</f>
        <v>2.2197779999999998</v>
      </c>
      <c r="R43" s="61">
        <f>VLOOKUP(Table13[[#This Row],[Donor Name]],'Weighted scores by indicator'!$A$7:$AO$74,3,FALSE)</f>
        <v>0.21645</v>
      </c>
      <c r="S43" s="61">
        <f>VLOOKUP(Table13[[#This Row],[Donor Name]],'Weighted scores by indicator'!$A$7:$AO$74,4,FALSE)</f>
        <v>0</v>
      </c>
      <c r="T43" s="61">
        <f>VLOOKUP(Table13[[#This Row],[Donor Name]],'Weighted scores by indicator'!$A$7:$AO$74,5,FALSE)</f>
        <v>1.25</v>
      </c>
      <c r="U43" s="61">
        <f>VLOOKUP(Table13[[#This Row],[Donor Name]],'Weighted scores by indicator'!$A$7:$AO$74,6,FALSE)</f>
        <v>1.25</v>
      </c>
      <c r="V43" s="61">
        <f>VLOOKUP(Table13[[#This Row],[Donor Name]],'Weighted scores by indicator'!$A$7:$AO$74,7,FALSE)</f>
        <v>1.25</v>
      </c>
      <c r="W43" s="61">
        <f>VLOOKUP(Table13[[#This Row],[Donor Name]],'Weighted scores by indicator'!$A$7:$AO$74,8,FALSE)</f>
        <v>1.25</v>
      </c>
      <c r="X43" s="61">
        <f>VLOOKUP(Table13[[#This Row],[Donor Name]],'Weighted scores by indicator'!$A$7:$AO$74,9,FALSE)</f>
        <v>0</v>
      </c>
      <c r="Y43" s="61">
        <f>VLOOKUP(Table13[[#This Row],[Donor Name]],'Weighted scores by indicator'!$A$7:$AO$74,10,FALSE)</f>
        <v>0.69493050000000001</v>
      </c>
      <c r="Z43" s="61">
        <f>VLOOKUP(Table13[[#This Row],[Donor Name]],'Weighted scores by indicator'!$A$7:$AO$74,11,FALSE)</f>
        <v>0</v>
      </c>
      <c r="AA43" s="61">
        <f>VLOOKUP(Table13[[#This Row],[Donor Name]],'Weighted scores by indicator'!$A$7:$AO$74,12,FALSE)</f>
        <v>0</v>
      </c>
      <c r="AB43" s="61">
        <f>VLOOKUP(Table13[[#This Row],[Donor Name]],'Weighted scores by indicator'!$A$7:$AO$74,13,FALSE)</f>
        <v>0</v>
      </c>
      <c r="AC43" s="61">
        <f>VLOOKUP(Table13[[#This Row],[Donor Name]],'Weighted scores by indicator'!$A$7:$AO$74,14,FALSE)</f>
        <v>0</v>
      </c>
      <c r="AD43" s="61">
        <f>VLOOKUP(Table13[[#This Row],[Donor Name]],'Weighted scores by indicator'!$A$7:$AO$74,15,FALSE)</f>
        <v>0</v>
      </c>
      <c r="AE43" s="61">
        <f>VLOOKUP(Table13[[#This Row],[Donor Name]],'Weighted scores by indicator'!$A$7:$AO$74,16,FALSE)</f>
        <v>0</v>
      </c>
      <c r="AF43" s="61">
        <f>VLOOKUP(Table13[[#This Row],[Donor Name]],'Weighted scores by indicator'!$A$7:$AO$74,17,FALSE)</f>
        <v>0</v>
      </c>
      <c r="AG43" s="61">
        <f>VLOOKUP(Table13[[#This Row],[Donor Name]],'Weighted scores by indicator'!$A$7:$AO$74,18,FALSE)</f>
        <v>0</v>
      </c>
      <c r="AH43" s="61">
        <f>VLOOKUP(Table13[[#This Row],[Donor Name]],'Weighted scores by indicator'!$A$7:$AO$74,19,FALSE)</f>
        <v>0</v>
      </c>
      <c r="AI43" s="61">
        <f>VLOOKUP(Table13[[#This Row],[Donor Name]],'Weighted scores by indicator'!$A$7:$AO$74,20,FALSE)</f>
        <v>0</v>
      </c>
      <c r="AJ43" s="61">
        <f>VLOOKUP(Table13[[#This Row],[Donor Name]],'Weighted scores by indicator'!$A$7:$AO$74,21,FALSE)</f>
        <v>0</v>
      </c>
      <c r="AK43" s="61">
        <f>VLOOKUP(Table13[[#This Row],[Donor Name]],'Weighted scores by indicator'!$A$7:$AO$74,22,FALSE)</f>
        <v>0</v>
      </c>
      <c r="AL43" s="61">
        <f>VLOOKUP(Table13[[#This Row],[Donor Name]],'Weighted scores by indicator'!$A$7:$AO$74,23,FALSE)</f>
        <v>0</v>
      </c>
      <c r="AM43" s="61">
        <f>VLOOKUP(Table13[[#This Row],[Donor Name]],'Weighted scores by indicator'!$A$7:$AO$74,24,FALSE)</f>
        <v>0</v>
      </c>
      <c r="AN43" s="61">
        <f>VLOOKUP(Table13[[#This Row],[Donor Name]],'Weighted scores by indicator'!$A$7:$AO$74,25,FALSE)</f>
        <v>0</v>
      </c>
      <c r="AO43" s="61">
        <f>VLOOKUP(Table13[[#This Row],[Donor Name]],'Weighted scores by indicator'!$A$7:$AO$74,26,FALSE)</f>
        <v>0</v>
      </c>
      <c r="AP43" s="61">
        <f>VLOOKUP(Table13[[#This Row],[Donor Name]],'Weighted scores by indicator'!$A$7:$AO$74,27,FALSE)</f>
        <v>0</v>
      </c>
      <c r="AQ43" s="61">
        <f>VLOOKUP(Table13[[#This Row],[Donor Name]],'Weighted scores by indicator'!$A$7:$AO$74,28,FALSE)</f>
        <v>0</v>
      </c>
      <c r="AR43" s="61">
        <f>VLOOKUP(Table13[[#This Row],[Donor Name]],'Weighted scores by indicator'!$A$7:$AO$74,29,FALSE)</f>
        <v>0</v>
      </c>
      <c r="AS43" s="61">
        <f>VLOOKUP(Table13[[#This Row],[Donor Name]],'Weighted scores by indicator'!$A$7:$AO$74,30,FALSE)</f>
        <v>0</v>
      </c>
      <c r="AT43" s="61">
        <f>VLOOKUP(Table13[[#This Row],[Donor Name]],'Weighted scores by indicator'!$A$7:$AO$74,31,FALSE)</f>
        <v>0</v>
      </c>
      <c r="AU43" s="61">
        <f>VLOOKUP(Table13[[#This Row],[Donor Name]],'Weighted scores by indicator'!$A$7:$AO$74,32,FALSE)</f>
        <v>1.085</v>
      </c>
      <c r="AV43" s="61">
        <f>VLOOKUP(Table13[[#This Row],[Donor Name]],'Weighted scores by indicator'!$A$7:$AO$74,33,FALSE)</f>
        <v>1.085</v>
      </c>
      <c r="AW43" s="61">
        <f>VLOOKUP(Table13[[#This Row],[Donor Name]],'Weighted scores by indicator'!$A$7:$AO$74,34,FALSE)</f>
        <v>0</v>
      </c>
      <c r="AX43" s="61">
        <f>VLOOKUP(Table13[[#This Row],[Donor Name]],'Weighted scores by indicator'!$A$7:$AO$74,35,FALSE)</f>
        <v>0</v>
      </c>
      <c r="AY43" s="61">
        <f>VLOOKUP(Table13[[#This Row],[Donor Name]],'Weighted scores by indicator'!$A$7:$AO$74,36,FALSE)</f>
        <v>0</v>
      </c>
      <c r="AZ43" s="61">
        <f>VLOOKUP(Table13[[#This Row],[Donor Name]],'Weighted scores by indicator'!$A$7:$AO$74,37,FALSE)</f>
        <v>0</v>
      </c>
      <c r="BA43" s="61">
        <f>VLOOKUP(Table13[[#This Row],[Donor Name]],'Weighted scores by indicator'!$A$7:$AO$74,38,FALSE)</f>
        <v>0</v>
      </c>
      <c r="BB43" s="61">
        <f>VLOOKUP(Table13[[#This Row],[Donor Name]],'Weighted scores by indicator'!$A$7:$AO$74,39,FALSE)</f>
        <v>0</v>
      </c>
      <c r="BC43" s="111">
        <f>VLOOKUP(Table13[[#This Row],[Donor Name]],'Weighted scores by indicator'!$A$7:$AO$74,40,FALSE)</f>
        <v>0</v>
      </c>
      <c r="BD43" s="61">
        <f>COUNTIF(Table13[[#This Row],[FOIA]:[Conditions]],"0")</f>
        <v>30</v>
      </c>
      <c r="BE43" s="61">
        <f>COUNTIF(Table13[[#This Row],[FOIA]:[Conditions]],"&gt;0")</f>
        <v>9</v>
      </c>
      <c r="BG43">
        <f>39-SUM(Table13[[#This Row],[No of indicators not scoring on]:[No of indicators scoring on]])</f>
        <v>0</v>
      </c>
    </row>
    <row r="44" spans="1:59" x14ac:dyDescent="0.25">
      <c r="A44" s="105" t="s">
        <v>1157</v>
      </c>
      <c r="B44" s="103" t="s">
        <v>1156</v>
      </c>
      <c r="C44" s="157">
        <f>VLOOKUP(Table13[[#This Row],[Donor Name]],'Overall scores and ranking'!$A$3:$D$72,2,FALSE)</f>
        <v>9.6461599999999983</v>
      </c>
      <c r="D44" s="107">
        <f>VLOOKUP(Table13[[#This Row],[Donor Name]],'Overall scores and ranking'!$A$3:$D$72,3,FALSE)</f>
        <v>59</v>
      </c>
      <c r="E44" s="107">
        <f>RANK(Table13[[#This Row],[Overall Score]],Table13[Overall Score],0)</f>
        <v>41</v>
      </c>
      <c r="F44" s="61" t="str">
        <f>VLOOKUP(Table13[[#This Row],[Donor Name]],'Overall scores and ranking'!$A$3:$D$72,4,FALSE)</f>
        <v>Very Poor</v>
      </c>
      <c r="G44" s="109">
        <f>VLOOKUP(Table13[[#This Row],[Donor Name]],'Wtd - IATI vs Others'!$A$5:$D$72,2,FALSE)</f>
        <v>0</v>
      </c>
      <c r="H44" s="61">
        <f>VLOOKUP(Table13[[#This Row],[Donor Name]],'Wtd - IATI vs Others'!$A$5:$D$72,3,FALSE)</f>
        <v>9.6461599999999983</v>
      </c>
      <c r="I44" s="61">
        <f>VLOOKUP(Table13[[#This Row],[Donor Name]],'Wtd scores by sub-groups'!$A$5:$K$72,2,FALSE)</f>
        <v>4.439889</v>
      </c>
      <c r="J44" s="61">
        <f>VLOOKUP(Table13[[#This Row],[Donor Name]],'Wtd scores by sub-groups'!$A$5:$K$72,3,FALSE)</f>
        <v>1.25</v>
      </c>
      <c r="K44" s="61">
        <f>VLOOKUP(Table13[[#This Row],[Donor Name]],'Wtd scores by sub-groups'!$A$5:$K$72,4,FALSE)</f>
        <v>0</v>
      </c>
      <c r="L44" s="61">
        <f>VLOOKUP(Table13[[#This Row],[Donor Name]],'Wtd scores by sub-groups'!$A$5:$K$72,5,FALSE)</f>
        <v>2.7163949999999999</v>
      </c>
      <c r="M44" s="61">
        <f>VLOOKUP(Table13[[#This Row],[Donor Name]],'Wtd scores by sub-groups'!$A$5:$K$72,6,FALSE)</f>
        <v>1.239875999999998</v>
      </c>
      <c r="N44" s="61">
        <f>VLOOKUP(Table13[[#This Row],[Donor Name]],'Wtd scores by sub-groups'!$A$5:$K$72,7,FALSE)</f>
        <v>0</v>
      </c>
      <c r="O44" s="61">
        <f>VLOOKUP(Table13[[#This Row],[Donor Name]],'Wtd scores by sub-groups'!$A$5:$K$72,8,FALSE)</f>
        <v>0</v>
      </c>
      <c r="P44" s="61">
        <f>VLOOKUP(Table13[[#This Row],[Donor Name]],'Wtd scores by sub-groups'!$A$5:$K$72,9,FALSE)</f>
        <v>0</v>
      </c>
      <c r="Q44" s="61">
        <f>VLOOKUP(Table13[[#This Row],[Donor Name]],'Weighted scores by indicator'!$A$7:$AO$74,2,FALSE)</f>
        <v>3.33</v>
      </c>
      <c r="R44" s="61">
        <f>VLOOKUP(Table13[[#This Row],[Donor Name]],'Weighted scores by indicator'!$A$7:$AO$74,3,FALSE)</f>
        <v>0</v>
      </c>
      <c r="S44" s="61">
        <f>VLOOKUP(Table13[[#This Row],[Donor Name]],'Weighted scores by indicator'!$A$7:$AO$74,4,FALSE)</f>
        <v>1.1098889999999999</v>
      </c>
      <c r="T44" s="61">
        <f>VLOOKUP(Table13[[#This Row],[Donor Name]],'Weighted scores by indicator'!$A$7:$AO$74,5,FALSE)</f>
        <v>0</v>
      </c>
      <c r="U44" s="61">
        <f>VLOOKUP(Table13[[#This Row],[Donor Name]],'Weighted scores by indicator'!$A$7:$AO$74,6,FALSE)</f>
        <v>0</v>
      </c>
      <c r="V44" s="61">
        <f>VLOOKUP(Table13[[#This Row],[Donor Name]],'Weighted scores by indicator'!$A$7:$AO$74,7,FALSE)</f>
        <v>0</v>
      </c>
      <c r="W44" s="61">
        <f>VLOOKUP(Table13[[#This Row],[Donor Name]],'Weighted scores by indicator'!$A$7:$AO$74,8,FALSE)</f>
        <v>1.25</v>
      </c>
      <c r="X44" s="61">
        <f>VLOOKUP(Table13[[#This Row],[Donor Name]],'Weighted scores by indicator'!$A$7:$AO$74,9,FALSE)</f>
        <v>0</v>
      </c>
      <c r="Y44" s="61">
        <f>VLOOKUP(Table13[[#This Row],[Donor Name]],'Weighted scores by indicator'!$A$7:$AO$74,10,FALSE)</f>
        <v>0</v>
      </c>
      <c r="Z44" s="61">
        <f>VLOOKUP(Table13[[#This Row],[Donor Name]],'Weighted scores by indicator'!$A$7:$AO$74,11,FALSE)</f>
        <v>0</v>
      </c>
      <c r="AA44" s="61">
        <f>VLOOKUP(Table13[[#This Row],[Donor Name]],'Weighted scores by indicator'!$A$7:$AO$74,12,FALSE)</f>
        <v>0</v>
      </c>
      <c r="AB44" s="61">
        <f>VLOOKUP(Table13[[#This Row],[Donor Name]],'Weighted scores by indicator'!$A$7:$AO$74,13,FALSE)</f>
        <v>0.54327899999999996</v>
      </c>
      <c r="AC44" s="61">
        <f>VLOOKUP(Table13[[#This Row],[Donor Name]],'Weighted scores by indicator'!$A$7:$AO$74,14,FALSE)</f>
        <v>0.54327899999999996</v>
      </c>
      <c r="AD44" s="61">
        <f>VLOOKUP(Table13[[#This Row],[Donor Name]],'Weighted scores by indicator'!$A$7:$AO$74,15,FALSE)</f>
        <v>0.54327899999999996</v>
      </c>
      <c r="AE44" s="61">
        <f>VLOOKUP(Table13[[#This Row],[Donor Name]],'Weighted scores by indicator'!$A$7:$AO$74,16,FALSE)</f>
        <v>0</v>
      </c>
      <c r="AF44" s="61">
        <f>VLOOKUP(Table13[[#This Row],[Donor Name]],'Weighted scores by indicator'!$A$7:$AO$74,17,FALSE)</f>
        <v>0.54327899999999996</v>
      </c>
      <c r="AG44" s="61">
        <f>VLOOKUP(Table13[[#This Row],[Donor Name]],'Weighted scores by indicator'!$A$7:$AO$74,18,FALSE)</f>
        <v>0</v>
      </c>
      <c r="AH44" s="61">
        <f>VLOOKUP(Table13[[#This Row],[Donor Name]],'Weighted scores by indicator'!$A$7:$AO$74,19,FALSE)</f>
        <v>0.54327899999999996</v>
      </c>
      <c r="AI44" s="61">
        <f>VLOOKUP(Table13[[#This Row],[Donor Name]],'Weighted scores by indicator'!$A$7:$AO$74,20,FALSE)</f>
        <v>0</v>
      </c>
      <c r="AJ44" s="61">
        <f>VLOOKUP(Table13[[#This Row],[Donor Name]],'Weighted scores by indicator'!$A$7:$AO$74,21,FALSE)</f>
        <v>0.61993799999999899</v>
      </c>
      <c r="AK44" s="61">
        <f>VLOOKUP(Table13[[#This Row],[Donor Name]],'Weighted scores by indicator'!$A$7:$AO$74,22,FALSE)</f>
        <v>0</v>
      </c>
      <c r="AL44" s="61">
        <f>VLOOKUP(Table13[[#This Row],[Donor Name]],'Weighted scores by indicator'!$A$7:$AO$74,23,FALSE)</f>
        <v>0</v>
      </c>
      <c r="AM44" s="61">
        <f>VLOOKUP(Table13[[#This Row],[Donor Name]],'Weighted scores by indicator'!$A$7:$AO$74,24,FALSE)</f>
        <v>0</v>
      </c>
      <c r="AN44" s="61">
        <f>VLOOKUP(Table13[[#This Row],[Donor Name]],'Weighted scores by indicator'!$A$7:$AO$74,25,FALSE)</f>
        <v>0.61993799999999899</v>
      </c>
      <c r="AO44" s="61">
        <f>VLOOKUP(Table13[[#This Row],[Donor Name]],'Weighted scores by indicator'!$A$7:$AO$74,26,FALSE)</f>
        <v>0</v>
      </c>
      <c r="AP44" s="61">
        <f>VLOOKUP(Table13[[#This Row],[Donor Name]],'Weighted scores by indicator'!$A$7:$AO$74,27,FALSE)</f>
        <v>0</v>
      </c>
      <c r="AQ44" s="61">
        <f>VLOOKUP(Table13[[#This Row],[Donor Name]],'Weighted scores by indicator'!$A$7:$AO$74,28,FALSE)</f>
        <v>0</v>
      </c>
      <c r="AR44" s="61">
        <f>VLOOKUP(Table13[[#This Row],[Donor Name]],'Weighted scores by indicator'!$A$7:$AO$74,29,FALSE)</f>
        <v>0</v>
      </c>
      <c r="AS44" s="61">
        <f>VLOOKUP(Table13[[#This Row],[Donor Name]],'Weighted scores by indicator'!$A$7:$AO$74,30,FALSE)</f>
        <v>0</v>
      </c>
      <c r="AT44" s="61">
        <f>VLOOKUP(Table13[[#This Row],[Donor Name]],'Weighted scores by indicator'!$A$7:$AO$74,31,FALSE)</f>
        <v>0</v>
      </c>
      <c r="AU44" s="61">
        <f>VLOOKUP(Table13[[#This Row],[Donor Name]],'Weighted scores by indicator'!$A$7:$AO$74,32,FALSE)</f>
        <v>0</v>
      </c>
      <c r="AV44" s="61">
        <f>VLOOKUP(Table13[[#This Row],[Donor Name]],'Weighted scores by indicator'!$A$7:$AO$74,33,FALSE)</f>
        <v>0</v>
      </c>
      <c r="AW44" s="61">
        <f>VLOOKUP(Table13[[#This Row],[Donor Name]],'Weighted scores by indicator'!$A$7:$AO$74,34,FALSE)</f>
        <v>0</v>
      </c>
      <c r="AX44" s="61">
        <f>VLOOKUP(Table13[[#This Row],[Donor Name]],'Weighted scores by indicator'!$A$7:$AO$74,35,FALSE)</f>
        <v>0</v>
      </c>
      <c r="AY44" s="61">
        <f>VLOOKUP(Table13[[#This Row],[Donor Name]],'Weighted scores by indicator'!$A$7:$AO$74,36,FALSE)</f>
        <v>0</v>
      </c>
      <c r="AZ44" s="61">
        <f>VLOOKUP(Table13[[#This Row],[Donor Name]],'Weighted scores by indicator'!$A$7:$AO$74,37,FALSE)</f>
        <v>0</v>
      </c>
      <c r="BA44" s="61">
        <f>VLOOKUP(Table13[[#This Row],[Donor Name]],'Weighted scores by indicator'!$A$7:$AO$74,38,FALSE)</f>
        <v>0</v>
      </c>
      <c r="BB44" s="61">
        <f>VLOOKUP(Table13[[#This Row],[Donor Name]],'Weighted scores by indicator'!$A$7:$AO$74,39,FALSE)</f>
        <v>0</v>
      </c>
      <c r="BC44" s="111">
        <f>VLOOKUP(Table13[[#This Row],[Donor Name]],'Weighted scores by indicator'!$A$7:$AO$74,40,FALSE)</f>
        <v>0</v>
      </c>
      <c r="BD44" s="61">
        <f>COUNTIF(Table13[[#This Row],[FOIA]:[Conditions]],"0")</f>
        <v>29</v>
      </c>
      <c r="BE44" s="61">
        <f>COUNTIF(Table13[[#This Row],[FOIA]:[Conditions]],"&gt;0")</f>
        <v>10</v>
      </c>
      <c r="BG44">
        <f>39-SUM(Table13[[#This Row],[No of indicators not scoring on]:[No of indicators scoring on]])</f>
        <v>0</v>
      </c>
    </row>
    <row r="45" spans="1:59" x14ac:dyDescent="0.25">
      <c r="A45" s="104" t="s">
        <v>2177</v>
      </c>
      <c r="B45" s="102" t="s">
        <v>2176</v>
      </c>
      <c r="C45" s="157">
        <f>VLOOKUP(Table13[[#This Row],[Donor Name]],'Overall scores and ranking'!$A$3:$D$72,2,FALSE)</f>
        <v>9.6282870000000003</v>
      </c>
      <c r="D45" s="107">
        <f>VLOOKUP(Table13[[#This Row],[Donor Name]],'Overall scores and ranking'!$A$3:$D$72,3,FALSE)</f>
        <v>60</v>
      </c>
      <c r="E45" s="107">
        <f>RANK(Table13[[#This Row],[Overall Score]],Table13[Overall Score],0)</f>
        <v>42</v>
      </c>
      <c r="F45" s="61" t="str">
        <f>VLOOKUP(Table13[[#This Row],[Donor Name]],'Overall scores and ranking'!$A$3:$D$72,4,FALSE)</f>
        <v>Very Poor</v>
      </c>
      <c r="G45" s="109">
        <f>VLOOKUP(Table13[[#This Row],[Donor Name]],'Wtd - IATI vs Others'!$A$5:$D$72,2,FALSE)</f>
        <v>0</v>
      </c>
      <c r="H45" s="61">
        <f>VLOOKUP(Table13[[#This Row],[Donor Name]],'Wtd - IATI vs Others'!$A$5:$D$72,3,FALSE)</f>
        <v>9.6282870000000003</v>
      </c>
      <c r="I45" s="61">
        <f>VLOOKUP(Table13[[#This Row],[Donor Name]],'Wtd scores by sub-groups'!$A$5:$K$72,2,FALSE)</f>
        <v>3.33</v>
      </c>
      <c r="J45" s="61">
        <f>VLOOKUP(Table13[[#This Row],[Donor Name]],'Wtd scores by sub-groups'!$A$5:$K$72,3,FALSE)</f>
        <v>3.75</v>
      </c>
      <c r="K45" s="61">
        <f>VLOOKUP(Table13[[#This Row],[Donor Name]],'Wtd scores by sub-groups'!$A$5:$K$72,4,FALSE)</f>
        <v>2.5482870000000002</v>
      </c>
      <c r="L45" s="61">
        <f>VLOOKUP(Table13[[#This Row],[Donor Name]],'Wtd scores by sub-groups'!$A$5:$K$72,5,FALSE)</f>
        <v>0</v>
      </c>
      <c r="M45" s="61">
        <f>VLOOKUP(Table13[[#This Row],[Donor Name]],'Wtd scores by sub-groups'!$A$5:$K$72,6,FALSE)</f>
        <v>0</v>
      </c>
      <c r="N45" s="61">
        <f>VLOOKUP(Table13[[#This Row],[Donor Name]],'Wtd scores by sub-groups'!$A$5:$K$72,7,FALSE)</f>
        <v>0</v>
      </c>
      <c r="O45" s="61">
        <f>VLOOKUP(Table13[[#This Row],[Donor Name]],'Wtd scores by sub-groups'!$A$5:$K$72,8,FALSE)</f>
        <v>0</v>
      </c>
      <c r="P45" s="61">
        <f>VLOOKUP(Table13[[#This Row],[Donor Name]],'Wtd scores by sub-groups'!$A$5:$K$72,9,FALSE)</f>
        <v>0</v>
      </c>
      <c r="Q45" s="61">
        <f>VLOOKUP(Table13[[#This Row],[Donor Name]],'Weighted scores by indicator'!$A$7:$AO$74,2,FALSE)</f>
        <v>3.33</v>
      </c>
      <c r="R45" s="61">
        <f>VLOOKUP(Table13[[#This Row],[Donor Name]],'Weighted scores by indicator'!$A$7:$AO$74,3,FALSE)</f>
        <v>0</v>
      </c>
      <c r="S45" s="61">
        <f>VLOOKUP(Table13[[#This Row],[Donor Name]],'Weighted scores by indicator'!$A$7:$AO$74,4,FALSE)</f>
        <v>0</v>
      </c>
      <c r="T45" s="61">
        <f>VLOOKUP(Table13[[#This Row],[Donor Name]],'Weighted scores by indicator'!$A$7:$AO$74,5,FALSE)</f>
        <v>1.25</v>
      </c>
      <c r="U45" s="61">
        <f>VLOOKUP(Table13[[#This Row],[Donor Name]],'Weighted scores by indicator'!$A$7:$AO$74,6,FALSE)</f>
        <v>1.25</v>
      </c>
      <c r="V45" s="61">
        <f>VLOOKUP(Table13[[#This Row],[Donor Name]],'Weighted scores by indicator'!$A$7:$AO$74,7,FALSE)</f>
        <v>0</v>
      </c>
      <c r="W45" s="61">
        <f>VLOOKUP(Table13[[#This Row],[Donor Name]],'Weighted scores by indicator'!$A$7:$AO$74,8,FALSE)</f>
        <v>1.25</v>
      </c>
      <c r="X45" s="61">
        <f>VLOOKUP(Table13[[#This Row],[Donor Name]],'Weighted scores by indicator'!$A$7:$AO$74,9,FALSE)</f>
        <v>0</v>
      </c>
      <c r="Y45" s="61">
        <f>VLOOKUP(Table13[[#This Row],[Donor Name]],'Weighted scores by indicator'!$A$7:$AO$74,10,FALSE)</f>
        <v>0.463287</v>
      </c>
      <c r="Z45" s="61">
        <f>VLOOKUP(Table13[[#This Row],[Donor Name]],'Weighted scores by indicator'!$A$7:$AO$74,11,FALSE)</f>
        <v>0</v>
      </c>
      <c r="AA45" s="61">
        <f>VLOOKUP(Table13[[#This Row],[Donor Name]],'Weighted scores by indicator'!$A$7:$AO$74,12,FALSE)</f>
        <v>2.085</v>
      </c>
      <c r="AB45" s="61">
        <f>VLOOKUP(Table13[[#This Row],[Donor Name]],'Weighted scores by indicator'!$A$7:$AO$74,13,FALSE)</f>
        <v>0</v>
      </c>
      <c r="AC45" s="61">
        <f>VLOOKUP(Table13[[#This Row],[Donor Name]],'Weighted scores by indicator'!$A$7:$AO$74,14,FALSE)</f>
        <v>0</v>
      </c>
      <c r="AD45" s="61">
        <f>VLOOKUP(Table13[[#This Row],[Donor Name]],'Weighted scores by indicator'!$A$7:$AO$74,15,FALSE)</f>
        <v>0</v>
      </c>
      <c r="AE45" s="61">
        <f>VLOOKUP(Table13[[#This Row],[Donor Name]],'Weighted scores by indicator'!$A$7:$AO$74,16,FALSE)</f>
        <v>0</v>
      </c>
      <c r="AF45" s="61">
        <f>VLOOKUP(Table13[[#This Row],[Donor Name]],'Weighted scores by indicator'!$A$7:$AO$74,17,FALSE)</f>
        <v>0</v>
      </c>
      <c r="AG45" s="61">
        <f>VLOOKUP(Table13[[#This Row],[Donor Name]],'Weighted scores by indicator'!$A$7:$AO$74,18,FALSE)</f>
        <v>0</v>
      </c>
      <c r="AH45" s="61">
        <f>VLOOKUP(Table13[[#This Row],[Donor Name]],'Weighted scores by indicator'!$A$7:$AO$74,19,FALSE)</f>
        <v>0</v>
      </c>
      <c r="AI45" s="61">
        <f>VLOOKUP(Table13[[#This Row],[Donor Name]],'Weighted scores by indicator'!$A$7:$AO$74,20,FALSE)</f>
        <v>0</v>
      </c>
      <c r="AJ45" s="61">
        <f>VLOOKUP(Table13[[#This Row],[Donor Name]],'Weighted scores by indicator'!$A$7:$AO$74,21,FALSE)</f>
        <v>0</v>
      </c>
      <c r="AK45" s="61">
        <f>VLOOKUP(Table13[[#This Row],[Donor Name]],'Weighted scores by indicator'!$A$7:$AO$74,22,FALSE)</f>
        <v>0</v>
      </c>
      <c r="AL45" s="61">
        <f>VLOOKUP(Table13[[#This Row],[Donor Name]],'Weighted scores by indicator'!$A$7:$AO$74,23,FALSE)</f>
        <v>0</v>
      </c>
      <c r="AM45" s="61">
        <f>VLOOKUP(Table13[[#This Row],[Donor Name]],'Weighted scores by indicator'!$A$7:$AO$74,24,FALSE)</f>
        <v>0</v>
      </c>
      <c r="AN45" s="61">
        <f>VLOOKUP(Table13[[#This Row],[Donor Name]],'Weighted scores by indicator'!$A$7:$AO$74,25,FALSE)</f>
        <v>0</v>
      </c>
      <c r="AO45" s="61">
        <f>VLOOKUP(Table13[[#This Row],[Donor Name]],'Weighted scores by indicator'!$A$7:$AO$74,26,FALSE)</f>
        <v>0</v>
      </c>
      <c r="AP45" s="61">
        <f>VLOOKUP(Table13[[#This Row],[Donor Name]],'Weighted scores by indicator'!$A$7:$AO$74,27,FALSE)</f>
        <v>0</v>
      </c>
      <c r="AQ45" s="61">
        <f>VLOOKUP(Table13[[#This Row],[Donor Name]],'Weighted scores by indicator'!$A$7:$AO$74,28,FALSE)</f>
        <v>0</v>
      </c>
      <c r="AR45" s="61">
        <f>VLOOKUP(Table13[[#This Row],[Donor Name]],'Weighted scores by indicator'!$A$7:$AO$74,29,FALSE)</f>
        <v>0</v>
      </c>
      <c r="AS45" s="61">
        <f>VLOOKUP(Table13[[#This Row],[Donor Name]],'Weighted scores by indicator'!$A$7:$AO$74,30,FALSE)</f>
        <v>0</v>
      </c>
      <c r="AT45" s="61">
        <f>VLOOKUP(Table13[[#This Row],[Donor Name]],'Weighted scores by indicator'!$A$7:$AO$74,31,FALSE)</f>
        <v>0</v>
      </c>
      <c r="AU45" s="61">
        <f>VLOOKUP(Table13[[#This Row],[Donor Name]],'Weighted scores by indicator'!$A$7:$AO$74,32,FALSE)</f>
        <v>0</v>
      </c>
      <c r="AV45" s="61">
        <f>VLOOKUP(Table13[[#This Row],[Donor Name]],'Weighted scores by indicator'!$A$7:$AO$74,33,FALSE)</f>
        <v>0</v>
      </c>
      <c r="AW45" s="61">
        <f>VLOOKUP(Table13[[#This Row],[Donor Name]],'Weighted scores by indicator'!$A$7:$AO$74,34,FALSE)</f>
        <v>0</v>
      </c>
      <c r="AX45" s="61">
        <f>VLOOKUP(Table13[[#This Row],[Donor Name]],'Weighted scores by indicator'!$A$7:$AO$74,35,FALSE)</f>
        <v>0</v>
      </c>
      <c r="AY45" s="61">
        <f>VLOOKUP(Table13[[#This Row],[Donor Name]],'Weighted scores by indicator'!$A$7:$AO$74,36,FALSE)</f>
        <v>0</v>
      </c>
      <c r="AZ45" s="61">
        <f>VLOOKUP(Table13[[#This Row],[Donor Name]],'Weighted scores by indicator'!$A$7:$AO$74,37,FALSE)</f>
        <v>0</v>
      </c>
      <c r="BA45" s="61">
        <f>VLOOKUP(Table13[[#This Row],[Donor Name]],'Weighted scores by indicator'!$A$7:$AO$74,38,FALSE)</f>
        <v>0</v>
      </c>
      <c r="BB45" s="61">
        <f>VLOOKUP(Table13[[#This Row],[Donor Name]],'Weighted scores by indicator'!$A$7:$AO$74,39,FALSE)</f>
        <v>0</v>
      </c>
      <c r="BC45" s="111">
        <f>VLOOKUP(Table13[[#This Row],[Donor Name]],'Weighted scores by indicator'!$A$7:$AO$74,40,FALSE)</f>
        <v>0</v>
      </c>
      <c r="BD45" s="61">
        <f>COUNTIF(Table13[[#This Row],[FOIA]:[Conditions]],"0")</f>
        <v>33</v>
      </c>
      <c r="BE45" s="61">
        <f>COUNTIF(Table13[[#This Row],[FOIA]:[Conditions]],"&gt;0")</f>
        <v>6</v>
      </c>
      <c r="BG45">
        <f>39-SUM(Table13[[#This Row],[No of indicators not scoring on]:[No of indicators scoring on]])</f>
        <v>0</v>
      </c>
    </row>
    <row r="46" spans="1:59" x14ac:dyDescent="0.25">
      <c r="A46" s="104" t="s">
        <v>1645</v>
      </c>
      <c r="B46" s="102" t="s">
        <v>2989</v>
      </c>
      <c r="C46" s="157">
        <f>VLOOKUP(Table13[[#This Row],[Donor Name]],'Overall scores and ranking'!$A$3:$D$72,2,FALSE)</f>
        <v>9.1154984999999993</v>
      </c>
      <c r="D46" s="107">
        <f>VLOOKUP(Table13[[#This Row],[Donor Name]],'Overall scores and ranking'!$A$3:$D$72,3,FALSE)</f>
        <v>61</v>
      </c>
      <c r="E46" s="107">
        <f>RANK(Table13[[#This Row],[Overall Score]],Table13[Overall Score],0)</f>
        <v>43</v>
      </c>
      <c r="F46" s="61" t="str">
        <f>VLOOKUP(Table13[[#This Row],[Donor Name]],'Overall scores and ranking'!$A$3:$D$72,4,FALSE)</f>
        <v>Very Poor</v>
      </c>
      <c r="G46" s="109">
        <f>VLOOKUP(Table13[[#This Row],[Donor Name]],'Wtd - IATI vs Others'!$A$5:$D$72,2,FALSE)</f>
        <v>0</v>
      </c>
      <c r="H46" s="61">
        <f>VLOOKUP(Table13[[#This Row],[Donor Name]],'Wtd - IATI vs Others'!$A$5:$D$72,3,FALSE)</f>
        <v>9.1154984999999993</v>
      </c>
      <c r="I46" s="61">
        <f>VLOOKUP(Table13[[#This Row],[Donor Name]],'Wtd scores by sub-groups'!$A$5:$K$72,2,FALSE)</f>
        <v>2.0422889999999998</v>
      </c>
      <c r="J46" s="61">
        <f>VLOOKUP(Table13[[#This Row],[Donor Name]],'Wtd scores by sub-groups'!$A$5:$K$72,3,FALSE)</f>
        <v>3.75</v>
      </c>
      <c r="K46" s="61">
        <f>VLOOKUP(Table13[[#This Row],[Donor Name]],'Wtd scores by sub-groups'!$A$5:$K$72,4,FALSE)</f>
        <v>2.7799304999999999</v>
      </c>
      <c r="L46" s="61">
        <f>VLOOKUP(Table13[[#This Row],[Donor Name]],'Wtd scores by sub-groups'!$A$5:$K$72,5,FALSE)</f>
        <v>0.54327899999999996</v>
      </c>
      <c r="M46" s="61">
        <f>VLOOKUP(Table13[[#This Row],[Donor Name]],'Wtd scores by sub-groups'!$A$5:$K$72,6,FALSE)</f>
        <v>0</v>
      </c>
      <c r="N46" s="61">
        <f>VLOOKUP(Table13[[#This Row],[Donor Name]],'Wtd scores by sub-groups'!$A$5:$K$72,7,FALSE)</f>
        <v>0</v>
      </c>
      <c r="O46" s="61">
        <f>VLOOKUP(Table13[[#This Row],[Donor Name]],'Wtd scores by sub-groups'!$A$5:$K$72,8,FALSE)</f>
        <v>0</v>
      </c>
      <c r="P46" s="61">
        <f>VLOOKUP(Table13[[#This Row],[Donor Name]],'Wtd scores by sub-groups'!$A$5:$K$72,9,FALSE)</f>
        <v>0</v>
      </c>
      <c r="Q46" s="61">
        <f>VLOOKUP(Table13[[#This Row],[Donor Name]],'Weighted scores by indicator'!$A$7:$AO$74,2,FALSE)</f>
        <v>1.1098889999999999</v>
      </c>
      <c r="R46" s="61">
        <f>VLOOKUP(Table13[[#This Row],[Donor Name]],'Weighted scores by indicator'!$A$7:$AO$74,3,FALSE)</f>
        <v>0.93240000000000001</v>
      </c>
      <c r="S46" s="61">
        <f>VLOOKUP(Table13[[#This Row],[Donor Name]],'Weighted scores by indicator'!$A$7:$AO$74,4,FALSE)</f>
        <v>0</v>
      </c>
      <c r="T46" s="61">
        <f>VLOOKUP(Table13[[#This Row],[Donor Name]],'Weighted scores by indicator'!$A$7:$AO$74,5,FALSE)</f>
        <v>1.25</v>
      </c>
      <c r="U46" s="61">
        <f>VLOOKUP(Table13[[#This Row],[Donor Name]],'Weighted scores by indicator'!$A$7:$AO$74,6,FALSE)</f>
        <v>0</v>
      </c>
      <c r="V46" s="61">
        <f>VLOOKUP(Table13[[#This Row],[Donor Name]],'Weighted scores by indicator'!$A$7:$AO$74,7,FALSE)</f>
        <v>1.25</v>
      </c>
      <c r="W46" s="61">
        <f>VLOOKUP(Table13[[#This Row],[Donor Name]],'Weighted scores by indicator'!$A$7:$AO$74,8,FALSE)</f>
        <v>0</v>
      </c>
      <c r="X46" s="61">
        <f>VLOOKUP(Table13[[#This Row],[Donor Name]],'Weighted scores by indicator'!$A$7:$AO$74,9,FALSE)</f>
        <v>1.25</v>
      </c>
      <c r="Y46" s="61">
        <f>VLOOKUP(Table13[[#This Row],[Donor Name]],'Weighted scores by indicator'!$A$7:$AO$74,10,FALSE)</f>
        <v>0.69493050000000001</v>
      </c>
      <c r="Z46" s="61">
        <f>VLOOKUP(Table13[[#This Row],[Donor Name]],'Weighted scores by indicator'!$A$7:$AO$74,11,FALSE)</f>
        <v>0</v>
      </c>
      <c r="AA46" s="61">
        <f>VLOOKUP(Table13[[#This Row],[Donor Name]],'Weighted scores by indicator'!$A$7:$AO$74,12,FALSE)</f>
        <v>2.085</v>
      </c>
      <c r="AB46" s="61">
        <f>VLOOKUP(Table13[[#This Row],[Donor Name]],'Weighted scores by indicator'!$A$7:$AO$74,13,FALSE)</f>
        <v>0</v>
      </c>
      <c r="AC46" s="61">
        <f>VLOOKUP(Table13[[#This Row],[Donor Name]],'Weighted scores by indicator'!$A$7:$AO$74,14,FALSE)</f>
        <v>0</v>
      </c>
      <c r="AD46" s="61">
        <f>VLOOKUP(Table13[[#This Row],[Donor Name]],'Weighted scores by indicator'!$A$7:$AO$74,15,FALSE)</f>
        <v>0</v>
      </c>
      <c r="AE46" s="61">
        <f>VLOOKUP(Table13[[#This Row],[Donor Name]],'Weighted scores by indicator'!$A$7:$AO$74,16,FALSE)</f>
        <v>0</v>
      </c>
      <c r="AF46" s="61">
        <f>VLOOKUP(Table13[[#This Row],[Donor Name]],'Weighted scores by indicator'!$A$7:$AO$74,17,FALSE)</f>
        <v>0</v>
      </c>
      <c r="AG46" s="61">
        <f>VLOOKUP(Table13[[#This Row],[Donor Name]],'Weighted scores by indicator'!$A$7:$AO$74,18,FALSE)</f>
        <v>0</v>
      </c>
      <c r="AH46" s="61">
        <f>VLOOKUP(Table13[[#This Row],[Donor Name]],'Weighted scores by indicator'!$A$7:$AO$74,19,FALSE)</f>
        <v>0</v>
      </c>
      <c r="AI46" s="61">
        <f>VLOOKUP(Table13[[#This Row],[Donor Name]],'Weighted scores by indicator'!$A$7:$AO$74,20,FALSE)</f>
        <v>0.54327899999999996</v>
      </c>
      <c r="AJ46" s="61">
        <f>VLOOKUP(Table13[[#This Row],[Donor Name]],'Weighted scores by indicator'!$A$7:$AO$74,21,FALSE)</f>
        <v>0</v>
      </c>
      <c r="AK46" s="61">
        <f>VLOOKUP(Table13[[#This Row],[Donor Name]],'Weighted scores by indicator'!$A$7:$AO$74,22,FALSE)</f>
        <v>0</v>
      </c>
      <c r="AL46" s="61">
        <f>VLOOKUP(Table13[[#This Row],[Donor Name]],'Weighted scores by indicator'!$A$7:$AO$74,23,FALSE)</f>
        <v>0</v>
      </c>
      <c r="AM46" s="61">
        <f>VLOOKUP(Table13[[#This Row],[Donor Name]],'Weighted scores by indicator'!$A$7:$AO$74,24,FALSE)</f>
        <v>0</v>
      </c>
      <c r="AN46" s="61">
        <f>VLOOKUP(Table13[[#This Row],[Donor Name]],'Weighted scores by indicator'!$A$7:$AO$74,25,FALSE)</f>
        <v>0</v>
      </c>
      <c r="AO46" s="61">
        <f>VLOOKUP(Table13[[#This Row],[Donor Name]],'Weighted scores by indicator'!$A$7:$AO$74,26,FALSE)</f>
        <v>0</v>
      </c>
      <c r="AP46" s="61">
        <f>VLOOKUP(Table13[[#This Row],[Donor Name]],'Weighted scores by indicator'!$A$7:$AO$74,27,FALSE)</f>
        <v>0</v>
      </c>
      <c r="AQ46" s="61">
        <f>VLOOKUP(Table13[[#This Row],[Donor Name]],'Weighted scores by indicator'!$A$7:$AO$74,28,FALSE)</f>
        <v>0</v>
      </c>
      <c r="AR46" s="61">
        <f>VLOOKUP(Table13[[#This Row],[Donor Name]],'Weighted scores by indicator'!$A$7:$AO$74,29,FALSE)</f>
        <v>0</v>
      </c>
      <c r="AS46" s="61">
        <f>VLOOKUP(Table13[[#This Row],[Donor Name]],'Weighted scores by indicator'!$A$7:$AO$74,30,FALSE)</f>
        <v>0</v>
      </c>
      <c r="AT46" s="61">
        <f>VLOOKUP(Table13[[#This Row],[Donor Name]],'Weighted scores by indicator'!$A$7:$AO$74,31,FALSE)</f>
        <v>0</v>
      </c>
      <c r="AU46" s="61">
        <f>VLOOKUP(Table13[[#This Row],[Donor Name]],'Weighted scores by indicator'!$A$7:$AO$74,32,FALSE)</f>
        <v>0</v>
      </c>
      <c r="AV46" s="61">
        <f>VLOOKUP(Table13[[#This Row],[Donor Name]],'Weighted scores by indicator'!$A$7:$AO$74,33,FALSE)</f>
        <v>0</v>
      </c>
      <c r="AW46" s="61">
        <f>VLOOKUP(Table13[[#This Row],[Donor Name]],'Weighted scores by indicator'!$A$7:$AO$74,34,FALSE)</f>
        <v>0</v>
      </c>
      <c r="AX46" s="61">
        <f>VLOOKUP(Table13[[#This Row],[Donor Name]],'Weighted scores by indicator'!$A$7:$AO$74,35,FALSE)</f>
        <v>0</v>
      </c>
      <c r="AY46" s="61">
        <f>VLOOKUP(Table13[[#This Row],[Donor Name]],'Weighted scores by indicator'!$A$7:$AO$74,36,FALSE)</f>
        <v>0</v>
      </c>
      <c r="AZ46" s="61">
        <f>VLOOKUP(Table13[[#This Row],[Donor Name]],'Weighted scores by indicator'!$A$7:$AO$74,37,FALSE)</f>
        <v>0</v>
      </c>
      <c r="BA46" s="61">
        <f>VLOOKUP(Table13[[#This Row],[Donor Name]],'Weighted scores by indicator'!$A$7:$AO$74,38,FALSE)</f>
        <v>0</v>
      </c>
      <c r="BB46" s="61">
        <f>VLOOKUP(Table13[[#This Row],[Donor Name]],'Weighted scores by indicator'!$A$7:$AO$74,39,FALSE)</f>
        <v>0</v>
      </c>
      <c r="BC46" s="111">
        <f>VLOOKUP(Table13[[#This Row],[Donor Name]],'Weighted scores by indicator'!$A$7:$AO$74,40,FALSE)</f>
        <v>0</v>
      </c>
      <c r="BD46" s="61">
        <f>COUNTIF(Table13[[#This Row],[FOIA]:[Conditions]],"0")</f>
        <v>31</v>
      </c>
      <c r="BE46" s="61">
        <f>COUNTIF(Table13[[#This Row],[FOIA]:[Conditions]],"&gt;0")</f>
        <v>8</v>
      </c>
      <c r="BG46">
        <f>39-SUM(Table13[[#This Row],[No of indicators not scoring on]:[No of indicators scoring on]])</f>
        <v>0</v>
      </c>
    </row>
    <row r="47" spans="1:59" x14ac:dyDescent="0.25">
      <c r="A47" s="104" t="s">
        <v>459</v>
      </c>
      <c r="B47" s="102" t="s">
        <v>458</v>
      </c>
      <c r="C47" s="157">
        <f>VLOOKUP(Table13[[#This Row],[Donor Name]],'Overall scores and ranking'!$A$3:$D$72,2,FALSE)</f>
        <v>8.3047779999999989</v>
      </c>
      <c r="D47" s="107">
        <f>VLOOKUP(Table13[[#This Row],[Donor Name]],'Overall scores and ranking'!$A$3:$D$72,3,FALSE)</f>
        <v>62</v>
      </c>
      <c r="E47" s="107">
        <f>RANK(Table13[[#This Row],[Overall Score]],Table13[Overall Score],0)</f>
        <v>44</v>
      </c>
      <c r="F47" s="61" t="str">
        <f>VLOOKUP(Table13[[#This Row],[Donor Name]],'Overall scores and ranking'!$A$3:$D$72,4,FALSE)</f>
        <v>Very Poor</v>
      </c>
      <c r="G47" s="109">
        <f>VLOOKUP(Table13[[#This Row],[Donor Name]],'Wtd - IATI vs Others'!$A$5:$D$72,2,FALSE)</f>
        <v>0</v>
      </c>
      <c r="H47" s="61">
        <f>VLOOKUP(Table13[[#This Row],[Donor Name]],'Wtd - IATI vs Others'!$A$5:$D$72,3,FALSE)</f>
        <v>8.3047779999999989</v>
      </c>
      <c r="I47" s="61">
        <f>VLOOKUP(Table13[[#This Row],[Donor Name]],'Wtd scores by sub-groups'!$A$5:$K$72,2,FALSE)</f>
        <v>2.2197779999999998</v>
      </c>
      <c r="J47" s="61">
        <f>VLOOKUP(Table13[[#This Row],[Donor Name]],'Wtd scores by sub-groups'!$A$5:$K$72,3,FALSE)</f>
        <v>5</v>
      </c>
      <c r="K47" s="61">
        <f>VLOOKUP(Table13[[#This Row],[Donor Name]],'Wtd scores by sub-groups'!$A$5:$K$72,4,FALSE)</f>
        <v>0</v>
      </c>
      <c r="L47" s="61">
        <f>VLOOKUP(Table13[[#This Row],[Donor Name]],'Wtd scores by sub-groups'!$A$5:$K$72,5,FALSE)</f>
        <v>0</v>
      </c>
      <c r="M47" s="61">
        <f>VLOOKUP(Table13[[#This Row],[Donor Name]],'Wtd scores by sub-groups'!$A$5:$K$72,6,FALSE)</f>
        <v>0</v>
      </c>
      <c r="N47" s="61">
        <f>VLOOKUP(Table13[[#This Row],[Donor Name]],'Wtd scores by sub-groups'!$A$5:$K$72,7,FALSE)</f>
        <v>1.085</v>
      </c>
      <c r="O47" s="61">
        <f>VLOOKUP(Table13[[#This Row],[Donor Name]],'Wtd scores by sub-groups'!$A$5:$K$72,8,FALSE)</f>
        <v>0</v>
      </c>
      <c r="P47" s="61">
        <f>VLOOKUP(Table13[[#This Row],[Donor Name]],'Wtd scores by sub-groups'!$A$5:$K$72,9,FALSE)</f>
        <v>0</v>
      </c>
      <c r="Q47" s="61">
        <f>VLOOKUP(Table13[[#This Row],[Donor Name]],'Weighted scores by indicator'!$A$7:$AO$74,2,FALSE)</f>
        <v>2.2197779999999998</v>
      </c>
      <c r="R47" s="61">
        <f>VLOOKUP(Table13[[#This Row],[Donor Name]],'Weighted scores by indicator'!$A$7:$AO$74,3,FALSE)</f>
        <v>0</v>
      </c>
      <c r="S47" s="61">
        <f>VLOOKUP(Table13[[#This Row],[Donor Name]],'Weighted scores by indicator'!$A$7:$AO$74,4,FALSE)</f>
        <v>0</v>
      </c>
      <c r="T47" s="61">
        <f>VLOOKUP(Table13[[#This Row],[Donor Name]],'Weighted scores by indicator'!$A$7:$AO$74,5,FALSE)</f>
        <v>1.25</v>
      </c>
      <c r="U47" s="61">
        <f>VLOOKUP(Table13[[#This Row],[Donor Name]],'Weighted scores by indicator'!$A$7:$AO$74,6,FALSE)</f>
        <v>1.25</v>
      </c>
      <c r="V47" s="61">
        <f>VLOOKUP(Table13[[#This Row],[Donor Name]],'Weighted scores by indicator'!$A$7:$AO$74,7,FALSE)</f>
        <v>1.25</v>
      </c>
      <c r="W47" s="61">
        <f>VLOOKUP(Table13[[#This Row],[Donor Name]],'Weighted scores by indicator'!$A$7:$AO$74,8,FALSE)</f>
        <v>1.25</v>
      </c>
      <c r="X47" s="61">
        <f>VLOOKUP(Table13[[#This Row],[Donor Name]],'Weighted scores by indicator'!$A$7:$AO$74,9,FALSE)</f>
        <v>0</v>
      </c>
      <c r="Y47" s="61">
        <f>VLOOKUP(Table13[[#This Row],[Donor Name]],'Weighted scores by indicator'!$A$7:$AO$74,10,FALSE)</f>
        <v>0</v>
      </c>
      <c r="Z47" s="61">
        <f>VLOOKUP(Table13[[#This Row],[Donor Name]],'Weighted scores by indicator'!$A$7:$AO$74,11,FALSE)</f>
        <v>0</v>
      </c>
      <c r="AA47" s="61">
        <f>VLOOKUP(Table13[[#This Row],[Donor Name]],'Weighted scores by indicator'!$A$7:$AO$74,12,FALSE)</f>
        <v>0</v>
      </c>
      <c r="AB47" s="61">
        <f>VLOOKUP(Table13[[#This Row],[Donor Name]],'Weighted scores by indicator'!$A$7:$AO$74,13,FALSE)</f>
        <v>0</v>
      </c>
      <c r="AC47" s="61">
        <f>VLOOKUP(Table13[[#This Row],[Donor Name]],'Weighted scores by indicator'!$A$7:$AO$74,14,FALSE)</f>
        <v>0</v>
      </c>
      <c r="AD47" s="61">
        <f>VLOOKUP(Table13[[#This Row],[Donor Name]],'Weighted scores by indicator'!$A$7:$AO$74,15,FALSE)</f>
        <v>0</v>
      </c>
      <c r="AE47" s="61">
        <f>VLOOKUP(Table13[[#This Row],[Donor Name]],'Weighted scores by indicator'!$A$7:$AO$74,16,FALSE)</f>
        <v>0</v>
      </c>
      <c r="AF47" s="61">
        <f>VLOOKUP(Table13[[#This Row],[Donor Name]],'Weighted scores by indicator'!$A$7:$AO$74,17,FALSE)</f>
        <v>0</v>
      </c>
      <c r="AG47" s="61">
        <f>VLOOKUP(Table13[[#This Row],[Donor Name]],'Weighted scores by indicator'!$A$7:$AO$74,18,FALSE)</f>
        <v>0</v>
      </c>
      <c r="AH47" s="61">
        <f>VLOOKUP(Table13[[#This Row],[Donor Name]],'Weighted scores by indicator'!$A$7:$AO$74,19,FALSE)</f>
        <v>0</v>
      </c>
      <c r="AI47" s="61">
        <f>VLOOKUP(Table13[[#This Row],[Donor Name]],'Weighted scores by indicator'!$A$7:$AO$74,20,FALSE)</f>
        <v>0</v>
      </c>
      <c r="AJ47" s="61">
        <f>VLOOKUP(Table13[[#This Row],[Donor Name]],'Weighted scores by indicator'!$A$7:$AO$74,21,FALSE)</f>
        <v>0</v>
      </c>
      <c r="AK47" s="61">
        <f>VLOOKUP(Table13[[#This Row],[Donor Name]],'Weighted scores by indicator'!$A$7:$AO$74,22,FALSE)</f>
        <v>0</v>
      </c>
      <c r="AL47" s="61">
        <f>VLOOKUP(Table13[[#This Row],[Donor Name]],'Weighted scores by indicator'!$A$7:$AO$74,23,FALSE)</f>
        <v>0</v>
      </c>
      <c r="AM47" s="61">
        <f>VLOOKUP(Table13[[#This Row],[Donor Name]],'Weighted scores by indicator'!$A$7:$AO$74,24,FALSE)</f>
        <v>0</v>
      </c>
      <c r="AN47" s="61">
        <f>VLOOKUP(Table13[[#This Row],[Donor Name]],'Weighted scores by indicator'!$A$7:$AO$74,25,FALSE)</f>
        <v>0</v>
      </c>
      <c r="AO47" s="61">
        <f>VLOOKUP(Table13[[#This Row],[Donor Name]],'Weighted scores by indicator'!$A$7:$AO$74,26,FALSE)</f>
        <v>0</v>
      </c>
      <c r="AP47" s="61">
        <f>VLOOKUP(Table13[[#This Row],[Donor Name]],'Weighted scores by indicator'!$A$7:$AO$74,27,FALSE)</f>
        <v>0</v>
      </c>
      <c r="AQ47" s="61">
        <f>VLOOKUP(Table13[[#This Row],[Donor Name]],'Weighted scores by indicator'!$A$7:$AO$74,28,FALSE)</f>
        <v>0</v>
      </c>
      <c r="AR47" s="61">
        <f>VLOOKUP(Table13[[#This Row],[Donor Name]],'Weighted scores by indicator'!$A$7:$AO$74,29,FALSE)</f>
        <v>0</v>
      </c>
      <c r="AS47" s="61">
        <f>VLOOKUP(Table13[[#This Row],[Donor Name]],'Weighted scores by indicator'!$A$7:$AO$74,30,FALSE)</f>
        <v>0</v>
      </c>
      <c r="AT47" s="61">
        <f>VLOOKUP(Table13[[#This Row],[Donor Name]],'Weighted scores by indicator'!$A$7:$AO$74,31,FALSE)</f>
        <v>0</v>
      </c>
      <c r="AU47" s="61">
        <f>VLOOKUP(Table13[[#This Row],[Donor Name]],'Weighted scores by indicator'!$A$7:$AO$74,32,FALSE)</f>
        <v>0</v>
      </c>
      <c r="AV47" s="61">
        <f>VLOOKUP(Table13[[#This Row],[Donor Name]],'Weighted scores by indicator'!$A$7:$AO$74,33,FALSE)</f>
        <v>1.085</v>
      </c>
      <c r="AW47" s="61">
        <f>VLOOKUP(Table13[[#This Row],[Donor Name]],'Weighted scores by indicator'!$A$7:$AO$74,34,FALSE)</f>
        <v>0</v>
      </c>
      <c r="AX47" s="61">
        <f>VLOOKUP(Table13[[#This Row],[Donor Name]],'Weighted scores by indicator'!$A$7:$AO$74,35,FALSE)</f>
        <v>0</v>
      </c>
      <c r="AY47" s="61">
        <f>VLOOKUP(Table13[[#This Row],[Donor Name]],'Weighted scores by indicator'!$A$7:$AO$74,36,FALSE)</f>
        <v>0</v>
      </c>
      <c r="AZ47" s="61">
        <f>VLOOKUP(Table13[[#This Row],[Donor Name]],'Weighted scores by indicator'!$A$7:$AO$74,37,FALSE)</f>
        <v>0</v>
      </c>
      <c r="BA47" s="61">
        <f>VLOOKUP(Table13[[#This Row],[Donor Name]],'Weighted scores by indicator'!$A$7:$AO$74,38,FALSE)</f>
        <v>0</v>
      </c>
      <c r="BB47" s="61">
        <f>VLOOKUP(Table13[[#This Row],[Donor Name]],'Weighted scores by indicator'!$A$7:$AO$74,39,FALSE)</f>
        <v>0</v>
      </c>
      <c r="BC47" s="111">
        <f>VLOOKUP(Table13[[#This Row],[Donor Name]],'Weighted scores by indicator'!$A$7:$AO$74,40,FALSE)</f>
        <v>0</v>
      </c>
      <c r="BD47" s="61">
        <f>COUNTIF(Table13[[#This Row],[FOIA]:[Conditions]],"0")</f>
        <v>33</v>
      </c>
      <c r="BE47" s="61">
        <f>COUNTIF(Table13[[#This Row],[FOIA]:[Conditions]],"&gt;0")</f>
        <v>6</v>
      </c>
      <c r="BG47">
        <f>39-SUM(Table13[[#This Row],[No of indicators not scoring on]:[No of indicators scoring on]])</f>
        <v>0</v>
      </c>
    </row>
    <row r="48" spans="1:59" x14ac:dyDescent="0.25">
      <c r="A48" s="104" t="s">
        <v>1850</v>
      </c>
      <c r="B48" s="102" t="s">
        <v>1849</v>
      </c>
      <c r="C48" s="157">
        <f>VLOOKUP(Table13[[#This Row],[Donor Name]],'Overall scores and ranking'!$A$3:$D$72,2,FALSE)</f>
        <v>8.1649999999999991</v>
      </c>
      <c r="D48" s="107">
        <f>VLOOKUP(Table13[[#This Row],[Donor Name]],'Overall scores and ranking'!$A$3:$D$72,3,FALSE)</f>
        <v>63</v>
      </c>
      <c r="E48" s="107">
        <f>RANK(Table13[[#This Row],[Overall Score]],Table13[Overall Score],0)</f>
        <v>45</v>
      </c>
      <c r="F48" s="61" t="str">
        <f>VLOOKUP(Table13[[#This Row],[Donor Name]],'Overall scores and ranking'!$A$3:$D$72,4,FALSE)</f>
        <v>Very Poor</v>
      </c>
      <c r="G48" s="109">
        <f>VLOOKUP(Table13[[#This Row],[Donor Name]],'Wtd - IATI vs Others'!$A$5:$D$72,2,FALSE)</f>
        <v>0</v>
      </c>
      <c r="H48" s="61">
        <f>VLOOKUP(Table13[[#This Row],[Donor Name]],'Wtd - IATI vs Others'!$A$5:$D$72,3,FALSE)</f>
        <v>8.1649999999999991</v>
      </c>
      <c r="I48" s="61">
        <f>VLOOKUP(Table13[[#This Row],[Donor Name]],'Wtd scores by sub-groups'!$A$5:$K$72,2,FALSE)</f>
        <v>3.33</v>
      </c>
      <c r="J48" s="61">
        <f>VLOOKUP(Table13[[#This Row],[Donor Name]],'Wtd scores by sub-groups'!$A$5:$K$72,3,FALSE)</f>
        <v>3.75</v>
      </c>
      <c r="K48" s="61">
        <f>VLOOKUP(Table13[[#This Row],[Donor Name]],'Wtd scores by sub-groups'!$A$5:$K$72,4,FALSE)</f>
        <v>0</v>
      </c>
      <c r="L48" s="61">
        <f>VLOOKUP(Table13[[#This Row],[Donor Name]],'Wtd scores by sub-groups'!$A$5:$K$72,5,FALSE)</f>
        <v>0</v>
      </c>
      <c r="M48" s="61">
        <f>VLOOKUP(Table13[[#This Row],[Donor Name]],'Wtd scores by sub-groups'!$A$5:$K$72,6,FALSE)</f>
        <v>0</v>
      </c>
      <c r="N48" s="61">
        <f>VLOOKUP(Table13[[#This Row],[Donor Name]],'Wtd scores by sub-groups'!$A$5:$K$72,7,FALSE)</f>
        <v>1.085</v>
      </c>
      <c r="O48" s="61">
        <f>VLOOKUP(Table13[[#This Row],[Donor Name]],'Wtd scores by sub-groups'!$A$5:$K$72,8,FALSE)</f>
        <v>0</v>
      </c>
      <c r="P48" s="61">
        <f>VLOOKUP(Table13[[#This Row],[Donor Name]],'Wtd scores by sub-groups'!$A$5:$K$72,9,FALSE)</f>
        <v>0</v>
      </c>
      <c r="Q48" s="61">
        <f>VLOOKUP(Table13[[#This Row],[Donor Name]],'Weighted scores by indicator'!$A$7:$AO$74,2,FALSE)</f>
        <v>3.33</v>
      </c>
      <c r="R48" s="61">
        <f>VLOOKUP(Table13[[#This Row],[Donor Name]],'Weighted scores by indicator'!$A$7:$AO$74,3,FALSE)</f>
        <v>0</v>
      </c>
      <c r="S48" s="61">
        <f>VLOOKUP(Table13[[#This Row],[Donor Name]],'Weighted scores by indicator'!$A$7:$AO$74,4,FALSE)</f>
        <v>0</v>
      </c>
      <c r="T48" s="61">
        <f>VLOOKUP(Table13[[#This Row],[Donor Name]],'Weighted scores by indicator'!$A$7:$AO$74,5,FALSE)</f>
        <v>1.25</v>
      </c>
      <c r="U48" s="61">
        <f>VLOOKUP(Table13[[#This Row],[Donor Name]],'Weighted scores by indicator'!$A$7:$AO$74,6,FALSE)</f>
        <v>0</v>
      </c>
      <c r="V48" s="61">
        <f>VLOOKUP(Table13[[#This Row],[Donor Name]],'Weighted scores by indicator'!$A$7:$AO$74,7,FALSE)</f>
        <v>1.25</v>
      </c>
      <c r="W48" s="61">
        <f>VLOOKUP(Table13[[#This Row],[Donor Name]],'Weighted scores by indicator'!$A$7:$AO$74,8,FALSE)</f>
        <v>1.25</v>
      </c>
      <c r="X48" s="61">
        <f>VLOOKUP(Table13[[#This Row],[Donor Name]],'Weighted scores by indicator'!$A$7:$AO$74,9,FALSE)</f>
        <v>0</v>
      </c>
      <c r="Y48" s="61">
        <f>VLOOKUP(Table13[[#This Row],[Donor Name]],'Weighted scores by indicator'!$A$7:$AO$74,10,FALSE)</f>
        <v>0</v>
      </c>
      <c r="Z48" s="61">
        <f>VLOOKUP(Table13[[#This Row],[Donor Name]],'Weighted scores by indicator'!$A$7:$AO$74,11,FALSE)</f>
        <v>0</v>
      </c>
      <c r="AA48" s="61">
        <f>VLOOKUP(Table13[[#This Row],[Donor Name]],'Weighted scores by indicator'!$A$7:$AO$74,12,FALSE)</f>
        <v>0</v>
      </c>
      <c r="AB48" s="61">
        <f>VLOOKUP(Table13[[#This Row],[Donor Name]],'Weighted scores by indicator'!$A$7:$AO$74,13,FALSE)</f>
        <v>0</v>
      </c>
      <c r="AC48" s="61">
        <f>VLOOKUP(Table13[[#This Row],[Donor Name]],'Weighted scores by indicator'!$A$7:$AO$74,14,FALSE)</f>
        <v>0</v>
      </c>
      <c r="AD48" s="61">
        <f>VLOOKUP(Table13[[#This Row],[Donor Name]],'Weighted scores by indicator'!$A$7:$AO$74,15,FALSE)</f>
        <v>0</v>
      </c>
      <c r="AE48" s="61">
        <f>VLOOKUP(Table13[[#This Row],[Donor Name]],'Weighted scores by indicator'!$A$7:$AO$74,16,FALSE)</f>
        <v>0</v>
      </c>
      <c r="AF48" s="61">
        <f>VLOOKUP(Table13[[#This Row],[Donor Name]],'Weighted scores by indicator'!$A$7:$AO$74,17,FALSE)</f>
        <v>0</v>
      </c>
      <c r="AG48" s="61">
        <f>VLOOKUP(Table13[[#This Row],[Donor Name]],'Weighted scores by indicator'!$A$7:$AO$74,18,FALSE)</f>
        <v>0</v>
      </c>
      <c r="AH48" s="61">
        <f>VLOOKUP(Table13[[#This Row],[Donor Name]],'Weighted scores by indicator'!$A$7:$AO$74,19,FALSE)</f>
        <v>0</v>
      </c>
      <c r="AI48" s="61">
        <f>VLOOKUP(Table13[[#This Row],[Donor Name]],'Weighted scores by indicator'!$A$7:$AO$74,20,FALSE)</f>
        <v>0</v>
      </c>
      <c r="AJ48" s="61">
        <f>VLOOKUP(Table13[[#This Row],[Donor Name]],'Weighted scores by indicator'!$A$7:$AO$74,21,FALSE)</f>
        <v>0</v>
      </c>
      <c r="AK48" s="61">
        <f>VLOOKUP(Table13[[#This Row],[Donor Name]],'Weighted scores by indicator'!$A$7:$AO$74,22,FALSE)</f>
        <v>0</v>
      </c>
      <c r="AL48" s="61">
        <f>VLOOKUP(Table13[[#This Row],[Donor Name]],'Weighted scores by indicator'!$A$7:$AO$74,23,FALSE)</f>
        <v>0</v>
      </c>
      <c r="AM48" s="61">
        <f>VLOOKUP(Table13[[#This Row],[Donor Name]],'Weighted scores by indicator'!$A$7:$AO$74,24,FALSE)</f>
        <v>0</v>
      </c>
      <c r="AN48" s="61">
        <f>VLOOKUP(Table13[[#This Row],[Donor Name]],'Weighted scores by indicator'!$A$7:$AO$74,25,FALSE)</f>
        <v>0</v>
      </c>
      <c r="AO48" s="61">
        <f>VLOOKUP(Table13[[#This Row],[Donor Name]],'Weighted scores by indicator'!$A$7:$AO$74,26,FALSE)</f>
        <v>0</v>
      </c>
      <c r="AP48" s="61">
        <f>VLOOKUP(Table13[[#This Row],[Donor Name]],'Weighted scores by indicator'!$A$7:$AO$74,27,FALSE)</f>
        <v>0</v>
      </c>
      <c r="AQ48" s="61">
        <f>VLOOKUP(Table13[[#This Row],[Donor Name]],'Weighted scores by indicator'!$A$7:$AO$74,28,FALSE)</f>
        <v>0</v>
      </c>
      <c r="AR48" s="61">
        <f>VLOOKUP(Table13[[#This Row],[Donor Name]],'Weighted scores by indicator'!$A$7:$AO$74,29,FALSE)</f>
        <v>0</v>
      </c>
      <c r="AS48" s="61">
        <f>VLOOKUP(Table13[[#This Row],[Donor Name]],'Weighted scores by indicator'!$A$7:$AO$74,30,FALSE)</f>
        <v>0</v>
      </c>
      <c r="AT48" s="61">
        <f>VLOOKUP(Table13[[#This Row],[Donor Name]],'Weighted scores by indicator'!$A$7:$AO$74,31,FALSE)</f>
        <v>0</v>
      </c>
      <c r="AU48" s="61">
        <f>VLOOKUP(Table13[[#This Row],[Donor Name]],'Weighted scores by indicator'!$A$7:$AO$74,32,FALSE)</f>
        <v>0</v>
      </c>
      <c r="AV48" s="61">
        <f>VLOOKUP(Table13[[#This Row],[Donor Name]],'Weighted scores by indicator'!$A$7:$AO$74,33,FALSE)</f>
        <v>1.085</v>
      </c>
      <c r="AW48" s="61">
        <f>VLOOKUP(Table13[[#This Row],[Donor Name]],'Weighted scores by indicator'!$A$7:$AO$74,34,FALSE)</f>
        <v>0</v>
      </c>
      <c r="AX48" s="61">
        <f>VLOOKUP(Table13[[#This Row],[Donor Name]],'Weighted scores by indicator'!$A$7:$AO$74,35,FALSE)</f>
        <v>0</v>
      </c>
      <c r="AY48" s="61">
        <f>VLOOKUP(Table13[[#This Row],[Donor Name]],'Weighted scores by indicator'!$A$7:$AO$74,36,FALSE)</f>
        <v>0</v>
      </c>
      <c r="AZ48" s="61">
        <f>VLOOKUP(Table13[[#This Row],[Donor Name]],'Weighted scores by indicator'!$A$7:$AO$74,37,FALSE)</f>
        <v>0</v>
      </c>
      <c r="BA48" s="61">
        <f>VLOOKUP(Table13[[#This Row],[Donor Name]],'Weighted scores by indicator'!$A$7:$AO$74,38,FALSE)</f>
        <v>0</v>
      </c>
      <c r="BB48" s="61">
        <f>VLOOKUP(Table13[[#This Row],[Donor Name]],'Weighted scores by indicator'!$A$7:$AO$74,39,FALSE)</f>
        <v>0</v>
      </c>
      <c r="BC48" s="111">
        <f>VLOOKUP(Table13[[#This Row],[Donor Name]],'Weighted scores by indicator'!$A$7:$AO$74,40,FALSE)</f>
        <v>0</v>
      </c>
      <c r="BD48" s="61">
        <f>COUNTIF(Table13[[#This Row],[FOIA]:[Conditions]],"0")</f>
        <v>34</v>
      </c>
      <c r="BE48" s="61">
        <f>COUNTIF(Table13[[#This Row],[FOIA]:[Conditions]],"&gt;0")</f>
        <v>5</v>
      </c>
      <c r="BG48">
        <f>39-SUM(Table13[[#This Row],[No of indicators not scoring on]:[No of indicators scoring on]])</f>
        <v>0</v>
      </c>
    </row>
    <row r="49" spans="1:59" x14ac:dyDescent="0.25">
      <c r="A49" s="104" t="s">
        <v>2259</v>
      </c>
      <c r="B49" s="102" t="s">
        <v>2258</v>
      </c>
      <c r="C49" s="157">
        <f>VLOOKUP(Table13[[#This Row],[Donor Name]],'Overall scores and ranking'!$A$3:$D$72,2,FALSE)</f>
        <v>6.5897159999999975</v>
      </c>
      <c r="D49" s="107">
        <f>VLOOKUP(Table13[[#This Row],[Donor Name]],'Overall scores and ranking'!$A$3:$D$72,3,FALSE)</f>
        <v>64</v>
      </c>
      <c r="E49" s="107">
        <f>RANK(Table13[[#This Row],[Overall Score]],Table13[Overall Score],0)</f>
        <v>46</v>
      </c>
      <c r="F49" s="61" t="str">
        <f>VLOOKUP(Table13[[#This Row],[Donor Name]],'Overall scores and ranking'!$A$3:$D$72,4,FALSE)</f>
        <v>Very Poor</v>
      </c>
      <c r="G49" s="109">
        <f>VLOOKUP(Table13[[#This Row],[Donor Name]],'Wtd - IATI vs Others'!$A$5:$D$72,2,FALSE)</f>
        <v>0</v>
      </c>
      <c r="H49" s="61">
        <f>VLOOKUP(Table13[[#This Row],[Donor Name]],'Wtd - IATI vs Others'!$A$5:$D$72,3,FALSE)</f>
        <v>6.5897159999999975</v>
      </c>
      <c r="I49" s="61">
        <f>VLOOKUP(Table13[[#This Row],[Donor Name]],'Wtd scores by sub-groups'!$A$5:$K$72,2,FALSE)</f>
        <v>2.2197779999999998</v>
      </c>
      <c r="J49" s="61">
        <f>VLOOKUP(Table13[[#This Row],[Donor Name]],'Wtd scores by sub-groups'!$A$5:$K$72,3,FALSE)</f>
        <v>3.75</v>
      </c>
      <c r="K49" s="61">
        <f>VLOOKUP(Table13[[#This Row],[Donor Name]],'Wtd scores by sub-groups'!$A$5:$K$72,4,FALSE)</f>
        <v>0</v>
      </c>
      <c r="L49" s="61">
        <f>VLOOKUP(Table13[[#This Row],[Donor Name]],'Wtd scores by sub-groups'!$A$5:$K$72,5,FALSE)</f>
        <v>0</v>
      </c>
      <c r="M49" s="61">
        <f>VLOOKUP(Table13[[#This Row],[Donor Name]],'Wtd scores by sub-groups'!$A$5:$K$72,6,FALSE)</f>
        <v>0.61993799999999799</v>
      </c>
      <c r="N49" s="61">
        <f>VLOOKUP(Table13[[#This Row],[Donor Name]],'Wtd scores by sub-groups'!$A$5:$K$72,7,FALSE)</f>
        <v>0</v>
      </c>
      <c r="O49" s="61">
        <f>VLOOKUP(Table13[[#This Row],[Donor Name]],'Wtd scores by sub-groups'!$A$5:$K$72,8,FALSE)</f>
        <v>0</v>
      </c>
      <c r="P49" s="61">
        <f>VLOOKUP(Table13[[#This Row],[Donor Name]],'Wtd scores by sub-groups'!$A$5:$K$72,9,FALSE)</f>
        <v>0</v>
      </c>
      <c r="Q49" s="61">
        <f>VLOOKUP(Table13[[#This Row],[Donor Name]],'Weighted scores by indicator'!$A$7:$AO$74,2,FALSE)</f>
        <v>2.2197779999999998</v>
      </c>
      <c r="R49" s="61">
        <f>VLOOKUP(Table13[[#This Row],[Donor Name]],'Weighted scores by indicator'!$A$7:$AO$74,3,FALSE)</f>
        <v>0</v>
      </c>
      <c r="S49" s="61">
        <f>VLOOKUP(Table13[[#This Row],[Donor Name]],'Weighted scores by indicator'!$A$7:$AO$74,4,FALSE)</f>
        <v>0</v>
      </c>
      <c r="T49" s="61">
        <f>VLOOKUP(Table13[[#This Row],[Donor Name]],'Weighted scores by indicator'!$A$7:$AO$74,5,FALSE)</f>
        <v>1.25</v>
      </c>
      <c r="U49" s="61">
        <f>VLOOKUP(Table13[[#This Row],[Donor Name]],'Weighted scores by indicator'!$A$7:$AO$74,6,FALSE)</f>
        <v>0</v>
      </c>
      <c r="V49" s="61">
        <f>VLOOKUP(Table13[[#This Row],[Donor Name]],'Weighted scores by indicator'!$A$7:$AO$74,7,FALSE)</f>
        <v>1.25</v>
      </c>
      <c r="W49" s="61">
        <f>VLOOKUP(Table13[[#This Row],[Donor Name]],'Weighted scores by indicator'!$A$7:$AO$74,8,FALSE)</f>
        <v>1.25</v>
      </c>
      <c r="X49" s="61">
        <f>VLOOKUP(Table13[[#This Row],[Donor Name]],'Weighted scores by indicator'!$A$7:$AO$74,9,FALSE)</f>
        <v>0</v>
      </c>
      <c r="Y49" s="61">
        <f>VLOOKUP(Table13[[#This Row],[Donor Name]],'Weighted scores by indicator'!$A$7:$AO$74,10,FALSE)</f>
        <v>0</v>
      </c>
      <c r="Z49" s="61">
        <f>VLOOKUP(Table13[[#This Row],[Donor Name]],'Weighted scores by indicator'!$A$7:$AO$74,11,FALSE)</f>
        <v>0</v>
      </c>
      <c r="AA49" s="61">
        <f>VLOOKUP(Table13[[#This Row],[Donor Name]],'Weighted scores by indicator'!$A$7:$AO$74,12,FALSE)</f>
        <v>0</v>
      </c>
      <c r="AB49" s="61">
        <f>VLOOKUP(Table13[[#This Row],[Donor Name]],'Weighted scores by indicator'!$A$7:$AO$74,13,FALSE)</f>
        <v>0</v>
      </c>
      <c r="AC49" s="61">
        <f>VLOOKUP(Table13[[#This Row],[Donor Name]],'Weighted scores by indicator'!$A$7:$AO$74,14,FALSE)</f>
        <v>0</v>
      </c>
      <c r="AD49" s="61">
        <f>VLOOKUP(Table13[[#This Row],[Donor Name]],'Weighted scores by indicator'!$A$7:$AO$74,15,FALSE)</f>
        <v>0</v>
      </c>
      <c r="AE49" s="61">
        <f>VLOOKUP(Table13[[#This Row],[Donor Name]],'Weighted scores by indicator'!$A$7:$AO$74,16,FALSE)</f>
        <v>0</v>
      </c>
      <c r="AF49" s="61">
        <f>VLOOKUP(Table13[[#This Row],[Donor Name]],'Weighted scores by indicator'!$A$7:$AO$74,17,FALSE)</f>
        <v>0</v>
      </c>
      <c r="AG49" s="61">
        <f>VLOOKUP(Table13[[#This Row],[Donor Name]],'Weighted scores by indicator'!$A$7:$AO$74,18,FALSE)</f>
        <v>0</v>
      </c>
      <c r="AH49" s="61">
        <f>VLOOKUP(Table13[[#This Row],[Donor Name]],'Weighted scores by indicator'!$A$7:$AO$74,19,FALSE)</f>
        <v>0</v>
      </c>
      <c r="AI49" s="61">
        <f>VLOOKUP(Table13[[#This Row],[Donor Name]],'Weighted scores by indicator'!$A$7:$AO$74,20,FALSE)</f>
        <v>0</v>
      </c>
      <c r="AJ49" s="61">
        <f>VLOOKUP(Table13[[#This Row],[Donor Name]],'Weighted scores by indicator'!$A$7:$AO$74,21,FALSE)</f>
        <v>0</v>
      </c>
      <c r="AK49" s="61">
        <f>VLOOKUP(Table13[[#This Row],[Donor Name]],'Weighted scores by indicator'!$A$7:$AO$74,22,FALSE)</f>
        <v>0.309968999999999</v>
      </c>
      <c r="AL49" s="61">
        <f>VLOOKUP(Table13[[#This Row],[Donor Name]],'Weighted scores by indicator'!$A$7:$AO$74,23,FALSE)</f>
        <v>0</v>
      </c>
      <c r="AM49" s="61">
        <f>VLOOKUP(Table13[[#This Row],[Donor Name]],'Weighted scores by indicator'!$A$7:$AO$74,24,FALSE)</f>
        <v>0</v>
      </c>
      <c r="AN49" s="61">
        <f>VLOOKUP(Table13[[#This Row],[Donor Name]],'Weighted scores by indicator'!$A$7:$AO$74,25,FALSE)</f>
        <v>0</v>
      </c>
      <c r="AO49" s="61">
        <f>VLOOKUP(Table13[[#This Row],[Donor Name]],'Weighted scores by indicator'!$A$7:$AO$74,26,FALSE)</f>
        <v>0</v>
      </c>
      <c r="AP49" s="61">
        <f>VLOOKUP(Table13[[#This Row],[Donor Name]],'Weighted scores by indicator'!$A$7:$AO$74,27,FALSE)</f>
        <v>0.309968999999999</v>
      </c>
      <c r="AQ49" s="61">
        <f>VLOOKUP(Table13[[#This Row],[Donor Name]],'Weighted scores by indicator'!$A$7:$AO$74,28,FALSE)</f>
        <v>0</v>
      </c>
      <c r="AR49" s="61">
        <f>VLOOKUP(Table13[[#This Row],[Donor Name]],'Weighted scores by indicator'!$A$7:$AO$74,29,FALSE)</f>
        <v>0</v>
      </c>
      <c r="AS49" s="61">
        <f>VLOOKUP(Table13[[#This Row],[Donor Name]],'Weighted scores by indicator'!$A$7:$AO$74,30,FALSE)</f>
        <v>0</v>
      </c>
      <c r="AT49" s="61">
        <f>VLOOKUP(Table13[[#This Row],[Donor Name]],'Weighted scores by indicator'!$A$7:$AO$74,31,FALSE)</f>
        <v>0</v>
      </c>
      <c r="AU49" s="61">
        <f>VLOOKUP(Table13[[#This Row],[Donor Name]],'Weighted scores by indicator'!$A$7:$AO$74,32,FALSE)</f>
        <v>0</v>
      </c>
      <c r="AV49" s="61">
        <f>VLOOKUP(Table13[[#This Row],[Donor Name]],'Weighted scores by indicator'!$A$7:$AO$74,33,FALSE)</f>
        <v>0</v>
      </c>
      <c r="AW49" s="61">
        <f>VLOOKUP(Table13[[#This Row],[Donor Name]],'Weighted scores by indicator'!$A$7:$AO$74,34,FALSE)</f>
        <v>0</v>
      </c>
      <c r="AX49" s="61">
        <f>VLOOKUP(Table13[[#This Row],[Donor Name]],'Weighted scores by indicator'!$A$7:$AO$74,35,FALSE)</f>
        <v>0</v>
      </c>
      <c r="AY49" s="61">
        <f>VLOOKUP(Table13[[#This Row],[Donor Name]],'Weighted scores by indicator'!$A$7:$AO$74,36,FALSE)</f>
        <v>0</v>
      </c>
      <c r="AZ49" s="61">
        <f>VLOOKUP(Table13[[#This Row],[Donor Name]],'Weighted scores by indicator'!$A$7:$AO$74,37,FALSE)</f>
        <v>0</v>
      </c>
      <c r="BA49" s="61">
        <f>VLOOKUP(Table13[[#This Row],[Donor Name]],'Weighted scores by indicator'!$A$7:$AO$74,38,FALSE)</f>
        <v>0</v>
      </c>
      <c r="BB49" s="61">
        <f>VLOOKUP(Table13[[#This Row],[Donor Name]],'Weighted scores by indicator'!$A$7:$AO$74,39,FALSE)</f>
        <v>0</v>
      </c>
      <c r="BC49" s="111">
        <f>VLOOKUP(Table13[[#This Row],[Donor Name]],'Weighted scores by indicator'!$A$7:$AO$74,40,FALSE)</f>
        <v>0</v>
      </c>
      <c r="BD49" s="61">
        <f>COUNTIF(Table13[[#This Row],[FOIA]:[Conditions]],"0")</f>
        <v>33</v>
      </c>
      <c r="BE49" s="61">
        <f>COUNTIF(Table13[[#This Row],[FOIA]:[Conditions]],"&gt;0")</f>
        <v>6</v>
      </c>
      <c r="BG49">
        <f>39-SUM(Table13[[#This Row],[No of indicators not scoring on]:[No of indicators scoring on]])</f>
        <v>0</v>
      </c>
    </row>
    <row r="50" spans="1:59" x14ac:dyDescent="0.25">
      <c r="A50" s="113" t="s">
        <v>2014</v>
      </c>
      <c r="B50" s="114" t="s">
        <v>2013</v>
      </c>
      <c r="C50" s="158">
        <f>VLOOKUP(Table13[[#This Row],[Donor Name]],'Overall scores and ranking'!$A$3:$D$72,2,FALSE)</f>
        <v>6.5130569999999999</v>
      </c>
      <c r="D50" s="108">
        <f>VLOOKUP(Table13[[#This Row],[Donor Name]],'Overall scores and ranking'!$A$3:$D$72,3,FALSE)</f>
        <v>65</v>
      </c>
      <c r="E50" s="108">
        <f>RANK(Table13[[#This Row],[Overall Score]],Table13[Overall Score],0)</f>
        <v>47</v>
      </c>
      <c r="F50" s="62" t="str">
        <f>VLOOKUP(Table13[[#This Row],[Donor Name]],'Overall scores and ranking'!$A$3:$D$72,4,FALSE)</f>
        <v>Very Poor</v>
      </c>
      <c r="G50" s="110">
        <f>VLOOKUP(Table13[[#This Row],[Donor Name]],'Wtd - IATI vs Others'!$A$5:$D$72,2,FALSE)</f>
        <v>0</v>
      </c>
      <c r="H50" s="62">
        <f>VLOOKUP(Table13[[#This Row],[Donor Name]],'Wtd - IATI vs Others'!$A$5:$D$72,3,FALSE)</f>
        <v>6.5130569999999999</v>
      </c>
      <c r="I50" s="62">
        <f>VLOOKUP(Table13[[#This Row],[Donor Name]],'Wtd scores by sub-groups'!$A$5:$K$72,2,FALSE)</f>
        <v>2.2197779999999998</v>
      </c>
      <c r="J50" s="62">
        <f>VLOOKUP(Table13[[#This Row],[Donor Name]],'Wtd scores by sub-groups'!$A$5:$K$72,3,FALSE)</f>
        <v>3.75</v>
      </c>
      <c r="K50" s="62">
        <f>VLOOKUP(Table13[[#This Row],[Donor Name]],'Wtd scores by sub-groups'!$A$5:$K$72,4,FALSE)</f>
        <v>0</v>
      </c>
      <c r="L50" s="62">
        <f>VLOOKUP(Table13[[#This Row],[Donor Name]],'Wtd scores by sub-groups'!$A$5:$K$72,5,FALSE)</f>
        <v>0.54327899999999996</v>
      </c>
      <c r="M50" s="62">
        <f>VLOOKUP(Table13[[#This Row],[Donor Name]],'Wtd scores by sub-groups'!$A$5:$K$72,6,FALSE)</f>
        <v>0</v>
      </c>
      <c r="N50" s="62">
        <f>VLOOKUP(Table13[[#This Row],[Donor Name]],'Wtd scores by sub-groups'!$A$5:$K$72,7,FALSE)</f>
        <v>0</v>
      </c>
      <c r="O50" s="62">
        <f>VLOOKUP(Table13[[#This Row],[Donor Name]],'Wtd scores by sub-groups'!$A$5:$K$72,8,FALSE)</f>
        <v>0</v>
      </c>
      <c r="P50" s="62">
        <f>VLOOKUP(Table13[[#This Row],[Donor Name]],'Wtd scores by sub-groups'!$A$5:$K$72,9,FALSE)</f>
        <v>0</v>
      </c>
      <c r="Q50" s="62">
        <f>VLOOKUP(Table13[[#This Row],[Donor Name]],'Weighted scores by indicator'!$A$7:$AO$74,2,FALSE)</f>
        <v>2.2197779999999998</v>
      </c>
      <c r="R50" s="62">
        <f>VLOOKUP(Table13[[#This Row],[Donor Name]],'Weighted scores by indicator'!$A$7:$AO$74,3,FALSE)</f>
        <v>0</v>
      </c>
      <c r="S50" s="62">
        <f>VLOOKUP(Table13[[#This Row],[Donor Name]],'Weighted scores by indicator'!$A$7:$AO$74,4,FALSE)</f>
        <v>0</v>
      </c>
      <c r="T50" s="62">
        <f>VLOOKUP(Table13[[#This Row],[Donor Name]],'Weighted scores by indicator'!$A$7:$AO$74,5,FALSE)</f>
        <v>1.25</v>
      </c>
      <c r="U50" s="62">
        <f>VLOOKUP(Table13[[#This Row],[Donor Name]],'Weighted scores by indicator'!$A$7:$AO$74,6,FALSE)</f>
        <v>1.25</v>
      </c>
      <c r="V50" s="62">
        <f>VLOOKUP(Table13[[#This Row],[Donor Name]],'Weighted scores by indicator'!$A$7:$AO$74,7,FALSE)</f>
        <v>1.25</v>
      </c>
      <c r="W50" s="62">
        <f>VLOOKUP(Table13[[#This Row],[Donor Name]],'Weighted scores by indicator'!$A$7:$AO$74,8,FALSE)</f>
        <v>0</v>
      </c>
      <c r="X50" s="62">
        <f>VLOOKUP(Table13[[#This Row],[Donor Name]],'Weighted scores by indicator'!$A$7:$AO$74,9,FALSE)</f>
        <v>0</v>
      </c>
      <c r="Y50" s="62">
        <f>VLOOKUP(Table13[[#This Row],[Donor Name]],'Weighted scores by indicator'!$A$7:$AO$74,10,FALSE)</f>
        <v>0</v>
      </c>
      <c r="Z50" s="62">
        <f>VLOOKUP(Table13[[#This Row],[Donor Name]],'Weighted scores by indicator'!$A$7:$AO$74,11,FALSE)</f>
        <v>0</v>
      </c>
      <c r="AA50" s="62">
        <f>VLOOKUP(Table13[[#This Row],[Donor Name]],'Weighted scores by indicator'!$A$7:$AO$74,12,FALSE)</f>
        <v>0</v>
      </c>
      <c r="AB50" s="62">
        <f>VLOOKUP(Table13[[#This Row],[Donor Name]],'Weighted scores by indicator'!$A$7:$AO$74,13,FALSE)</f>
        <v>0</v>
      </c>
      <c r="AC50" s="62">
        <f>VLOOKUP(Table13[[#This Row],[Donor Name]],'Weighted scores by indicator'!$A$7:$AO$74,14,FALSE)</f>
        <v>0</v>
      </c>
      <c r="AD50" s="62">
        <f>VLOOKUP(Table13[[#This Row],[Donor Name]],'Weighted scores by indicator'!$A$7:$AO$74,15,FALSE)</f>
        <v>0</v>
      </c>
      <c r="AE50" s="62">
        <f>VLOOKUP(Table13[[#This Row],[Donor Name]],'Weighted scores by indicator'!$A$7:$AO$74,16,FALSE)</f>
        <v>0</v>
      </c>
      <c r="AF50" s="62">
        <f>VLOOKUP(Table13[[#This Row],[Donor Name]],'Weighted scores by indicator'!$A$7:$AO$74,17,FALSE)</f>
        <v>0</v>
      </c>
      <c r="AG50" s="62">
        <f>VLOOKUP(Table13[[#This Row],[Donor Name]],'Weighted scores by indicator'!$A$7:$AO$74,18,FALSE)</f>
        <v>0</v>
      </c>
      <c r="AH50" s="62">
        <f>VLOOKUP(Table13[[#This Row],[Donor Name]],'Weighted scores by indicator'!$A$7:$AO$74,19,FALSE)</f>
        <v>0</v>
      </c>
      <c r="AI50" s="62">
        <f>VLOOKUP(Table13[[#This Row],[Donor Name]],'Weighted scores by indicator'!$A$7:$AO$74,20,FALSE)</f>
        <v>0.54327899999999996</v>
      </c>
      <c r="AJ50" s="62">
        <f>VLOOKUP(Table13[[#This Row],[Donor Name]],'Weighted scores by indicator'!$A$7:$AO$74,21,FALSE)</f>
        <v>0</v>
      </c>
      <c r="AK50" s="62">
        <f>VLOOKUP(Table13[[#This Row],[Donor Name]],'Weighted scores by indicator'!$A$7:$AO$74,22,FALSE)</f>
        <v>0</v>
      </c>
      <c r="AL50" s="62">
        <f>VLOOKUP(Table13[[#This Row],[Donor Name]],'Weighted scores by indicator'!$A$7:$AO$74,23,FALSE)</f>
        <v>0</v>
      </c>
      <c r="AM50" s="62">
        <f>VLOOKUP(Table13[[#This Row],[Donor Name]],'Weighted scores by indicator'!$A$7:$AO$74,24,FALSE)</f>
        <v>0</v>
      </c>
      <c r="AN50" s="62">
        <f>VLOOKUP(Table13[[#This Row],[Donor Name]],'Weighted scores by indicator'!$A$7:$AO$74,25,FALSE)</f>
        <v>0</v>
      </c>
      <c r="AO50" s="62">
        <f>VLOOKUP(Table13[[#This Row],[Donor Name]],'Weighted scores by indicator'!$A$7:$AO$74,26,FALSE)</f>
        <v>0</v>
      </c>
      <c r="AP50" s="62">
        <f>VLOOKUP(Table13[[#This Row],[Donor Name]],'Weighted scores by indicator'!$A$7:$AO$74,27,FALSE)</f>
        <v>0</v>
      </c>
      <c r="AQ50" s="62">
        <f>VLOOKUP(Table13[[#This Row],[Donor Name]],'Weighted scores by indicator'!$A$7:$AO$74,28,FALSE)</f>
        <v>0</v>
      </c>
      <c r="AR50" s="62">
        <f>VLOOKUP(Table13[[#This Row],[Donor Name]],'Weighted scores by indicator'!$A$7:$AO$74,29,FALSE)</f>
        <v>0</v>
      </c>
      <c r="AS50" s="62">
        <f>VLOOKUP(Table13[[#This Row],[Donor Name]],'Weighted scores by indicator'!$A$7:$AO$74,30,FALSE)</f>
        <v>0</v>
      </c>
      <c r="AT50" s="62">
        <f>VLOOKUP(Table13[[#This Row],[Donor Name]],'Weighted scores by indicator'!$A$7:$AO$74,31,FALSE)</f>
        <v>0</v>
      </c>
      <c r="AU50" s="62">
        <f>VLOOKUP(Table13[[#This Row],[Donor Name]],'Weighted scores by indicator'!$A$7:$AO$74,32,FALSE)</f>
        <v>0</v>
      </c>
      <c r="AV50" s="62">
        <f>VLOOKUP(Table13[[#This Row],[Donor Name]],'Weighted scores by indicator'!$A$7:$AO$74,33,FALSE)</f>
        <v>0</v>
      </c>
      <c r="AW50" s="62">
        <f>VLOOKUP(Table13[[#This Row],[Donor Name]],'Weighted scores by indicator'!$A$7:$AO$74,34,FALSE)</f>
        <v>0</v>
      </c>
      <c r="AX50" s="62">
        <f>VLOOKUP(Table13[[#This Row],[Donor Name]],'Weighted scores by indicator'!$A$7:$AO$74,35,FALSE)</f>
        <v>0</v>
      </c>
      <c r="AY50" s="62">
        <f>VLOOKUP(Table13[[#This Row],[Donor Name]],'Weighted scores by indicator'!$A$7:$AO$74,36,FALSE)</f>
        <v>0</v>
      </c>
      <c r="AZ50" s="62">
        <f>VLOOKUP(Table13[[#This Row],[Donor Name]],'Weighted scores by indicator'!$A$7:$AO$74,37,FALSE)</f>
        <v>0</v>
      </c>
      <c r="BA50" s="62">
        <f>VLOOKUP(Table13[[#This Row],[Donor Name]],'Weighted scores by indicator'!$A$7:$AO$74,38,FALSE)</f>
        <v>0</v>
      </c>
      <c r="BB50" s="62">
        <f>VLOOKUP(Table13[[#This Row],[Donor Name]],'Weighted scores by indicator'!$A$7:$AO$74,39,FALSE)</f>
        <v>0</v>
      </c>
      <c r="BC50" s="112">
        <f>VLOOKUP(Table13[[#This Row],[Donor Name]],'Weighted scores by indicator'!$A$7:$AO$74,40,FALSE)</f>
        <v>0</v>
      </c>
      <c r="BD50" s="61">
        <f>COUNTIF(Table13[[#This Row],[FOIA]:[Conditions]],"0")</f>
        <v>34</v>
      </c>
      <c r="BE50" s="61">
        <f>COUNTIF(Table13[[#This Row],[FOIA]:[Conditions]],"&gt;0")</f>
        <v>5</v>
      </c>
      <c r="BG50">
        <f>39-SUM(Table13[[#This Row],[No of indicators not scoring on]:[No of indicators scoring on]])</f>
        <v>0</v>
      </c>
    </row>
    <row r="51" spans="1:59" x14ac:dyDescent="0.25">
      <c r="A51" s="104" t="s">
        <v>1973</v>
      </c>
      <c r="B51" s="102" t="s">
        <v>1972</v>
      </c>
      <c r="C51" s="157">
        <f>VLOOKUP(Table13[[#This Row],[Donor Name]],'Overall scores and ranking'!$A$3:$D$72,2,FALSE)</f>
        <v>5.909658999999988</v>
      </c>
      <c r="D51" s="107">
        <f>VLOOKUP(Table13[[#This Row],[Donor Name]],'Overall scores and ranking'!$A$3:$D$72,3,FALSE)</f>
        <v>66</v>
      </c>
      <c r="E51" s="155">
        <f>RANK(Table13[[#This Row],[Overall Score]],Table13[Overall Score],0)</f>
        <v>48</v>
      </c>
      <c r="F51" s="111" t="str">
        <f>VLOOKUP(Table13[[#This Row],[Donor Name]],'Overall scores and ranking'!$A$3:$D$72,4,FALSE)</f>
        <v>Very Poor</v>
      </c>
      <c r="G51" s="109">
        <f>VLOOKUP(Table13[[#This Row],[Donor Name]],'Wtd - IATI vs Others'!$A$5:$D$72,2,FALSE)</f>
        <v>0</v>
      </c>
      <c r="H51" s="127">
        <f>VLOOKUP(Table13[[#This Row],[Donor Name]],'Wtd - IATI vs Others'!$A$5:$D$72,3,FALSE)</f>
        <v>5.909658999999988</v>
      </c>
      <c r="I51" s="61">
        <f>VLOOKUP(Table13[[#This Row],[Donor Name]],'Wtd scores by sub-groups'!$A$5:$K$72,2,FALSE)</f>
        <v>0</v>
      </c>
      <c r="J51" s="61">
        <f>VLOOKUP(Table13[[#This Row],[Donor Name]],'Wtd scores by sub-groups'!$A$5:$K$72,3,FALSE)</f>
        <v>2.5</v>
      </c>
      <c r="K51" s="61">
        <f>VLOOKUP(Table13[[#This Row],[Donor Name]],'Wtd scores by sub-groups'!$A$5:$K$72,4,FALSE)</f>
        <v>0</v>
      </c>
      <c r="L51" s="61">
        <f>VLOOKUP(Table13[[#This Row],[Donor Name]],'Wtd scores by sub-groups'!$A$5:$K$72,5,FALSE)</f>
        <v>1.0865579999999999</v>
      </c>
      <c r="M51" s="61">
        <f>VLOOKUP(Table13[[#This Row],[Donor Name]],'Wtd scores by sub-groups'!$A$5:$K$72,6,FALSE)</f>
        <v>1.239875999999998</v>
      </c>
      <c r="N51" s="61">
        <f>VLOOKUP(Table13[[#This Row],[Donor Name]],'Wtd scores by sub-groups'!$A$5:$K$72,7,FALSE)</f>
        <v>0</v>
      </c>
      <c r="O51" s="61">
        <f>VLOOKUP(Table13[[#This Row],[Donor Name]],'Wtd scores by sub-groups'!$A$5:$K$72,8,FALSE)</f>
        <v>1.0832249999999899</v>
      </c>
      <c r="P51" s="61">
        <f>VLOOKUP(Table13[[#This Row],[Donor Name]],'Wtd scores by sub-groups'!$A$5:$K$72,9,FALSE)</f>
        <v>0</v>
      </c>
      <c r="Q51" s="61">
        <f>VLOOKUP(Table13[[#This Row],[Donor Name]],'Weighted scores by indicator'!$A$7:$AO$74,2,FALSE)</f>
        <v>0</v>
      </c>
      <c r="R51" s="61">
        <f>VLOOKUP(Table13[[#This Row],[Donor Name]],'Weighted scores by indicator'!$A$7:$AO$74,3,FALSE)</f>
        <v>0</v>
      </c>
      <c r="S51" s="61">
        <f>VLOOKUP(Table13[[#This Row],[Donor Name]],'Weighted scores by indicator'!$A$7:$AO$74,4,FALSE)</f>
        <v>0</v>
      </c>
      <c r="T51" s="61">
        <f>VLOOKUP(Table13[[#This Row],[Donor Name]],'Weighted scores by indicator'!$A$7:$AO$74,5,FALSE)</f>
        <v>1.25</v>
      </c>
      <c r="U51" s="61">
        <f>VLOOKUP(Table13[[#This Row],[Donor Name]],'Weighted scores by indicator'!$A$7:$AO$74,6,FALSE)</f>
        <v>0</v>
      </c>
      <c r="V51" s="61">
        <f>VLOOKUP(Table13[[#This Row],[Donor Name]],'Weighted scores by indicator'!$A$7:$AO$74,7,FALSE)</f>
        <v>1.25</v>
      </c>
      <c r="W51" s="61">
        <f>VLOOKUP(Table13[[#This Row],[Donor Name]],'Weighted scores by indicator'!$A$7:$AO$74,8,FALSE)</f>
        <v>0</v>
      </c>
      <c r="X51" s="61">
        <f>VLOOKUP(Table13[[#This Row],[Donor Name]],'Weighted scores by indicator'!$A$7:$AO$74,9,FALSE)</f>
        <v>0</v>
      </c>
      <c r="Y51" s="61">
        <f>VLOOKUP(Table13[[#This Row],[Donor Name]],'Weighted scores by indicator'!$A$7:$AO$74,10,FALSE)</f>
        <v>0</v>
      </c>
      <c r="Z51" s="61">
        <f>VLOOKUP(Table13[[#This Row],[Donor Name]],'Weighted scores by indicator'!$A$7:$AO$74,11,FALSE)</f>
        <v>0</v>
      </c>
      <c r="AA51" s="61">
        <f>VLOOKUP(Table13[[#This Row],[Donor Name]],'Weighted scores by indicator'!$A$7:$AO$74,12,FALSE)</f>
        <v>0</v>
      </c>
      <c r="AB51" s="61">
        <f>VLOOKUP(Table13[[#This Row],[Donor Name]],'Weighted scores by indicator'!$A$7:$AO$74,13,FALSE)</f>
        <v>0</v>
      </c>
      <c r="AC51" s="61">
        <f>VLOOKUP(Table13[[#This Row],[Donor Name]],'Weighted scores by indicator'!$A$7:$AO$74,14,FALSE)</f>
        <v>0</v>
      </c>
      <c r="AD51" s="61">
        <f>VLOOKUP(Table13[[#This Row],[Donor Name]],'Weighted scores by indicator'!$A$7:$AO$74,15,FALSE)</f>
        <v>0.54327899999999996</v>
      </c>
      <c r="AE51" s="61">
        <f>VLOOKUP(Table13[[#This Row],[Donor Name]],'Weighted scores by indicator'!$A$7:$AO$74,16,FALSE)</f>
        <v>0.54327899999999996</v>
      </c>
      <c r="AF51" s="61">
        <f>VLOOKUP(Table13[[#This Row],[Donor Name]],'Weighted scores by indicator'!$A$7:$AO$74,17,FALSE)</f>
        <v>0</v>
      </c>
      <c r="AG51" s="61">
        <f>VLOOKUP(Table13[[#This Row],[Donor Name]],'Weighted scores by indicator'!$A$7:$AO$74,18,FALSE)</f>
        <v>0</v>
      </c>
      <c r="AH51" s="61">
        <f>VLOOKUP(Table13[[#This Row],[Donor Name]],'Weighted scores by indicator'!$A$7:$AO$74,19,FALSE)</f>
        <v>0</v>
      </c>
      <c r="AI51" s="61">
        <f>VLOOKUP(Table13[[#This Row],[Donor Name]],'Weighted scores by indicator'!$A$7:$AO$74,20,FALSE)</f>
        <v>0</v>
      </c>
      <c r="AJ51" s="61">
        <f>VLOOKUP(Table13[[#This Row],[Donor Name]],'Weighted scores by indicator'!$A$7:$AO$74,21,FALSE)</f>
        <v>0.61993799999999899</v>
      </c>
      <c r="AK51" s="61">
        <f>VLOOKUP(Table13[[#This Row],[Donor Name]],'Weighted scores by indicator'!$A$7:$AO$74,22,FALSE)</f>
        <v>0.61993799999999899</v>
      </c>
      <c r="AL51" s="61">
        <f>VLOOKUP(Table13[[#This Row],[Donor Name]],'Weighted scores by indicator'!$A$7:$AO$74,23,FALSE)</f>
        <v>0</v>
      </c>
      <c r="AM51" s="61">
        <f>VLOOKUP(Table13[[#This Row],[Donor Name]],'Weighted scores by indicator'!$A$7:$AO$74,24,FALSE)</f>
        <v>0</v>
      </c>
      <c r="AN51" s="61">
        <f>VLOOKUP(Table13[[#This Row],[Donor Name]],'Weighted scores by indicator'!$A$7:$AO$74,25,FALSE)</f>
        <v>0</v>
      </c>
      <c r="AO51" s="61">
        <f>VLOOKUP(Table13[[#This Row],[Donor Name]],'Weighted scores by indicator'!$A$7:$AO$74,26,FALSE)</f>
        <v>0</v>
      </c>
      <c r="AP51" s="61">
        <f>VLOOKUP(Table13[[#This Row],[Donor Name]],'Weighted scores by indicator'!$A$7:$AO$74,27,FALSE)</f>
        <v>0</v>
      </c>
      <c r="AQ51" s="61">
        <f>VLOOKUP(Table13[[#This Row],[Donor Name]],'Weighted scores by indicator'!$A$7:$AO$74,28,FALSE)</f>
        <v>0</v>
      </c>
      <c r="AR51" s="61">
        <f>VLOOKUP(Table13[[#This Row],[Donor Name]],'Weighted scores by indicator'!$A$7:$AO$74,29,FALSE)</f>
        <v>0</v>
      </c>
      <c r="AS51" s="61">
        <f>VLOOKUP(Table13[[#This Row],[Donor Name]],'Weighted scores by indicator'!$A$7:$AO$74,30,FALSE)</f>
        <v>0</v>
      </c>
      <c r="AT51" s="61">
        <f>VLOOKUP(Table13[[#This Row],[Donor Name]],'Weighted scores by indicator'!$A$7:$AO$74,31,FALSE)</f>
        <v>0</v>
      </c>
      <c r="AU51" s="61">
        <f>VLOOKUP(Table13[[#This Row],[Donor Name]],'Weighted scores by indicator'!$A$7:$AO$74,32,FALSE)</f>
        <v>0</v>
      </c>
      <c r="AV51" s="61">
        <f>VLOOKUP(Table13[[#This Row],[Donor Name]],'Weighted scores by indicator'!$A$7:$AO$74,33,FALSE)</f>
        <v>0</v>
      </c>
      <c r="AW51" s="61">
        <f>VLOOKUP(Table13[[#This Row],[Donor Name]],'Weighted scores by indicator'!$A$7:$AO$74,34,FALSE)</f>
        <v>0</v>
      </c>
      <c r="AX51" s="61">
        <f>VLOOKUP(Table13[[#This Row],[Donor Name]],'Weighted scores by indicator'!$A$7:$AO$74,35,FALSE)</f>
        <v>1.0832249999999899</v>
      </c>
      <c r="AY51" s="61">
        <f>VLOOKUP(Table13[[#This Row],[Donor Name]],'Weighted scores by indicator'!$A$7:$AO$74,36,FALSE)</f>
        <v>0</v>
      </c>
      <c r="AZ51" s="61">
        <f>VLOOKUP(Table13[[#This Row],[Donor Name]],'Weighted scores by indicator'!$A$7:$AO$74,37,FALSE)</f>
        <v>0</v>
      </c>
      <c r="BA51" s="61">
        <f>VLOOKUP(Table13[[#This Row],[Donor Name]],'Weighted scores by indicator'!$A$7:$AO$74,38,FALSE)</f>
        <v>0</v>
      </c>
      <c r="BB51" s="61">
        <f>VLOOKUP(Table13[[#This Row],[Donor Name]],'Weighted scores by indicator'!$A$7:$AO$74,39,FALSE)</f>
        <v>0</v>
      </c>
      <c r="BC51" s="111">
        <f>VLOOKUP(Table13[[#This Row],[Donor Name]],'Weighted scores by indicator'!$A$7:$AO$74,40,FALSE)</f>
        <v>0</v>
      </c>
      <c r="BD51" s="61">
        <f>COUNTIF(Table13[[#This Row],[FOIA]:[Conditions]],"0")</f>
        <v>32</v>
      </c>
      <c r="BE51" s="61">
        <f>COUNTIF(Table13[[#This Row],[FOIA]:[Conditions]],"&gt;0")</f>
        <v>7</v>
      </c>
      <c r="BG51">
        <f>39-SUM(Table13[[#This Row],[No of indicators not scoring on]:[No of indicators scoring on]])</f>
        <v>0</v>
      </c>
    </row>
    <row r="52" spans="1:59" x14ac:dyDescent="0.25">
      <c r="A52" s="113" t="s">
        <v>418</v>
      </c>
      <c r="B52" s="114" t="s">
        <v>417</v>
      </c>
      <c r="C52" s="158">
        <f>VLOOKUP(Table13[[#This Row],[Donor Name]],'Overall scores and ranking'!$A$3:$D$72,2,FALSE)</f>
        <v>4.7197779999999998</v>
      </c>
      <c r="D52" s="108">
        <f>VLOOKUP(Table13[[#This Row],[Donor Name]],'Overall scores and ranking'!$A$3:$D$72,3,FALSE)</f>
        <v>67</v>
      </c>
      <c r="E52" s="156">
        <f>RANK(Table13[[#This Row],[Overall Score]],Table13[Overall Score],0)</f>
        <v>49</v>
      </c>
      <c r="F52" s="112" t="str">
        <f>VLOOKUP(Table13[[#This Row],[Donor Name]],'Overall scores and ranking'!$A$3:$D$72,4,FALSE)</f>
        <v>Very Poor</v>
      </c>
      <c r="G52" s="110">
        <f>VLOOKUP(Table13[[#This Row],[Donor Name]],'Wtd - IATI vs Others'!$A$5:$D$72,2,FALSE)</f>
        <v>0</v>
      </c>
      <c r="H52" s="62">
        <f>VLOOKUP(Table13[[#This Row],[Donor Name]],'Wtd - IATI vs Others'!$A$5:$D$72,3,FALSE)</f>
        <v>4.7197779999999998</v>
      </c>
      <c r="I52" s="62">
        <f>VLOOKUP(Table13[[#This Row],[Donor Name]],'Wtd scores by sub-groups'!$A$5:$K$72,2,FALSE)</f>
        <v>2.2197779999999998</v>
      </c>
      <c r="J52" s="62">
        <f>VLOOKUP(Table13[[#This Row],[Donor Name]],'Wtd scores by sub-groups'!$A$5:$K$72,3,FALSE)</f>
        <v>2.5</v>
      </c>
      <c r="K52" s="62">
        <f>VLOOKUP(Table13[[#This Row],[Donor Name]],'Wtd scores by sub-groups'!$A$5:$K$72,4,FALSE)</f>
        <v>0</v>
      </c>
      <c r="L52" s="62">
        <f>VLOOKUP(Table13[[#This Row],[Donor Name]],'Wtd scores by sub-groups'!$A$5:$K$72,5,FALSE)</f>
        <v>0</v>
      </c>
      <c r="M52" s="62">
        <f>VLOOKUP(Table13[[#This Row],[Donor Name]],'Wtd scores by sub-groups'!$A$5:$K$72,6,FALSE)</f>
        <v>0</v>
      </c>
      <c r="N52" s="62">
        <f>VLOOKUP(Table13[[#This Row],[Donor Name]],'Wtd scores by sub-groups'!$A$5:$K$72,7,FALSE)</f>
        <v>0</v>
      </c>
      <c r="O52" s="62">
        <f>VLOOKUP(Table13[[#This Row],[Donor Name]],'Wtd scores by sub-groups'!$A$5:$K$72,8,FALSE)</f>
        <v>0</v>
      </c>
      <c r="P52" s="62">
        <f>VLOOKUP(Table13[[#This Row],[Donor Name]],'Wtd scores by sub-groups'!$A$5:$K$72,9,FALSE)</f>
        <v>0</v>
      </c>
      <c r="Q52" s="62">
        <f>VLOOKUP(Table13[[#This Row],[Donor Name]],'Weighted scores by indicator'!$A$7:$AO$74,2,FALSE)</f>
        <v>2.2197779999999998</v>
      </c>
      <c r="R52" s="62">
        <f>VLOOKUP(Table13[[#This Row],[Donor Name]],'Weighted scores by indicator'!$A$7:$AO$74,3,FALSE)</f>
        <v>0</v>
      </c>
      <c r="S52" s="62">
        <f>VLOOKUP(Table13[[#This Row],[Donor Name]],'Weighted scores by indicator'!$A$7:$AO$74,4,FALSE)</f>
        <v>0</v>
      </c>
      <c r="T52" s="62">
        <f>VLOOKUP(Table13[[#This Row],[Donor Name]],'Weighted scores by indicator'!$A$7:$AO$74,5,FALSE)</f>
        <v>0</v>
      </c>
      <c r="U52" s="62">
        <f>VLOOKUP(Table13[[#This Row],[Donor Name]],'Weighted scores by indicator'!$A$7:$AO$74,6,FALSE)</f>
        <v>1.25</v>
      </c>
      <c r="V52" s="62">
        <f>VLOOKUP(Table13[[#This Row],[Donor Name]],'Weighted scores by indicator'!$A$7:$AO$74,7,FALSE)</f>
        <v>1.25</v>
      </c>
      <c r="W52" s="62">
        <f>VLOOKUP(Table13[[#This Row],[Donor Name]],'Weighted scores by indicator'!$A$7:$AO$74,8,FALSE)</f>
        <v>0</v>
      </c>
      <c r="X52" s="62">
        <f>VLOOKUP(Table13[[#This Row],[Donor Name]],'Weighted scores by indicator'!$A$7:$AO$74,9,FALSE)</f>
        <v>0</v>
      </c>
      <c r="Y52" s="62">
        <f>VLOOKUP(Table13[[#This Row],[Donor Name]],'Weighted scores by indicator'!$A$7:$AO$74,10,FALSE)</f>
        <v>0</v>
      </c>
      <c r="Z52" s="62">
        <f>VLOOKUP(Table13[[#This Row],[Donor Name]],'Weighted scores by indicator'!$A$7:$AO$74,11,FALSE)</f>
        <v>0</v>
      </c>
      <c r="AA52" s="62">
        <f>VLOOKUP(Table13[[#This Row],[Donor Name]],'Weighted scores by indicator'!$A$7:$AO$74,12,FALSE)</f>
        <v>0</v>
      </c>
      <c r="AB52" s="62">
        <f>VLOOKUP(Table13[[#This Row],[Donor Name]],'Weighted scores by indicator'!$A$7:$AO$74,13,FALSE)</f>
        <v>0</v>
      </c>
      <c r="AC52" s="62">
        <f>VLOOKUP(Table13[[#This Row],[Donor Name]],'Weighted scores by indicator'!$A$7:$AO$74,14,FALSE)</f>
        <v>0</v>
      </c>
      <c r="AD52" s="62">
        <f>VLOOKUP(Table13[[#This Row],[Donor Name]],'Weighted scores by indicator'!$A$7:$AO$74,15,FALSE)</f>
        <v>0</v>
      </c>
      <c r="AE52" s="62">
        <f>VLOOKUP(Table13[[#This Row],[Donor Name]],'Weighted scores by indicator'!$A$7:$AO$74,16,FALSE)</f>
        <v>0</v>
      </c>
      <c r="AF52" s="62">
        <f>VLOOKUP(Table13[[#This Row],[Donor Name]],'Weighted scores by indicator'!$A$7:$AO$74,17,FALSE)</f>
        <v>0</v>
      </c>
      <c r="AG52" s="62">
        <f>VLOOKUP(Table13[[#This Row],[Donor Name]],'Weighted scores by indicator'!$A$7:$AO$74,18,FALSE)</f>
        <v>0</v>
      </c>
      <c r="AH52" s="62">
        <f>VLOOKUP(Table13[[#This Row],[Donor Name]],'Weighted scores by indicator'!$A$7:$AO$74,19,FALSE)</f>
        <v>0</v>
      </c>
      <c r="AI52" s="62">
        <f>VLOOKUP(Table13[[#This Row],[Donor Name]],'Weighted scores by indicator'!$A$7:$AO$74,20,FALSE)</f>
        <v>0</v>
      </c>
      <c r="AJ52" s="62">
        <f>VLOOKUP(Table13[[#This Row],[Donor Name]],'Weighted scores by indicator'!$A$7:$AO$74,21,FALSE)</f>
        <v>0</v>
      </c>
      <c r="AK52" s="62">
        <f>VLOOKUP(Table13[[#This Row],[Donor Name]],'Weighted scores by indicator'!$A$7:$AO$74,22,FALSE)</f>
        <v>0</v>
      </c>
      <c r="AL52" s="62">
        <f>VLOOKUP(Table13[[#This Row],[Donor Name]],'Weighted scores by indicator'!$A$7:$AO$74,23,FALSE)</f>
        <v>0</v>
      </c>
      <c r="AM52" s="62">
        <f>VLOOKUP(Table13[[#This Row],[Donor Name]],'Weighted scores by indicator'!$A$7:$AO$74,24,FALSE)</f>
        <v>0</v>
      </c>
      <c r="AN52" s="62">
        <f>VLOOKUP(Table13[[#This Row],[Donor Name]],'Weighted scores by indicator'!$A$7:$AO$74,25,FALSE)</f>
        <v>0</v>
      </c>
      <c r="AO52" s="62">
        <f>VLOOKUP(Table13[[#This Row],[Donor Name]],'Weighted scores by indicator'!$A$7:$AO$74,26,FALSE)</f>
        <v>0</v>
      </c>
      <c r="AP52" s="62">
        <f>VLOOKUP(Table13[[#This Row],[Donor Name]],'Weighted scores by indicator'!$A$7:$AO$74,27,FALSE)</f>
        <v>0</v>
      </c>
      <c r="AQ52" s="62">
        <f>VLOOKUP(Table13[[#This Row],[Donor Name]],'Weighted scores by indicator'!$A$7:$AO$74,28,FALSE)</f>
        <v>0</v>
      </c>
      <c r="AR52" s="62">
        <f>VLOOKUP(Table13[[#This Row],[Donor Name]],'Weighted scores by indicator'!$A$7:$AO$74,29,FALSE)</f>
        <v>0</v>
      </c>
      <c r="AS52" s="62">
        <f>VLOOKUP(Table13[[#This Row],[Donor Name]],'Weighted scores by indicator'!$A$7:$AO$74,30,FALSE)</f>
        <v>0</v>
      </c>
      <c r="AT52" s="62">
        <f>VLOOKUP(Table13[[#This Row],[Donor Name]],'Weighted scores by indicator'!$A$7:$AO$74,31,FALSE)</f>
        <v>0</v>
      </c>
      <c r="AU52" s="62">
        <f>VLOOKUP(Table13[[#This Row],[Donor Name]],'Weighted scores by indicator'!$A$7:$AO$74,32,FALSE)</f>
        <v>0</v>
      </c>
      <c r="AV52" s="62">
        <f>VLOOKUP(Table13[[#This Row],[Donor Name]],'Weighted scores by indicator'!$A$7:$AO$74,33,FALSE)</f>
        <v>0</v>
      </c>
      <c r="AW52" s="62">
        <f>VLOOKUP(Table13[[#This Row],[Donor Name]],'Weighted scores by indicator'!$A$7:$AO$74,34,FALSE)</f>
        <v>0</v>
      </c>
      <c r="AX52" s="62">
        <f>VLOOKUP(Table13[[#This Row],[Donor Name]],'Weighted scores by indicator'!$A$7:$AO$74,35,FALSE)</f>
        <v>0</v>
      </c>
      <c r="AY52" s="62">
        <f>VLOOKUP(Table13[[#This Row],[Donor Name]],'Weighted scores by indicator'!$A$7:$AO$74,36,FALSE)</f>
        <v>0</v>
      </c>
      <c r="AZ52" s="62">
        <f>VLOOKUP(Table13[[#This Row],[Donor Name]],'Weighted scores by indicator'!$A$7:$AO$74,37,FALSE)</f>
        <v>0</v>
      </c>
      <c r="BA52" s="62">
        <f>VLOOKUP(Table13[[#This Row],[Donor Name]],'Weighted scores by indicator'!$A$7:$AO$74,38,FALSE)</f>
        <v>0</v>
      </c>
      <c r="BB52" s="62">
        <f>VLOOKUP(Table13[[#This Row],[Donor Name]],'Weighted scores by indicator'!$A$7:$AO$74,39,FALSE)</f>
        <v>0</v>
      </c>
      <c r="BC52" s="112">
        <f>VLOOKUP(Table13[[#This Row],[Donor Name]],'Weighted scores by indicator'!$A$7:$AO$74,40,FALSE)</f>
        <v>0</v>
      </c>
      <c r="BD52" s="61">
        <f>COUNTIF(Table13[[#This Row],[FOIA]:[Conditions]],"0")</f>
        <v>36</v>
      </c>
      <c r="BE52" s="61">
        <f>COUNTIF(Table13[[#This Row],[FOIA]:[Conditions]],"&gt;0")</f>
        <v>3</v>
      </c>
      <c r="BG52">
        <f>39-SUM(Table13[[#This Row],[No of indicators not scoring on]:[No of indicators scoring on]])</f>
        <v>0</v>
      </c>
    </row>
    <row r="53" spans="1:59" x14ac:dyDescent="0.25">
      <c r="A53" s="113" t="s">
        <v>2870</v>
      </c>
      <c r="B53" s="114" t="s">
        <v>2869</v>
      </c>
      <c r="C53" s="158">
        <f>VLOOKUP(Table13[[#This Row],[Donor Name]],'Overall scores and ranking'!$A$3:$D$72,2,FALSE)</f>
        <v>2.2197779999999998</v>
      </c>
      <c r="D53" s="108">
        <f>VLOOKUP(Table13[[#This Row],[Donor Name]],'Overall scores and ranking'!$A$3:$D$72,3,FALSE)</f>
        <v>68</v>
      </c>
      <c r="E53" s="156">
        <f>RANK(Table13[[#This Row],[Overall Score]],Table13[Overall Score],0)</f>
        <v>50</v>
      </c>
      <c r="F53" s="112" t="str">
        <f>VLOOKUP(Table13[[#This Row],[Donor Name]],'Overall scores and ranking'!$A$3:$D$72,4,FALSE)</f>
        <v>Very Poor</v>
      </c>
      <c r="G53" s="110">
        <f>VLOOKUP(Table13[[#This Row],[Donor Name]],'Wtd - IATI vs Others'!$A$5:$D$72,2,FALSE)</f>
        <v>0</v>
      </c>
      <c r="H53" s="62">
        <f>VLOOKUP(Table13[[#This Row],[Donor Name]],'Wtd - IATI vs Others'!$A$5:$D$72,3,FALSE)</f>
        <v>2.2197779999999998</v>
      </c>
      <c r="I53" s="62">
        <f>VLOOKUP(Table13[[#This Row],[Donor Name]],'Wtd scores by sub-groups'!$A$5:$K$72,2,FALSE)</f>
        <v>2.2197779999999998</v>
      </c>
      <c r="J53" s="62">
        <f>VLOOKUP(Table13[[#This Row],[Donor Name]],'Wtd scores by sub-groups'!$A$5:$K$72,3,FALSE)</f>
        <v>0</v>
      </c>
      <c r="K53" s="62">
        <f>VLOOKUP(Table13[[#This Row],[Donor Name]],'Wtd scores by sub-groups'!$A$5:$K$72,4,FALSE)</f>
        <v>0</v>
      </c>
      <c r="L53" s="62">
        <f>VLOOKUP(Table13[[#This Row],[Donor Name]],'Wtd scores by sub-groups'!$A$5:$K$72,5,FALSE)</f>
        <v>0</v>
      </c>
      <c r="M53" s="62">
        <f>VLOOKUP(Table13[[#This Row],[Donor Name]],'Wtd scores by sub-groups'!$A$5:$K$72,6,FALSE)</f>
        <v>0</v>
      </c>
      <c r="N53" s="62">
        <f>VLOOKUP(Table13[[#This Row],[Donor Name]],'Wtd scores by sub-groups'!$A$5:$K$72,7,FALSE)</f>
        <v>0</v>
      </c>
      <c r="O53" s="62">
        <f>VLOOKUP(Table13[[#This Row],[Donor Name]],'Wtd scores by sub-groups'!$A$5:$K$72,8,FALSE)</f>
        <v>0</v>
      </c>
      <c r="P53" s="62">
        <f>VLOOKUP(Table13[[#This Row],[Donor Name]],'Wtd scores by sub-groups'!$A$5:$K$72,9,FALSE)</f>
        <v>0</v>
      </c>
      <c r="Q53" s="62">
        <f>VLOOKUP(Table13[[#This Row],[Donor Name]],'Weighted scores by indicator'!$A$7:$AO$74,2,FALSE)</f>
        <v>2.2197779999999998</v>
      </c>
      <c r="R53" s="62">
        <f>VLOOKUP(Table13[[#This Row],[Donor Name]],'Weighted scores by indicator'!$A$7:$AO$74,3,FALSE)</f>
        <v>0</v>
      </c>
      <c r="S53" s="62">
        <f>VLOOKUP(Table13[[#This Row],[Donor Name]],'Weighted scores by indicator'!$A$7:$AO$74,4,FALSE)</f>
        <v>0</v>
      </c>
      <c r="T53" s="62">
        <f>VLOOKUP(Table13[[#This Row],[Donor Name]],'Weighted scores by indicator'!$A$7:$AO$74,5,FALSE)</f>
        <v>0</v>
      </c>
      <c r="U53" s="62">
        <f>VLOOKUP(Table13[[#This Row],[Donor Name]],'Weighted scores by indicator'!$A$7:$AO$74,6,FALSE)</f>
        <v>0</v>
      </c>
      <c r="V53" s="62">
        <f>VLOOKUP(Table13[[#This Row],[Donor Name]],'Weighted scores by indicator'!$A$7:$AO$74,7,FALSE)</f>
        <v>0</v>
      </c>
      <c r="W53" s="62">
        <f>VLOOKUP(Table13[[#This Row],[Donor Name]],'Weighted scores by indicator'!$A$7:$AO$74,8,FALSE)</f>
        <v>0</v>
      </c>
      <c r="X53" s="62">
        <f>VLOOKUP(Table13[[#This Row],[Donor Name]],'Weighted scores by indicator'!$A$7:$AO$74,9,FALSE)</f>
        <v>0</v>
      </c>
      <c r="Y53" s="62">
        <f>VLOOKUP(Table13[[#This Row],[Donor Name]],'Weighted scores by indicator'!$A$7:$AO$74,10,FALSE)</f>
        <v>0</v>
      </c>
      <c r="Z53" s="62">
        <f>VLOOKUP(Table13[[#This Row],[Donor Name]],'Weighted scores by indicator'!$A$7:$AO$74,11,FALSE)</f>
        <v>0</v>
      </c>
      <c r="AA53" s="62">
        <f>VLOOKUP(Table13[[#This Row],[Donor Name]],'Weighted scores by indicator'!$A$7:$AO$74,12,FALSE)</f>
        <v>0</v>
      </c>
      <c r="AB53" s="62">
        <f>VLOOKUP(Table13[[#This Row],[Donor Name]],'Weighted scores by indicator'!$A$7:$AO$74,13,FALSE)</f>
        <v>0</v>
      </c>
      <c r="AC53" s="62">
        <f>VLOOKUP(Table13[[#This Row],[Donor Name]],'Weighted scores by indicator'!$A$7:$AO$74,14,FALSE)</f>
        <v>0</v>
      </c>
      <c r="AD53" s="62">
        <f>VLOOKUP(Table13[[#This Row],[Donor Name]],'Weighted scores by indicator'!$A$7:$AO$74,15,FALSE)</f>
        <v>0</v>
      </c>
      <c r="AE53" s="62">
        <f>VLOOKUP(Table13[[#This Row],[Donor Name]],'Weighted scores by indicator'!$A$7:$AO$74,16,FALSE)</f>
        <v>0</v>
      </c>
      <c r="AF53" s="62">
        <f>VLOOKUP(Table13[[#This Row],[Donor Name]],'Weighted scores by indicator'!$A$7:$AO$74,17,FALSE)</f>
        <v>0</v>
      </c>
      <c r="AG53" s="62">
        <f>VLOOKUP(Table13[[#This Row],[Donor Name]],'Weighted scores by indicator'!$A$7:$AO$74,18,FALSE)</f>
        <v>0</v>
      </c>
      <c r="AH53" s="62">
        <f>VLOOKUP(Table13[[#This Row],[Donor Name]],'Weighted scores by indicator'!$A$7:$AO$74,19,FALSE)</f>
        <v>0</v>
      </c>
      <c r="AI53" s="62">
        <f>VLOOKUP(Table13[[#This Row],[Donor Name]],'Weighted scores by indicator'!$A$7:$AO$74,20,FALSE)</f>
        <v>0</v>
      </c>
      <c r="AJ53" s="62">
        <f>VLOOKUP(Table13[[#This Row],[Donor Name]],'Weighted scores by indicator'!$A$7:$AO$74,21,FALSE)</f>
        <v>0</v>
      </c>
      <c r="AK53" s="62">
        <f>VLOOKUP(Table13[[#This Row],[Donor Name]],'Weighted scores by indicator'!$A$7:$AO$74,22,FALSE)</f>
        <v>0</v>
      </c>
      <c r="AL53" s="62">
        <f>VLOOKUP(Table13[[#This Row],[Donor Name]],'Weighted scores by indicator'!$A$7:$AO$74,23,FALSE)</f>
        <v>0</v>
      </c>
      <c r="AM53" s="62">
        <f>VLOOKUP(Table13[[#This Row],[Donor Name]],'Weighted scores by indicator'!$A$7:$AO$74,24,FALSE)</f>
        <v>0</v>
      </c>
      <c r="AN53" s="62">
        <f>VLOOKUP(Table13[[#This Row],[Donor Name]],'Weighted scores by indicator'!$A$7:$AO$74,25,FALSE)</f>
        <v>0</v>
      </c>
      <c r="AO53" s="62">
        <f>VLOOKUP(Table13[[#This Row],[Donor Name]],'Weighted scores by indicator'!$A$7:$AO$74,26,FALSE)</f>
        <v>0</v>
      </c>
      <c r="AP53" s="62">
        <f>VLOOKUP(Table13[[#This Row],[Donor Name]],'Weighted scores by indicator'!$A$7:$AO$74,27,FALSE)</f>
        <v>0</v>
      </c>
      <c r="AQ53" s="62">
        <f>VLOOKUP(Table13[[#This Row],[Donor Name]],'Weighted scores by indicator'!$A$7:$AO$74,28,FALSE)</f>
        <v>0</v>
      </c>
      <c r="AR53" s="62">
        <f>VLOOKUP(Table13[[#This Row],[Donor Name]],'Weighted scores by indicator'!$A$7:$AO$74,29,FALSE)</f>
        <v>0</v>
      </c>
      <c r="AS53" s="62">
        <f>VLOOKUP(Table13[[#This Row],[Donor Name]],'Weighted scores by indicator'!$A$7:$AO$74,30,FALSE)</f>
        <v>0</v>
      </c>
      <c r="AT53" s="62">
        <f>VLOOKUP(Table13[[#This Row],[Donor Name]],'Weighted scores by indicator'!$A$7:$AO$74,31,FALSE)</f>
        <v>0</v>
      </c>
      <c r="AU53" s="62">
        <f>VLOOKUP(Table13[[#This Row],[Donor Name]],'Weighted scores by indicator'!$A$7:$AO$74,32,FALSE)</f>
        <v>0</v>
      </c>
      <c r="AV53" s="62">
        <f>VLOOKUP(Table13[[#This Row],[Donor Name]],'Weighted scores by indicator'!$A$7:$AO$74,33,FALSE)</f>
        <v>0</v>
      </c>
      <c r="AW53" s="62">
        <f>VLOOKUP(Table13[[#This Row],[Donor Name]],'Weighted scores by indicator'!$A$7:$AO$74,34,FALSE)</f>
        <v>0</v>
      </c>
      <c r="AX53" s="62">
        <f>VLOOKUP(Table13[[#This Row],[Donor Name]],'Weighted scores by indicator'!$A$7:$AO$74,35,FALSE)</f>
        <v>0</v>
      </c>
      <c r="AY53" s="62">
        <f>VLOOKUP(Table13[[#This Row],[Donor Name]],'Weighted scores by indicator'!$A$7:$AO$74,36,FALSE)</f>
        <v>0</v>
      </c>
      <c r="AZ53" s="62">
        <f>VLOOKUP(Table13[[#This Row],[Donor Name]],'Weighted scores by indicator'!$A$7:$AO$74,37,FALSE)</f>
        <v>0</v>
      </c>
      <c r="BA53" s="62">
        <f>VLOOKUP(Table13[[#This Row],[Donor Name]],'Weighted scores by indicator'!$A$7:$AO$74,38,FALSE)</f>
        <v>0</v>
      </c>
      <c r="BB53" s="62">
        <f>VLOOKUP(Table13[[#This Row],[Donor Name]],'Weighted scores by indicator'!$A$7:$AO$74,39,FALSE)</f>
        <v>0</v>
      </c>
      <c r="BC53" s="112">
        <f>VLOOKUP(Table13[[#This Row],[Donor Name]],'Weighted scores by indicator'!$A$7:$AO$74,40,FALSE)</f>
        <v>0</v>
      </c>
      <c r="BD53" s="62">
        <f>COUNTIF(Table13[[#This Row],[FOIA]:[Conditions]],"0")</f>
        <v>38</v>
      </c>
      <c r="BE53" s="62">
        <f>COUNTIF(Table13[[#This Row],[FOIA]:[Conditions]],"&gt;0")</f>
        <v>1</v>
      </c>
      <c r="BG53">
        <f>39-SUM(Table13[[#This Row],[No of indicators not scoring on]:[No of indicators scoring on]])</f>
        <v>0</v>
      </c>
    </row>
    <row r="54" spans="1:59" x14ac:dyDescent="0.25">
      <c r="A54" s="129"/>
      <c r="B54" s="131" t="s">
        <v>3133</v>
      </c>
      <c r="C54" s="93">
        <f>SUBTOTAL(1,C4:C53)</f>
        <v>31.180661990633993</v>
      </c>
      <c r="D54" s="134"/>
      <c r="E54" s="134"/>
      <c r="F54" s="93"/>
      <c r="G54" s="93">
        <f>SUBTOTAL(1,G4:G53)</f>
        <v>15.849945030634013</v>
      </c>
      <c r="H54" s="93">
        <f>SUBTOTAL(1,H4:H53)</f>
        <v>15.33071696</v>
      </c>
      <c r="I54" s="61"/>
      <c r="J54" s="61"/>
      <c r="K54" s="61"/>
      <c r="L54" s="61"/>
      <c r="M54" s="61"/>
      <c r="N54" s="61"/>
      <c r="O54" s="61"/>
      <c r="P54" s="61"/>
      <c r="Q54" s="61"/>
      <c r="R54" s="61"/>
      <c r="S54" s="61"/>
      <c r="T54" s="61"/>
      <c r="U54" s="61"/>
      <c r="V54" s="61"/>
      <c r="W54" s="61"/>
      <c r="X54" s="61"/>
      <c r="Y54" s="61"/>
      <c r="Z54" s="61"/>
      <c r="AA54" s="61"/>
      <c r="AB54" s="61"/>
      <c r="AC54" s="61"/>
      <c r="AD54" s="61"/>
      <c r="AE54" s="61"/>
      <c r="AF54" s="61"/>
      <c r="AG54" s="61"/>
      <c r="AH54" s="61"/>
      <c r="AI54" s="61"/>
      <c r="AJ54" s="61"/>
      <c r="AK54" s="61"/>
      <c r="AL54" s="61"/>
      <c r="AM54" s="61"/>
      <c r="AN54" s="61"/>
      <c r="AO54" s="61"/>
      <c r="AP54" s="61"/>
      <c r="AQ54" s="61"/>
      <c r="AR54" s="61"/>
      <c r="AS54" s="61"/>
      <c r="AT54" s="61"/>
      <c r="AU54" s="61"/>
      <c r="AV54" s="61"/>
      <c r="AW54" s="61"/>
      <c r="AX54" s="61"/>
      <c r="AY54" s="61"/>
      <c r="AZ54" s="61"/>
      <c r="BA54" s="61"/>
      <c r="BB54" s="61"/>
      <c r="BC54" s="111"/>
    </row>
    <row r="55" spans="1:59" x14ac:dyDescent="0.25">
      <c r="A55" s="128"/>
      <c r="B55" s="130" t="s">
        <v>3134</v>
      </c>
      <c r="C55" s="132">
        <f>'Overall scores and ranking'!B72</f>
        <v>38.92704969107966</v>
      </c>
      <c r="D55" s="133"/>
      <c r="E55" s="133"/>
      <c r="F55" s="132"/>
      <c r="G55" s="135">
        <f>'Wtd - IATI vs Others'!B73</f>
        <v>23.593612661667898</v>
      </c>
      <c r="H55" s="135">
        <f>'Wtd - IATI vs Others'!C73</f>
        <v>15.333437029411762</v>
      </c>
      <c r="I55" s="61"/>
      <c r="J55" s="61"/>
      <c r="K55" s="61"/>
      <c r="L55" s="61"/>
      <c r="M55" s="61"/>
      <c r="N55" s="61"/>
      <c r="O55" s="61"/>
      <c r="P55" s="61"/>
      <c r="Q55" s="61"/>
      <c r="R55" s="61"/>
      <c r="S55" s="61"/>
      <c r="T55" s="61"/>
      <c r="U55" s="61"/>
      <c r="V55" s="61"/>
      <c r="W55" s="61"/>
      <c r="X55" s="61"/>
      <c r="Y55" s="61"/>
      <c r="Z55" s="61"/>
      <c r="AA55" s="61"/>
      <c r="AB55" s="61"/>
      <c r="AC55" s="61"/>
      <c r="AD55" s="61"/>
      <c r="AE55" s="61"/>
      <c r="AF55" s="61"/>
      <c r="AG55" s="61"/>
      <c r="AH55" s="61"/>
      <c r="AI55" s="61"/>
      <c r="AJ55" s="61"/>
      <c r="AK55" s="61"/>
      <c r="AL55" s="61"/>
      <c r="AM55" s="61"/>
      <c r="AN55" s="61"/>
      <c r="AO55" s="61"/>
      <c r="AP55" s="61"/>
      <c r="AQ55" s="61"/>
      <c r="AR55" s="61"/>
      <c r="AS55" s="61"/>
      <c r="AT55" s="61"/>
      <c r="AU55" s="61"/>
      <c r="AV55" s="61"/>
      <c r="AW55" s="61"/>
      <c r="AX55" s="61"/>
      <c r="AY55" s="61"/>
      <c r="AZ55" s="61"/>
      <c r="BA55" s="61"/>
      <c r="BB55" s="61"/>
      <c r="BC55" s="111"/>
    </row>
    <row r="58" spans="1:59" x14ac:dyDescent="0.25">
      <c r="B58" t="s">
        <v>3135</v>
      </c>
      <c r="C58" t="s">
        <v>3136</v>
      </c>
      <c r="D58" t="s">
        <v>3137</v>
      </c>
    </row>
    <row r="59" spans="1:59" x14ac:dyDescent="0.25">
      <c r="B59" t="s">
        <v>3049</v>
      </c>
      <c r="C59" s="115">
        <f>COUNTIF($F$4:$F$50,"Very good")</f>
        <v>3</v>
      </c>
      <c r="D59">
        <f>C59/50%</f>
        <v>6</v>
      </c>
    </row>
    <row r="60" spans="1:59" x14ac:dyDescent="0.25">
      <c r="B60" t="s">
        <v>3050</v>
      </c>
      <c r="C60" s="115">
        <f>COUNTIF($F$4:$F$50,"Good")</f>
        <v>1</v>
      </c>
      <c r="D60">
        <f t="shared" ref="D60:D63" si="0">C60/50%</f>
        <v>2</v>
      </c>
    </row>
    <row r="61" spans="1:59" x14ac:dyDescent="0.25">
      <c r="B61" t="s">
        <v>3051</v>
      </c>
      <c r="C61" s="115">
        <f>COUNTIF($F$4:$F$50,"Fair")</f>
        <v>13</v>
      </c>
      <c r="D61">
        <f t="shared" si="0"/>
        <v>26</v>
      </c>
    </row>
    <row r="62" spans="1:59" x14ac:dyDescent="0.25">
      <c r="B62" t="s">
        <v>3112</v>
      </c>
      <c r="C62" s="115">
        <f>COUNTIF($F$4:$F$50,"Poor")</f>
        <v>11</v>
      </c>
      <c r="D62">
        <f t="shared" si="0"/>
        <v>22</v>
      </c>
    </row>
    <row r="63" spans="1:59" x14ac:dyDescent="0.25">
      <c r="B63" t="s">
        <v>3138</v>
      </c>
      <c r="C63" s="115">
        <f>COUNTIF($F$4:$F$50,"Very Poor")</f>
        <v>19</v>
      </c>
      <c r="D63">
        <f t="shared" si="0"/>
        <v>38</v>
      </c>
    </row>
  </sheetData>
  <pageMargins left="0.7" right="0.7" top="0.75" bottom="0.75" header="0.3" footer="0.3"/>
  <drawing r:id="rId1"/>
  <tableParts count="2">
    <tablePart r:id="rId2"/>
    <tablePart r:id="rId3"/>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29"/>
  <sheetViews>
    <sheetView workbookViewId="0">
      <selection sqref="A1:XFD1"/>
    </sheetView>
  </sheetViews>
  <sheetFormatPr defaultRowHeight="15" x14ac:dyDescent="0.25"/>
  <cols>
    <col min="2" max="2" width="28.28515625" bestFit="1" customWidth="1"/>
    <col min="3" max="3" width="16.42578125" customWidth="1"/>
    <col min="4" max="4" width="14.85546875" customWidth="1"/>
    <col min="5" max="5" width="27.85546875" bestFit="1" customWidth="1"/>
    <col min="6" max="6" width="20.42578125" customWidth="1"/>
    <col min="7" max="7" width="11.5703125" customWidth="1"/>
    <col min="8" max="9" width="19.140625" customWidth="1"/>
    <col min="10" max="10" width="22.5703125" customWidth="1"/>
    <col min="11" max="11" width="22.7109375" customWidth="1"/>
    <col min="12" max="12" width="19.140625" customWidth="1"/>
    <col min="13" max="13" width="22.85546875" customWidth="1"/>
    <col min="14" max="14" width="27" customWidth="1"/>
    <col min="15" max="15" width="19.140625" customWidth="1"/>
    <col min="16" max="16" width="21.7109375" customWidth="1"/>
    <col min="17" max="17" width="19.140625" customWidth="1"/>
    <col min="18" max="18" width="26.85546875" customWidth="1"/>
    <col min="19" max="19" width="14.140625" customWidth="1"/>
    <col min="20" max="20" width="22" customWidth="1"/>
    <col min="21" max="21" width="15.42578125" customWidth="1"/>
    <col min="22" max="22" width="17.85546875" customWidth="1"/>
    <col min="23" max="23" width="20.42578125" customWidth="1"/>
    <col min="24" max="24" width="17.7109375" customWidth="1"/>
    <col min="25" max="25" width="14.28515625" customWidth="1"/>
    <col min="26" max="26" width="23.28515625" customWidth="1"/>
    <col min="28" max="28" width="14.85546875" customWidth="1"/>
    <col min="29" max="29" width="12" customWidth="1"/>
    <col min="31" max="31" width="13.28515625" customWidth="1"/>
    <col min="32" max="32" width="15.7109375" customWidth="1"/>
    <col min="33" max="33" width="14" customWidth="1"/>
    <col min="34" max="34" width="15.7109375" customWidth="1"/>
    <col min="35" max="35" width="16.28515625" customWidth="1"/>
    <col min="36" max="36" width="19.85546875" customWidth="1"/>
    <col min="37" max="37" width="12.140625" customWidth="1"/>
    <col min="38" max="38" width="10.85546875" customWidth="1"/>
    <col min="39" max="39" width="14.7109375" customWidth="1"/>
    <col min="41" max="41" width="22" customWidth="1"/>
    <col min="42" max="42" width="16.28515625" customWidth="1"/>
    <col min="44" max="44" width="13.28515625" customWidth="1"/>
    <col min="45" max="45" width="12.5703125" customWidth="1"/>
    <col min="46" max="46" width="14" customWidth="1"/>
    <col min="47" max="47" width="11.42578125" customWidth="1"/>
    <col min="48" max="48" width="10.28515625" customWidth="1"/>
    <col min="49" max="49" width="9.42578125" customWidth="1"/>
    <col min="50" max="50" width="15.7109375" customWidth="1"/>
    <col min="51" max="51" width="20.5703125" customWidth="1"/>
    <col min="52" max="52" width="18.28515625" customWidth="1"/>
    <col min="53" max="53" width="9.5703125" customWidth="1"/>
    <col min="54" max="54" width="18.7109375" customWidth="1"/>
    <col min="55" max="55" width="12.7109375" customWidth="1"/>
    <col min="56" max="56" width="31.42578125" customWidth="1"/>
    <col min="57" max="57" width="27.5703125" customWidth="1"/>
  </cols>
  <sheetData>
    <row r="1" spans="1:59" s="167" customFormat="1" ht="21" x14ac:dyDescent="0.35">
      <c r="A1" s="167" t="s">
        <v>3271</v>
      </c>
    </row>
    <row r="3" spans="1:59" x14ac:dyDescent="0.25">
      <c r="A3" s="49" t="s">
        <v>2909</v>
      </c>
      <c r="B3" s="106" t="s">
        <v>3083</v>
      </c>
      <c r="C3" s="106" t="s">
        <v>3087</v>
      </c>
      <c r="D3" s="106" t="s">
        <v>3065</v>
      </c>
      <c r="E3" s="106" t="s">
        <v>3185</v>
      </c>
      <c r="F3" s="106" t="s">
        <v>3123</v>
      </c>
      <c r="G3" s="106" t="s">
        <v>2932</v>
      </c>
      <c r="H3" s="106" t="s">
        <v>3124</v>
      </c>
      <c r="I3" s="106" t="s">
        <v>3092</v>
      </c>
      <c r="J3" s="106" t="s">
        <v>3125</v>
      </c>
      <c r="K3" s="106" t="s">
        <v>3126</v>
      </c>
      <c r="L3" s="106" t="s">
        <v>3127</v>
      </c>
      <c r="M3" s="106" t="s">
        <v>3128</v>
      </c>
      <c r="N3" s="106" t="s">
        <v>3129</v>
      </c>
      <c r="O3" s="106" t="s">
        <v>3130</v>
      </c>
      <c r="P3" s="106" t="s">
        <v>3131</v>
      </c>
      <c r="Q3" s="106" t="s">
        <v>162</v>
      </c>
      <c r="R3" s="106" t="s">
        <v>171</v>
      </c>
      <c r="S3" s="106" t="s">
        <v>168</v>
      </c>
      <c r="T3" s="106" t="s">
        <v>145</v>
      </c>
      <c r="U3" s="106" t="s">
        <v>150</v>
      </c>
      <c r="V3" s="106" t="s">
        <v>153</v>
      </c>
      <c r="W3" s="106" t="s">
        <v>156</v>
      </c>
      <c r="X3" s="106" t="s">
        <v>159</v>
      </c>
      <c r="Y3" s="106" t="s">
        <v>138</v>
      </c>
      <c r="Z3" s="106" t="s">
        <v>141</v>
      </c>
      <c r="AA3" s="106" t="s">
        <v>133</v>
      </c>
      <c r="AB3" s="106" t="s">
        <v>50</v>
      </c>
      <c r="AC3" s="106" t="s">
        <v>59</v>
      </c>
      <c r="AD3" s="106" t="s">
        <v>56</v>
      </c>
      <c r="AE3" s="106" t="s">
        <v>47</v>
      </c>
      <c r="AF3" s="106" t="s">
        <v>53</v>
      </c>
      <c r="AG3" s="106" t="s">
        <v>31</v>
      </c>
      <c r="AH3" s="106" t="s">
        <v>44</v>
      </c>
      <c r="AI3" s="106" t="s">
        <v>39</v>
      </c>
      <c r="AJ3" s="106" t="s">
        <v>67</v>
      </c>
      <c r="AK3" s="106" t="s">
        <v>73</v>
      </c>
      <c r="AL3" s="106" t="s">
        <v>62</v>
      </c>
      <c r="AM3" s="106" t="s">
        <v>70</v>
      </c>
      <c r="AN3" s="106" t="s">
        <v>76</v>
      </c>
      <c r="AO3" s="106" t="s">
        <v>79</v>
      </c>
      <c r="AP3" s="106" t="s">
        <v>83</v>
      </c>
      <c r="AQ3" s="106" t="s">
        <v>124</v>
      </c>
      <c r="AR3" s="106" t="s">
        <v>121</v>
      </c>
      <c r="AS3" s="106" t="s">
        <v>127</v>
      </c>
      <c r="AT3" s="106" t="s">
        <v>113</v>
      </c>
      <c r="AU3" s="106" t="s">
        <v>118</v>
      </c>
      <c r="AV3" s="106" t="s">
        <v>130</v>
      </c>
      <c r="AW3" s="106" t="s">
        <v>91</v>
      </c>
      <c r="AX3" s="106" t="s">
        <v>94</v>
      </c>
      <c r="AY3" s="106" t="s">
        <v>86</v>
      </c>
      <c r="AZ3" s="106" t="s">
        <v>97</v>
      </c>
      <c r="BA3" s="106" t="s">
        <v>109</v>
      </c>
      <c r="BB3" s="106" t="s">
        <v>106</v>
      </c>
      <c r="BC3" s="106" t="s">
        <v>100</v>
      </c>
      <c r="BD3" s="106" t="s">
        <v>3180</v>
      </c>
      <c r="BE3" s="106" t="s">
        <v>3181</v>
      </c>
      <c r="BF3" s="159" t="s">
        <v>3156</v>
      </c>
      <c r="BG3" s="159" t="s">
        <v>3183</v>
      </c>
    </row>
    <row r="4" spans="1:59" x14ac:dyDescent="0.25">
      <c r="A4" s="1">
        <v>41114</v>
      </c>
      <c r="B4" s="2" t="s">
        <v>1605</v>
      </c>
      <c r="C4" s="157">
        <f>VLOOKUP(Table1316[[#This Row],[Donor Name]],'Overall scores and ranking'!$A$3:$D$72,2,FALSE)</f>
        <v>90.637111812083049</v>
      </c>
      <c r="D4" s="107">
        <f>VLOOKUP(Table1316[[#This Row],[Donor Name]],'Overall scores and ranking'!$A$3:$D$72,3,FALSE)</f>
        <v>1</v>
      </c>
      <c r="E4" s="107">
        <f>RANK(Table1316[[#This Row],[Overall Score]],Table1316[Overall Score])</f>
        <v>1</v>
      </c>
      <c r="F4" s="61" t="str">
        <f>VLOOKUP(Table1316[[#This Row],[Donor Name]],'Overall scores and ranking'!$A$3:$D$72,4,FALSE)</f>
        <v>Very good</v>
      </c>
      <c r="G4" s="109">
        <f>VLOOKUP(Table1316[[#This Row],[Donor Name]],'Wtd - IATI vs Others'!$A$5:$D$72,2,FALSE)</f>
        <v>81.857233812083038</v>
      </c>
      <c r="H4" s="61">
        <f>VLOOKUP(Table1316[[#This Row],[Donor Name]],'Wtd - IATI vs Others'!$A$5:$D$72,3,FALSE)</f>
        <v>8.7798780000000001</v>
      </c>
      <c r="I4" s="61">
        <f>VLOOKUP(Table1316[[#This Row],[Donor Name]],'Wtd scores by sub-groups'!$A$5:$K$72,2,FALSE)</f>
        <v>8.7798780000000001</v>
      </c>
      <c r="J4" s="61">
        <f>VLOOKUP(Table1316[[#This Row],[Donor Name]],'Wtd scores by sub-groups'!$A$5:$K$72,3,FALSE)</f>
        <v>12.491883116883109</v>
      </c>
      <c r="K4" s="61">
        <f>VLOOKUP(Table1316[[#This Row],[Donor Name]],'Wtd scores by sub-groups'!$A$5:$K$72,4,FALSE)</f>
        <v>12.51</v>
      </c>
      <c r="L4" s="61">
        <f>VLOOKUP(Table1316[[#This Row],[Donor Name]],'Wtd scores by sub-groups'!$A$5:$K$72,5,FALSE)</f>
        <v>12.941362045350129</v>
      </c>
      <c r="M4" s="61">
        <f>VLOOKUP(Table1316[[#This Row],[Donor Name]],'Wtd scores by sub-groups'!$A$5:$K$72,6,FALSE)</f>
        <v>12.959305634604371</v>
      </c>
      <c r="N4" s="61">
        <f>VLOOKUP(Table1316[[#This Row],[Donor Name]],'Wtd scores by sub-groups'!$A$5:$K$72,7,FALSE)</f>
        <v>9.6796820175438416</v>
      </c>
      <c r="O4" s="61">
        <f>VLOOKUP(Table1316[[#This Row],[Donor Name]],'Wtd scores by sub-groups'!$A$5:$K$72,8,FALSE)</f>
        <v>11.095175217974509</v>
      </c>
      <c r="P4" s="61">
        <f>VLOOKUP(Table1316[[#This Row],[Donor Name]],'Wtd scores by sub-groups'!$A$5:$K$72,9,FALSE)</f>
        <v>10.17982577972708</v>
      </c>
      <c r="Q4" s="61">
        <f>VLOOKUP(Table1316[[#This Row],[Donor Name]],'Weighted scores by indicator'!$A$7:$AO$74,2,FALSE)</f>
        <v>2.2197779999999998</v>
      </c>
      <c r="R4" s="61">
        <f>VLOOKUP(Table1316[[#This Row],[Donor Name]],'Weighted scores by indicator'!$A$7:$AO$74,3,FALSE)</f>
        <v>3.2301000000000002</v>
      </c>
      <c r="S4" s="61">
        <f>VLOOKUP(Table1316[[#This Row],[Donor Name]],'Weighted scores by indicator'!$A$7:$AO$74,4,FALSE)</f>
        <v>3.33</v>
      </c>
      <c r="T4" s="61">
        <f>VLOOKUP(Table1316[[#This Row],[Donor Name]],'Weighted scores by indicator'!$A$7:$AO$74,5,FALSE)</f>
        <v>2.5</v>
      </c>
      <c r="U4" s="61">
        <f>VLOOKUP(Table1316[[#This Row],[Donor Name]],'Weighted scores by indicator'!$A$7:$AO$74,6,FALSE)</f>
        <v>2.5</v>
      </c>
      <c r="V4" s="61">
        <f>VLOOKUP(Table1316[[#This Row],[Donor Name]],'Weighted scores by indicator'!$A$7:$AO$74,7,FALSE)</f>
        <v>2.5</v>
      </c>
      <c r="W4" s="61">
        <f>VLOOKUP(Table1316[[#This Row],[Donor Name]],'Weighted scores by indicator'!$A$7:$AO$74,8,FALSE)</f>
        <v>2.5</v>
      </c>
      <c r="X4" s="61">
        <f>VLOOKUP(Table1316[[#This Row],[Donor Name]],'Weighted scores by indicator'!$A$7:$AO$74,9,FALSE)</f>
        <v>2.4918831168831099</v>
      </c>
      <c r="Y4" s="61">
        <f>VLOOKUP(Table1316[[#This Row],[Donor Name]],'Weighted scores by indicator'!$A$7:$AO$74,10,FALSE)</f>
        <v>4.17</v>
      </c>
      <c r="Z4" s="61">
        <f>VLOOKUP(Table1316[[#This Row],[Donor Name]],'Weighted scores by indicator'!$A$7:$AO$74,11,FALSE)</f>
        <v>4.17</v>
      </c>
      <c r="AA4" s="61">
        <f>VLOOKUP(Table1316[[#This Row],[Donor Name]],'Weighted scores by indicator'!$A$7:$AO$74,12,FALSE)</f>
        <v>4.17</v>
      </c>
      <c r="AB4" s="61">
        <f>VLOOKUP(Table1316[[#This Row],[Donor Name]],'Weighted scores by indicator'!$A$7:$AO$74,13,FALSE)</f>
        <v>1.62463815789473</v>
      </c>
      <c r="AC4" s="61">
        <f>VLOOKUP(Table1316[[#This Row],[Donor Name]],'Weighted scores by indicator'!$A$7:$AO$74,14,FALSE)</f>
        <v>1.63</v>
      </c>
      <c r="AD4" s="61">
        <f>VLOOKUP(Table1316[[#This Row],[Donor Name]],'Weighted scores by indicator'!$A$7:$AO$74,15,FALSE)</f>
        <v>1.6230788140643599</v>
      </c>
      <c r="AE4" s="61">
        <f>VLOOKUP(Table1316[[#This Row],[Donor Name]],'Weighted scores by indicator'!$A$7:$AO$74,16,FALSE)</f>
        <v>1.56155716130313</v>
      </c>
      <c r="AF4" s="61">
        <f>VLOOKUP(Table1316[[#This Row],[Donor Name]],'Weighted scores by indicator'!$A$7:$AO$74,17,FALSE)</f>
        <v>1.63</v>
      </c>
      <c r="AG4" s="61">
        <f>VLOOKUP(Table1316[[#This Row],[Donor Name]],'Weighted scores by indicator'!$A$7:$AO$74,18,FALSE)</f>
        <v>1.6120879120879099</v>
      </c>
      <c r="AH4" s="61">
        <f>VLOOKUP(Table1316[[#This Row],[Donor Name]],'Weighted scores by indicator'!$A$7:$AO$74,19,FALSE)</f>
        <v>1.63</v>
      </c>
      <c r="AI4" s="61">
        <f>VLOOKUP(Table1316[[#This Row],[Donor Name]],'Weighted scores by indicator'!$A$7:$AO$74,20,FALSE)</f>
        <v>1.63</v>
      </c>
      <c r="AJ4" s="61">
        <f>VLOOKUP(Table1316[[#This Row],[Donor Name]],'Weighted scores by indicator'!$A$7:$AO$74,21,FALSE)</f>
        <v>1.8599999999999901</v>
      </c>
      <c r="AK4" s="61">
        <f>VLOOKUP(Table1316[[#This Row],[Donor Name]],'Weighted scores by indicator'!$A$7:$AO$74,22,FALSE)</f>
        <v>1.8599999999999901</v>
      </c>
      <c r="AL4" s="61">
        <f>VLOOKUP(Table1316[[#This Row],[Donor Name]],'Weighted scores by indicator'!$A$7:$AO$74,23,FALSE)</f>
        <v>1.8599999999999901</v>
      </c>
      <c r="AM4" s="61">
        <f>VLOOKUP(Table1316[[#This Row],[Donor Name]],'Weighted scores by indicator'!$A$7:$AO$74,24,FALSE)</f>
        <v>1.8599999999999901</v>
      </c>
      <c r="AN4" s="61">
        <f>VLOOKUP(Table1316[[#This Row],[Donor Name]],'Weighted scores by indicator'!$A$7:$AO$74,25,FALSE)</f>
        <v>1.8599999999999901</v>
      </c>
      <c r="AO4" s="61">
        <f>VLOOKUP(Table1316[[#This Row],[Donor Name]],'Weighted scores by indicator'!$A$7:$AO$74,26,FALSE)</f>
        <v>1.79930563460443</v>
      </c>
      <c r="AP4" s="61">
        <f>VLOOKUP(Table1316[[#This Row],[Donor Name]],'Weighted scores by indicator'!$A$7:$AO$74,27,FALSE)</f>
        <v>1.8599999999999901</v>
      </c>
      <c r="AQ4" s="61">
        <f>VLOOKUP(Table1316[[#This Row],[Donor Name]],'Weighted scores by indicator'!$A$7:$AO$74,28,FALSE)</f>
        <v>2.00793737816764</v>
      </c>
      <c r="AR4" s="61">
        <f>VLOOKUP(Table1316[[#This Row],[Donor Name]],'Weighted scores by indicator'!$A$7:$AO$74,29,FALSE)</f>
        <v>1.24</v>
      </c>
      <c r="AS4" s="61">
        <f>VLOOKUP(Table1316[[#This Row],[Donor Name]],'Weighted scores by indicator'!$A$7:$AO$74,30,FALSE)</f>
        <v>1.7332504873294301</v>
      </c>
      <c r="AT4" s="61">
        <f>VLOOKUP(Table1316[[#This Row],[Donor Name]],'Weighted scores by indicator'!$A$7:$AO$74,31,FALSE)</f>
        <v>1.75968810916179</v>
      </c>
      <c r="AU4" s="61">
        <f>VLOOKUP(Table1316[[#This Row],[Donor Name]],'Weighted scores by indicator'!$A$7:$AO$74,32,FALSE)</f>
        <v>1.78268884015594</v>
      </c>
      <c r="AV4" s="61">
        <f>VLOOKUP(Table1316[[#This Row],[Donor Name]],'Weighted scores by indicator'!$A$7:$AO$74,33,FALSE)</f>
        <v>1.1561172027290401</v>
      </c>
      <c r="AW4" s="61">
        <f>VLOOKUP(Table1316[[#This Row],[Donor Name]],'Weighted scores by indicator'!$A$7:$AO$74,34,FALSE)</f>
        <v>2.4375</v>
      </c>
      <c r="AX4" s="61">
        <f>VLOOKUP(Table1316[[#This Row],[Donor Name]],'Weighted scores by indicator'!$A$7:$AO$74,35,FALSE)</f>
        <v>3.2497275318578098</v>
      </c>
      <c r="AY4" s="61">
        <f>VLOOKUP(Table1316[[#This Row],[Donor Name]],'Weighted scores by indicator'!$A$7:$AO$74,36,FALSE)</f>
        <v>3.25</v>
      </c>
      <c r="AZ4" s="61">
        <f>VLOOKUP(Table1316[[#This Row],[Donor Name]],'Weighted scores by indicator'!$A$7:$AO$74,37,FALSE)</f>
        <v>2.1579476861167</v>
      </c>
      <c r="BA4" s="61">
        <f>VLOOKUP(Table1316[[#This Row],[Donor Name]],'Weighted scores by indicator'!$A$7:$AO$74,38,FALSE)</f>
        <v>2.8265277777777702</v>
      </c>
      <c r="BB4" s="61">
        <f>VLOOKUP(Table1316[[#This Row],[Donor Name]],'Weighted scores by indicator'!$A$7:$AO$74,39,FALSE)</f>
        <v>3.45904117933723</v>
      </c>
      <c r="BC4" s="61">
        <f>VLOOKUP(Table1316[[#This Row],[Donor Name]],'Weighted scores by indicator'!$A$7:$AO$74,40,FALSE)</f>
        <v>3.8942568226120802</v>
      </c>
      <c r="BD4" s="60">
        <f>COUNTIF(Table1316[[#This Row],[FOIA]:[Conditions]],"0")</f>
        <v>0</v>
      </c>
      <c r="BE4" s="60">
        <f>COUNTIF(Table1316[[#This Row],[FOIA]:[Conditions]],"&gt;0")</f>
        <v>39</v>
      </c>
      <c r="BF4" s="60"/>
      <c r="BG4" s="60">
        <f>39-SUM(Table13[[#This Row],[No of indicators not scoring on]:[No of indicators scoring on]])</f>
        <v>0</v>
      </c>
    </row>
    <row r="5" spans="1:59" x14ac:dyDescent="0.25">
      <c r="A5" s="1">
        <v>47122</v>
      </c>
      <c r="B5" s="2" t="s">
        <v>1319</v>
      </c>
      <c r="C5" s="157">
        <f>VLOOKUP(Table1316[[#This Row],[Donor Name]],'Overall scores and ranking'!$A$3:$D$72,2,FALSE)</f>
        <v>86.745722206106777</v>
      </c>
      <c r="D5" s="107">
        <f>VLOOKUP(Table1316[[#This Row],[Donor Name]],'Overall scores and ranking'!$A$3:$D$72,3,FALSE)</f>
        <v>4</v>
      </c>
      <c r="E5" s="107">
        <f>RANK(Table1316[[#This Row],[Overall Score]],Table1316[Overall Score])</f>
        <v>2</v>
      </c>
      <c r="F5" s="61" t="str">
        <f>VLOOKUP(Table1316[[#This Row],[Donor Name]],'Overall scores and ranking'!$A$3:$D$72,4,FALSE)</f>
        <v>Very good</v>
      </c>
      <c r="G5" s="109">
        <f>VLOOKUP(Table1316[[#This Row],[Donor Name]],'Wtd - IATI vs Others'!$A$5:$D$72,2,FALSE)</f>
        <v>78.037433206106783</v>
      </c>
      <c r="H5" s="61">
        <f>VLOOKUP(Table1316[[#This Row],[Donor Name]],'Wtd - IATI vs Others'!$A$5:$D$72,3,FALSE)</f>
        <v>8.7082890000000006</v>
      </c>
      <c r="I5" s="61">
        <f>VLOOKUP(Table1316[[#This Row],[Donor Name]],'Wtd scores by sub-groups'!$A$5:$K$72,2,FALSE)</f>
        <v>4.3732889999999998</v>
      </c>
      <c r="J5" s="61">
        <f>VLOOKUP(Table1316[[#This Row],[Donor Name]],'Wtd scores by sub-groups'!$A$5:$K$72,3,FALSE)</f>
        <v>12.5</v>
      </c>
      <c r="K5" s="61">
        <f>VLOOKUP(Table1316[[#This Row],[Donor Name]],'Wtd scores by sub-groups'!$A$5:$K$72,4,FALSE)</f>
        <v>12.51</v>
      </c>
      <c r="L5" s="61">
        <f>VLOOKUP(Table1316[[#This Row],[Donor Name]],'Wtd scores by sub-groups'!$A$5:$K$72,5,FALSE)</f>
        <v>13.039999999999988</v>
      </c>
      <c r="M5" s="61">
        <f>VLOOKUP(Table1316[[#This Row],[Donor Name]],'Wtd scores by sub-groups'!$A$5:$K$72,6,FALSE)</f>
        <v>13.019999999999932</v>
      </c>
      <c r="N5" s="61">
        <f>VLOOKUP(Table1316[[#This Row],[Donor Name]],'Wtd scores by sub-groups'!$A$5:$K$72,7,FALSE)</f>
        <v>10.787881679389312</v>
      </c>
      <c r="O5" s="61">
        <f>VLOOKUP(Table1316[[#This Row],[Donor Name]],'Wtd scores by sub-groups'!$A$5:$K$72,8,FALSE)</f>
        <v>11.85455152671755</v>
      </c>
      <c r="P5" s="61">
        <f>VLOOKUP(Table1316[[#This Row],[Donor Name]],'Wtd scores by sub-groups'!$A$5:$K$72,9,FALSE)</f>
        <v>8.66</v>
      </c>
      <c r="Q5" s="61">
        <f>VLOOKUP(Table1316[[#This Row],[Donor Name]],'Weighted scores by indicator'!$A$7:$AO$74,2,FALSE)</f>
        <v>1.1098889999999999</v>
      </c>
      <c r="R5" s="61">
        <f>VLOOKUP(Table1316[[#This Row],[Donor Name]],'Weighted scores by indicator'!$A$7:$AO$74,3,FALSE)</f>
        <v>3.2633999999999999</v>
      </c>
      <c r="S5" s="61">
        <f>VLOOKUP(Table1316[[#This Row],[Donor Name]],'Weighted scores by indicator'!$A$7:$AO$74,4,FALSE)</f>
        <v>0</v>
      </c>
      <c r="T5" s="61">
        <f>VLOOKUP(Table1316[[#This Row],[Donor Name]],'Weighted scores by indicator'!$A$7:$AO$74,5,FALSE)</f>
        <v>2.5</v>
      </c>
      <c r="U5" s="61">
        <f>VLOOKUP(Table1316[[#This Row],[Donor Name]],'Weighted scores by indicator'!$A$7:$AO$74,6,FALSE)</f>
        <v>2.5</v>
      </c>
      <c r="V5" s="61">
        <f>VLOOKUP(Table1316[[#This Row],[Donor Name]],'Weighted scores by indicator'!$A$7:$AO$74,7,FALSE)</f>
        <v>2.5</v>
      </c>
      <c r="W5" s="61">
        <f>VLOOKUP(Table1316[[#This Row],[Donor Name]],'Weighted scores by indicator'!$A$7:$AO$74,8,FALSE)</f>
        <v>2.5</v>
      </c>
      <c r="X5" s="61">
        <f>VLOOKUP(Table1316[[#This Row],[Donor Name]],'Weighted scores by indicator'!$A$7:$AO$74,9,FALSE)</f>
        <v>2.5</v>
      </c>
      <c r="Y5" s="61">
        <f>VLOOKUP(Table1316[[#This Row],[Donor Name]],'Weighted scores by indicator'!$A$7:$AO$74,10,FALSE)</f>
        <v>4.17</v>
      </c>
      <c r="Z5" s="61">
        <f>VLOOKUP(Table1316[[#This Row],[Donor Name]],'Weighted scores by indicator'!$A$7:$AO$74,11,FALSE)</f>
        <v>4.17</v>
      </c>
      <c r="AA5" s="61">
        <f>VLOOKUP(Table1316[[#This Row],[Donor Name]],'Weighted scores by indicator'!$A$7:$AO$74,12,FALSE)</f>
        <v>4.17</v>
      </c>
      <c r="AB5" s="61">
        <f>VLOOKUP(Table1316[[#This Row],[Donor Name]],'Weighted scores by indicator'!$A$7:$AO$74,13,FALSE)</f>
        <v>1.63</v>
      </c>
      <c r="AC5" s="61">
        <f>VLOOKUP(Table1316[[#This Row],[Donor Name]],'Weighted scores by indicator'!$A$7:$AO$74,14,FALSE)</f>
        <v>1.63</v>
      </c>
      <c r="AD5" s="61">
        <f>VLOOKUP(Table1316[[#This Row],[Donor Name]],'Weighted scores by indicator'!$A$7:$AO$74,15,FALSE)</f>
        <v>1.63</v>
      </c>
      <c r="AE5" s="61">
        <f>VLOOKUP(Table1316[[#This Row],[Donor Name]],'Weighted scores by indicator'!$A$7:$AO$74,16,FALSE)</f>
        <v>1.63</v>
      </c>
      <c r="AF5" s="61">
        <f>VLOOKUP(Table1316[[#This Row],[Donor Name]],'Weighted scores by indicator'!$A$7:$AO$74,17,FALSE)</f>
        <v>1.63</v>
      </c>
      <c r="AG5" s="61">
        <f>VLOOKUP(Table1316[[#This Row],[Donor Name]],'Weighted scores by indicator'!$A$7:$AO$74,18,FALSE)</f>
        <v>1.6299999999999899</v>
      </c>
      <c r="AH5" s="61">
        <f>VLOOKUP(Table1316[[#This Row],[Donor Name]],'Weighted scores by indicator'!$A$7:$AO$74,19,FALSE)</f>
        <v>1.63</v>
      </c>
      <c r="AI5" s="61">
        <f>VLOOKUP(Table1316[[#This Row],[Donor Name]],'Weighted scores by indicator'!$A$7:$AO$74,20,FALSE)</f>
        <v>1.63</v>
      </c>
      <c r="AJ5" s="61">
        <f>VLOOKUP(Table1316[[#This Row],[Donor Name]],'Weighted scores by indicator'!$A$7:$AO$74,21,FALSE)</f>
        <v>1.8599999999999901</v>
      </c>
      <c r="AK5" s="61">
        <f>VLOOKUP(Table1316[[#This Row],[Donor Name]],'Weighted scores by indicator'!$A$7:$AO$74,22,FALSE)</f>
        <v>1.8599999999999901</v>
      </c>
      <c r="AL5" s="61">
        <f>VLOOKUP(Table1316[[#This Row],[Donor Name]],'Weighted scores by indicator'!$A$7:$AO$74,23,FALSE)</f>
        <v>1.8599999999999901</v>
      </c>
      <c r="AM5" s="61">
        <f>VLOOKUP(Table1316[[#This Row],[Donor Name]],'Weighted scores by indicator'!$A$7:$AO$74,24,FALSE)</f>
        <v>1.8599999999999901</v>
      </c>
      <c r="AN5" s="61">
        <f>VLOOKUP(Table1316[[#This Row],[Donor Name]],'Weighted scores by indicator'!$A$7:$AO$74,25,FALSE)</f>
        <v>1.8599999999999901</v>
      </c>
      <c r="AO5" s="61">
        <f>VLOOKUP(Table1316[[#This Row],[Donor Name]],'Weighted scores by indicator'!$A$7:$AO$74,26,FALSE)</f>
        <v>1.8599999999999901</v>
      </c>
      <c r="AP5" s="61">
        <f>VLOOKUP(Table1316[[#This Row],[Donor Name]],'Weighted scores by indicator'!$A$7:$AO$74,27,FALSE)</f>
        <v>1.8599999999999901</v>
      </c>
      <c r="AQ5" s="61">
        <f>VLOOKUP(Table1316[[#This Row],[Donor Name]],'Weighted scores by indicator'!$A$7:$AO$74,28,FALSE)</f>
        <v>2.10788167938931</v>
      </c>
      <c r="AR5" s="61">
        <f>VLOOKUP(Table1316[[#This Row],[Donor Name]],'Weighted scores by indicator'!$A$7:$AO$74,29,FALSE)</f>
        <v>1.085</v>
      </c>
      <c r="AS5" s="61">
        <f>VLOOKUP(Table1316[[#This Row],[Donor Name]],'Weighted scores by indicator'!$A$7:$AO$74,30,FALSE)</f>
        <v>1.085</v>
      </c>
      <c r="AT5" s="61">
        <f>VLOOKUP(Table1316[[#This Row],[Donor Name]],'Weighted scores by indicator'!$A$7:$AO$74,31,FALSE)</f>
        <v>2.17</v>
      </c>
      <c r="AU5" s="61">
        <f>VLOOKUP(Table1316[[#This Row],[Donor Name]],'Weighted scores by indicator'!$A$7:$AO$74,32,FALSE)</f>
        <v>2.17</v>
      </c>
      <c r="AV5" s="61">
        <f>VLOOKUP(Table1316[[#This Row],[Donor Name]],'Weighted scores by indicator'!$A$7:$AO$74,33,FALSE)</f>
        <v>2.17</v>
      </c>
      <c r="AW5" s="61">
        <f>VLOOKUP(Table1316[[#This Row],[Donor Name]],'Weighted scores by indicator'!$A$7:$AO$74,34,FALSE)</f>
        <v>2.3712499999999999</v>
      </c>
      <c r="AX5" s="61">
        <f>VLOOKUP(Table1316[[#This Row],[Donor Name]],'Weighted scores by indicator'!$A$7:$AO$74,35,FALSE)</f>
        <v>3.21692111959287</v>
      </c>
      <c r="AY5" s="61">
        <f>VLOOKUP(Table1316[[#This Row],[Donor Name]],'Weighted scores by indicator'!$A$7:$AO$74,36,FALSE)</f>
        <v>3.01638040712468</v>
      </c>
      <c r="AZ5" s="61">
        <f>VLOOKUP(Table1316[[#This Row],[Donor Name]],'Weighted scores by indicator'!$A$7:$AO$74,37,FALSE)</f>
        <v>3.25</v>
      </c>
      <c r="BA5" s="61">
        <f>VLOOKUP(Table1316[[#This Row],[Donor Name]],'Weighted scores by indicator'!$A$7:$AO$74,38,FALSE)</f>
        <v>3.2475000000000001</v>
      </c>
      <c r="BB5" s="61">
        <f>VLOOKUP(Table1316[[#This Row],[Donor Name]],'Weighted scores by indicator'!$A$7:$AO$74,39,FALSE)</f>
        <v>2.165</v>
      </c>
      <c r="BC5" s="111">
        <f>VLOOKUP(Table1316[[#This Row],[Donor Name]],'Weighted scores by indicator'!$A$7:$AO$74,40,FALSE)</f>
        <v>3.2475000000000001</v>
      </c>
      <c r="BD5" s="61">
        <f>COUNTIF(Table1316[[#This Row],[FOIA]:[Conditions]],"0")</f>
        <v>1</v>
      </c>
      <c r="BE5" s="61">
        <f>COUNTIF(Table1316[[#This Row],[FOIA]:[Conditions]],"&gt;0")</f>
        <v>38</v>
      </c>
      <c r="BF5" s="61"/>
      <c r="BG5" s="61">
        <f>39-SUM(Table13[[#This Row],[No of indicators not scoring on]:[No of indicators scoring on]])</f>
        <v>0</v>
      </c>
    </row>
    <row r="6" spans="1:59" x14ac:dyDescent="0.25">
      <c r="A6" s="3">
        <v>46004</v>
      </c>
      <c r="B6" s="4" t="s">
        <v>2381</v>
      </c>
      <c r="C6" s="157">
        <f>VLOOKUP(Table1316[[#This Row],[Donor Name]],'Overall scores and ranking'!$A$3:$D$72,2,FALSE)</f>
        <v>83.842838162282519</v>
      </c>
      <c r="D6" s="107">
        <f>VLOOKUP(Table1316[[#This Row],[Donor Name]],'Overall scores and ranking'!$A$3:$D$72,3,FALSE)</f>
        <v>5</v>
      </c>
      <c r="E6" s="107">
        <f>RANK(Table1316[[#This Row],[Overall Score]],Table1316[Overall Score])</f>
        <v>3</v>
      </c>
      <c r="F6" s="61" t="str">
        <f>VLOOKUP(Table1316[[#This Row],[Donor Name]],'Overall scores and ranking'!$A$3:$D$72,4,FALSE)</f>
        <v>Very good</v>
      </c>
      <c r="G6" s="109">
        <f>VLOOKUP(Table1316[[#This Row],[Donor Name]],'Wtd - IATI vs Others'!$A$5:$D$72,2,FALSE)</f>
        <v>73.092760162282531</v>
      </c>
      <c r="H6" s="61">
        <f>VLOOKUP(Table1316[[#This Row],[Donor Name]],'Wtd - IATI vs Others'!$A$5:$D$72,3,FALSE)</f>
        <v>10.750078</v>
      </c>
      <c r="I6" s="61">
        <f>VLOOKUP(Table1316[[#This Row],[Donor Name]],'Wtd scores by sub-groups'!$A$5:$K$72,2,FALSE)</f>
        <v>8.5800780000000003</v>
      </c>
      <c r="J6" s="61">
        <f>VLOOKUP(Table1316[[#This Row],[Donor Name]],'Wtd scores by sub-groups'!$A$5:$K$72,3,FALSE)</f>
        <v>12.34375</v>
      </c>
      <c r="K6" s="61">
        <f>VLOOKUP(Table1316[[#This Row],[Donor Name]],'Wtd scores by sub-groups'!$A$5:$K$72,4,FALSE)</f>
        <v>12.51</v>
      </c>
      <c r="L6" s="61">
        <f>VLOOKUP(Table1316[[#This Row],[Donor Name]],'Wtd scores by sub-groups'!$A$5:$K$72,5,FALSE)</f>
        <v>12.38721718249726</v>
      </c>
      <c r="M6" s="61">
        <f>VLOOKUP(Table1316[[#This Row],[Donor Name]],'Wtd scores by sub-groups'!$A$5:$K$72,6,FALSE)</f>
        <v>11.7923900747065</v>
      </c>
      <c r="N6" s="61">
        <f>VLOOKUP(Table1316[[#This Row],[Donor Name]],'Wtd scores by sub-groups'!$A$5:$K$72,7,FALSE)</f>
        <v>9.8528220619624527</v>
      </c>
      <c r="O6" s="61">
        <f>VLOOKUP(Table1316[[#This Row],[Donor Name]],'Wtd scores by sub-groups'!$A$5:$K$72,8,FALSE)</f>
        <v>5.9877001067235796</v>
      </c>
      <c r="P6" s="61">
        <f>VLOOKUP(Table1316[[#This Row],[Donor Name]],'Wtd scores by sub-groups'!$A$5:$K$72,9,FALSE)</f>
        <v>10.38888073639273</v>
      </c>
      <c r="Q6" s="61">
        <f>VLOOKUP(Table1316[[#This Row],[Donor Name]],'Weighted scores by indicator'!$A$7:$AO$74,2,FALSE)</f>
        <v>2.2197779999999998</v>
      </c>
      <c r="R6" s="61">
        <f>VLOOKUP(Table1316[[#This Row],[Donor Name]],'Weighted scores by indicator'!$A$7:$AO$74,3,FALSE)</f>
        <v>3.0303</v>
      </c>
      <c r="S6" s="61">
        <f>VLOOKUP(Table1316[[#This Row],[Donor Name]],'Weighted scores by indicator'!$A$7:$AO$74,4,FALSE)</f>
        <v>3.33</v>
      </c>
      <c r="T6" s="61">
        <f>VLOOKUP(Table1316[[#This Row],[Donor Name]],'Weighted scores by indicator'!$A$7:$AO$74,5,FALSE)</f>
        <v>2.5</v>
      </c>
      <c r="U6" s="61">
        <f>VLOOKUP(Table1316[[#This Row],[Donor Name]],'Weighted scores by indicator'!$A$7:$AO$74,6,FALSE)</f>
        <v>2.5</v>
      </c>
      <c r="V6" s="61">
        <f>VLOOKUP(Table1316[[#This Row],[Donor Name]],'Weighted scores by indicator'!$A$7:$AO$74,7,FALSE)</f>
        <v>2.5</v>
      </c>
      <c r="W6" s="61">
        <f>VLOOKUP(Table1316[[#This Row],[Donor Name]],'Weighted scores by indicator'!$A$7:$AO$74,8,FALSE)</f>
        <v>2.5</v>
      </c>
      <c r="X6" s="61">
        <f>VLOOKUP(Table1316[[#This Row],[Donor Name]],'Weighted scores by indicator'!$A$7:$AO$74,9,FALSE)</f>
        <v>2.34375</v>
      </c>
      <c r="Y6" s="61">
        <f>VLOOKUP(Table1316[[#This Row],[Donor Name]],'Weighted scores by indicator'!$A$7:$AO$74,10,FALSE)</f>
        <v>4.17</v>
      </c>
      <c r="Z6" s="61">
        <f>VLOOKUP(Table1316[[#This Row],[Donor Name]],'Weighted scores by indicator'!$A$7:$AO$74,11,FALSE)</f>
        <v>4.17</v>
      </c>
      <c r="AA6" s="61">
        <f>VLOOKUP(Table1316[[#This Row],[Donor Name]],'Weighted scores by indicator'!$A$7:$AO$74,12,FALSE)</f>
        <v>4.17</v>
      </c>
      <c r="AB6" s="61">
        <f>VLOOKUP(Table1316[[#This Row],[Donor Name]],'Weighted scores by indicator'!$A$7:$AO$74,13,FALSE)</f>
        <v>1.54849999999999</v>
      </c>
      <c r="AC6" s="61">
        <f>VLOOKUP(Table1316[[#This Row],[Donor Name]],'Weighted scores by indicator'!$A$7:$AO$74,14,FALSE)</f>
        <v>1.54849999999999</v>
      </c>
      <c r="AD6" s="61">
        <f>VLOOKUP(Table1316[[#This Row],[Donor Name]],'Weighted scores by indicator'!$A$7:$AO$74,15,FALSE)</f>
        <v>1.54849999999999</v>
      </c>
      <c r="AE6" s="61">
        <f>VLOOKUP(Table1316[[#This Row],[Donor Name]],'Weighted scores by indicator'!$A$7:$AO$74,16,FALSE)</f>
        <v>1.5477171824973299</v>
      </c>
      <c r="AF6" s="61">
        <f>VLOOKUP(Table1316[[#This Row],[Donor Name]],'Weighted scores by indicator'!$A$7:$AO$74,17,FALSE)</f>
        <v>1.54849999999999</v>
      </c>
      <c r="AG6" s="61">
        <f>VLOOKUP(Table1316[[#This Row],[Donor Name]],'Weighted scores by indicator'!$A$7:$AO$74,18,FALSE)</f>
        <v>1.54849999999999</v>
      </c>
      <c r="AH6" s="61">
        <f>VLOOKUP(Table1316[[#This Row],[Donor Name]],'Weighted scores by indicator'!$A$7:$AO$74,19,FALSE)</f>
        <v>1.54849999999999</v>
      </c>
      <c r="AI6" s="61">
        <f>VLOOKUP(Table1316[[#This Row],[Donor Name]],'Weighted scores by indicator'!$A$7:$AO$74,20,FALSE)</f>
        <v>1.54849999999999</v>
      </c>
      <c r="AJ6" s="61">
        <f>VLOOKUP(Table1316[[#This Row],[Donor Name]],'Weighted scores by indicator'!$A$7:$AO$74,21,FALSE)</f>
        <v>1.7669999999999999</v>
      </c>
      <c r="AK6" s="61">
        <f>VLOOKUP(Table1316[[#This Row],[Donor Name]],'Weighted scores by indicator'!$A$7:$AO$74,22,FALSE)</f>
        <v>1.7669999999999999</v>
      </c>
      <c r="AL6" s="61">
        <f>VLOOKUP(Table1316[[#This Row],[Donor Name]],'Weighted scores by indicator'!$A$7:$AO$74,23,FALSE)</f>
        <v>1.7669999999999999</v>
      </c>
      <c r="AM6" s="61">
        <f>VLOOKUP(Table1316[[#This Row],[Donor Name]],'Weighted scores by indicator'!$A$7:$AO$74,24,FALSE)</f>
        <v>1.7669999999999999</v>
      </c>
      <c r="AN6" s="61">
        <f>VLOOKUP(Table1316[[#This Row],[Donor Name]],'Weighted scores by indicator'!$A$7:$AO$74,25,FALSE)</f>
        <v>1.34849999999999</v>
      </c>
      <c r="AO6" s="61">
        <f>VLOOKUP(Table1316[[#This Row],[Donor Name]],'Weighted scores by indicator'!$A$7:$AO$74,26,FALSE)</f>
        <v>1.60889007470651</v>
      </c>
      <c r="AP6" s="61">
        <f>VLOOKUP(Table1316[[#This Row],[Donor Name]],'Weighted scores by indicator'!$A$7:$AO$74,27,FALSE)</f>
        <v>1.7669999999999999</v>
      </c>
      <c r="AQ6" s="61">
        <f>VLOOKUP(Table1316[[#This Row],[Donor Name]],'Weighted scores by indicator'!$A$7:$AO$74,28,FALSE)</f>
        <v>2.0583735325506902</v>
      </c>
      <c r="AR6" s="61">
        <f>VLOOKUP(Table1316[[#This Row],[Donor Name]],'Weighted scores by indicator'!$A$7:$AO$74,29,FALSE)</f>
        <v>1.5014485294117601</v>
      </c>
      <c r="AS6" s="61">
        <f>VLOOKUP(Table1316[[#This Row],[Donor Name]],'Weighted scores by indicator'!$A$7:$AO$74,30,FALSE)</f>
        <v>2.0615000000000001</v>
      </c>
      <c r="AT6" s="61">
        <f>VLOOKUP(Table1316[[#This Row],[Donor Name]],'Weighted scores by indicator'!$A$7:$AO$74,31,FALSE)</f>
        <v>2.0615000000000001</v>
      </c>
      <c r="AU6" s="61">
        <f>VLOOKUP(Table1316[[#This Row],[Donor Name]],'Weighted scores by indicator'!$A$7:$AO$74,32,FALSE)</f>
        <v>1.085</v>
      </c>
      <c r="AV6" s="61">
        <f>VLOOKUP(Table1316[[#This Row],[Donor Name]],'Weighted scores by indicator'!$A$7:$AO$74,33,FALSE)</f>
        <v>1.085</v>
      </c>
      <c r="AW6" s="61">
        <f>VLOOKUP(Table1316[[#This Row],[Donor Name]],'Weighted scores by indicator'!$A$7:$AO$74,34,FALSE)</f>
        <v>0</v>
      </c>
      <c r="AX6" s="61">
        <f>VLOOKUP(Table1316[[#This Row],[Donor Name]],'Weighted scores by indicator'!$A$7:$AO$74,35,FALSE)</f>
        <v>3.0874999999999999</v>
      </c>
      <c r="AY6" s="61">
        <f>VLOOKUP(Table1316[[#This Row],[Donor Name]],'Weighted scores by indicator'!$A$7:$AO$74,36,FALSE)</f>
        <v>2.9002001067235801</v>
      </c>
      <c r="AZ6" s="61">
        <f>VLOOKUP(Table1316[[#This Row],[Donor Name]],'Weighted scores by indicator'!$A$7:$AO$74,37,FALSE)</f>
        <v>0</v>
      </c>
      <c r="BA6" s="61">
        <f>VLOOKUP(Table1316[[#This Row],[Donor Name]],'Weighted scores by indicator'!$A$7:$AO$74,38,FALSE)</f>
        <v>3.1392499999999899</v>
      </c>
      <c r="BB6" s="61">
        <f>VLOOKUP(Table1316[[#This Row],[Donor Name]],'Weighted scores by indicator'!$A$7:$AO$74,39,FALSE)</f>
        <v>4.1135000000000002</v>
      </c>
      <c r="BC6" s="111">
        <f>VLOOKUP(Table1316[[#This Row],[Donor Name]],'Weighted scores by indicator'!$A$7:$AO$74,40,FALSE)</f>
        <v>3.1361307363927402</v>
      </c>
      <c r="BD6" s="61">
        <f>COUNTIF(Table1316[[#This Row],[FOIA]:[Conditions]],"0")</f>
        <v>2</v>
      </c>
      <c r="BE6" s="61">
        <f>COUNTIF(Table1316[[#This Row],[FOIA]:[Conditions]],"&gt;0")</f>
        <v>37</v>
      </c>
      <c r="BF6" s="61"/>
      <c r="BG6" s="61">
        <f>39-SUM(Table13[[#This Row],[No of indicators not scoring on]:[No of indicators scoring on]])</f>
        <v>0</v>
      </c>
    </row>
    <row r="7" spans="1:59" x14ac:dyDescent="0.25">
      <c r="A7" s="1">
        <v>44002</v>
      </c>
      <c r="B7" s="2" t="s">
        <v>2707</v>
      </c>
      <c r="C7" s="157">
        <f>VLOOKUP(Table1316[[#This Row],[Donor Name]],'Overall scores and ranking'!$A$3:$D$72,2,FALSE)</f>
        <v>82.268961451623738</v>
      </c>
      <c r="D7" s="107">
        <f>VLOOKUP(Table1316[[#This Row],[Donor Name]],'Overall scores and ranking'!$A$3:$D$72,3,FALSE)</f>
        <v>7</v>
      </c>
      <c r="E7" s="107">
        <f>RANK(Table1316[[#This Row],[Overall Score]],Table1316[Overall Score])</f>
        <v>4</v>
      </c>
      <c r="F7" s="61" t="str">
        <f>VLOOKUP(Table1316[[#This Row],[Donor Name]],'Overall scores and ranking'!$A$3:$D$72,4,FALSE)</f>
        <v>Very good</v>
      </c>
      <c r="G7" s="109">
        <f>VLOOKUP(Table1316[[#This Row],[Donor Name]],'Wtd - IATI vs Others'!$A$5:$D$72,2,FALSE)</f>
        <v>74.323759951623742</v>
      </c>
      <c r="H7" s="61">
        <f>VLOOKUP(Table1316[[#This Row],[Donor Name]],'Wtd - IATI vs Others'!$A$5:$D$72,3,FALSE)</f>
        <v>7.9452014999999978</v>
      </c>
      <c r="I7" s="61">
        <f>VLOOKUP(Table1316[[#This Row],[Donor Name]],'Wtd scores by sub-groups'!$A$5:$K$72,2,FALSE)</f>
        <v>7.4035890000000002</v>
      </c>
      <c r="J7" s="61">
        <f>VLOOKUP(Table1316[[#This Row],[Donor Name]],'Wtd scores by sub-groups'!$A$5:$K$72,3,FALSE)</f>
        <v>12.5</v>
      </c>
      <c r="K7" s="61">
        <f>VLOOKUP(Table1316[[#This Row],[Donor Name]],'Wtd scores by sub-groups'!$A$5:$K$72,4,FALSE)</f>
        <v>9.3014677938722485</v>
      </c>
      <c r="L7" s="61">
        <f>VLOOKUP(Table1316[[#This Row],[Donor Name]],'Wtd scores by sub-groups'!$A$5:$K$72,5,FALSE)</f>
        <v>12.37636242067083</v>
      </c>
      <c r="M7" s="61">
        <f>VLOOKUP(Table1316[[#This Row],[Donor Name]],'Wtd scores by sub-groups'!$A$5:$K$72,6,FALSE)</f>
        <v>12.104544424297359</v>
      </c>
      <c r="N7" s="61">
        <f>VLOOKUP(Table1316[[#This Row],[Donor Name]],'Wtd scores by sub-groups'!$A$5:$K$72,7,FALSE)</f>
        <v>12.132107434270161</v>
      </c>
      <c r="O7" s="61">
        <f>VLOOKUP(Table1316[[#This Row],[Donor Name]],'Wtd scores by sub-groups'!$A$5:$K$72,8,FALSE)</f>
        <v>6.5535231980960997</v>
      </c>
      <c r="P7" s="61">
        <f>VLOOKUP(Table1316[[#This Row],[Donor Name]],'Wtd scores by sub-groups'!$A$5:$K$72,9,FALSE)</f>
        <v>9.8973671804170298</v>
      </c>
      <c r="Q7" s="61">
        <f>VLOOKUP(Table1316[[#This Row],[Donor Name]],'Weighted scores by indicator'!$A$7:$AO$74,2,FALSE)</f>
        <v>1.1098889999999999</v>
      </c>
      <c r="R7" s="61">
        <f>VLOOKUP(Table1316[[#This Row],[Donor Name]],'Weighted scores by indicator'!$A$7:$AO$74,3,FALSE)</f>
        <v>2.9636999999999998</v>
      </c>
      <c r="S7" s="61">
        <f>VLOOKUP(Table1316[[#This Row],[Donor Name]],'Weighted scores by indicator'!$A$7:$AO$74,4,FALSE)</f>
        <v>3.33</v>
      </c>
      <c r="T7" s="61">
        <f>VLOOKUP(Table1316[[#This Row],[Donor Name]],'Weighted scores by indicator'!$A$7:$AO$74,5,FALSE)</f>
        <v>2.5</v>
      </c>
      <c r="U7" s="61">
        <f>VLOOKUP(Table1316[[#This Row],[Donor Name]],'Weighted scores by indicator'!$A$7:$AO$74,6,FALSE)</f>
        <v>2.5</v>
      </c>
      <c r="V7" s="61">
        <f>VLOOKUP(Table1316[[#This Row],[Donor Name]],'Weighted scores by indicator'!$A$7:$AO$74,7,FALSE)</f>
        <v>2.5</v>
      </c>
      <c r="W7" s="61">
        <f>VLOOKUP(Table1316[[#This Row],[Donor Name]],'Weighted scores by indicator'!$A$7:$AO$74,8,FALSE)</f>
        <v>2.5</v>
      </c>
      <c r="X7" s="61">
        <f>VLOOKUP(Table1316[[#This Row],[Donor Name]],'Weighted scores by indicator'!$A$7:$AO$74,9,FALSE)</f>
        <v>2.5</v>
      </c>
      <c r="Y7" s="61">
        <f>VLOOKUP(Table1316[[#This Row],[Donor Name]],'Weighted scores by indicator'!$A$7:$AO$74,10,FALSE)</f>
        <v>2.78</v>
      </c>
      <c r="Z7" s="61">
        <f>VLOOKUP(Table1316[[#This Row],[Donor Name]],'Weighted scores by indicator'!$A$7:$AO$74,11,FALSE)</f>
        <v>2.3514677938722501</v>
      </c>
      <c r="AA7" s="61">
        <f>VLOOKUP(Table1316[[#This Row],[Donor Name]],'Weighted scores by indicator'!$A$7:$AO$74,12,FALSE)</f>
        <v>4.17</v>
      </c>
      <c r="AB7" s="61">
        <f>VLOOKUP(Table1316[[#This Row],[Donor Name]],'Weighted scores by indicator'!$A$7:$AO$74,13,FALSE)</f>
        <v>1.54849999999999</v>
      </c>
      <c r="AC7" s="61">
        <f>VLOOKUP(Table1316[[#This Row],[Donor Name]],'Weighted scores by indicator'!$A$7:$AO$74,14,FALSE)</f>
        <v>1.54849999999999</v>
      </c>
      <c r="AD7" s="61">
        <f>VLOOKUP(Table1316[[#This Row],[Donor Name]],'Weighted scores by indicator'!$A$7:$AO$74,15,FALSE)</f>
        <v>1.53885743427017</v>
      </c>
      <c r="AE7" s="61">
        <f>VLOOKUP(Table1316[[#This Row],[Donor Name]],'Weighted scores by indicator'!$A$7:$AO$74,16,FALSE)</f>
        <v>1.5465049864007201</v>
      </c>
      <c r="AF7" s="61">
        <f>VLOOKUP(Table1316[[#This Row],[Donor Name]],'Weighted scores by indicator'!$A$7:$AO$74,17,FALSE)</f>
        <v>1.54849999999999</v>
      </c>
      <c r="AG7" s="61">
        <f>VLOOKUP(Table1316[[#This Row],[Donor Name]],'Weighted scores by indicator'!$A$7:$AO$74,18,FALSE)</f>
        <v>1.54849999999999</v>
      </c>
      <c r="AH7" s="61">
        <f>VLOOKUP(Table1316[[#This Row],[Donor Name]],'Weighted scores by indicator'!$A$7:$AO$74,19,FALSE)</f>
        <v>1.54849999999999</v>
      </c>
      <c r="AI7" s="61">
        <f>VLOOKUP(Table1316[[#This Row],[Donor Name]],'Weighted scores by indicator'!$A$7:$AO$74,20,FALSE)</f>
        <v>1.54849999999999</v>
      </c>
      <c r="AJ7" s="61">
        <f>VLOOKUP(Table1316[[#This Row],[Donor Name]],'Weighted scores by indicator'!$A$7:$AO$74,21,FALSE)</f>
        <v>1.7669999999999999</v>
      </c>
      <c r="AK7" s="61">
        <f>VLOOKUP(Table1316[[#This Row],[Donor Name]],'Weighted scores by indicator'!$A$7:$AO$74,22,FALSE)</f>
        <v>1.7669999999999999</v>
      </c>
      <c r="AL7" s="61">
        <f>VLOOKUP(Table1316[[#This Row],[Donor Name]],'Weighted scores by indicator'!$A$7:$AO$74,23,FALSE)</f>
        <v>1.7669999999999999</v>
      </c>
      <c r="AM7" s="61">
        <f>VLOOKUP(Table1316[[#This Row],[Donor Name]],'Weighted scores by indicator'!$A$7:$AO$74,24,FALSE)</f>
        <v>1.7669999999999999</v>
      </c>
      <c r="AN7" s="61">
        <f>VLOOKUP(Table1316[[#This Row],[Donor Name]],'Weighted scores by indicator'!$A$7:$AO$74,25,FALSE)</f>
        <v>1.76662058023572</v>
      </c>
      <c r="AO7" s="61">
        <f>VLOOKUP(Table1316[[#This Row],[Donor Name]],'Weighted scores by indicator'!$A$7:$AO$74,26,FALSE)</f>
        <v>1.5029238440616399</v>
      </c>
      <c r="AP7" s="61">
        <f>VLOOKUP(Table1316[[#This Row],[Donor Name]],'Weighted scores by indicator'!$A$7:$AO$74,27,FALSE)</f>
        <v>1.7669999999999999</v>
      </c>
      <c r="AQ7" s="61">
        <f>VLOOKUP(Table1316[[#This Row],[Donor Name]],'Weighted scores by indicator'!$A$7:$AO$74,28,FALSE)</f>
        <v>1.90037307343608</v>
      </c>
      <c r="AR7" s="61">
        <f>VLOOKUP(Table1316[[#This Row],[Donor Name]],'Weighted scores by indicator'!$A$7:$AO$74,29,FALSE)</f>
        <v>2.0299999999999998</v>
      </c>
      <c r="AS7" s="61">
        <f>VLOOKUP(Table1316[[#This Row],[Donor Name]],'Weighted scores by indicator'!$A$7:$AO$74,30,FALSE)</f>
        <v>2.0393671804170399</v>
      </c>
      <c r="AT7" s="61">
        <f>VLOOKUP(Table1316[[#This Row],[Donor Name]],'Weighted scores by indicator'!$A$7:$AO$74,31,FALSE)</f>
        <v>2.0393671804170399</v>
      </c>
      <c r="AU7" s="61">
        <f>VLOOKUP(Table1316[[#This Row],[Donor Name]],'Weighted scores by indicator'!$A$7:$AO$74,32,FALSE)</f>
        <v>2.0615000000000001</v>
      </c>
      <c r="AV7" s="61">
        <f>VLOOKUP(Table1316[[#This Row],[Donor Name]],'Weighted scores by indicator'!$A$7:$AO$74,33,FALSE)</f>
        <v>2.0615000000000001</v>
      </c>
      <c r="AW7" s="61">
        <f>VLOOKUP(Table1316[[#This Row],[Donor Name]],'Weighted scores by indicator'!$A$7:$AO$74,34,FALSE)</f>
        <v>0.54161249999999905</v>
      </c>
      <c r="AX7" s="61">
        <f>VLOOKUP(Table1316[[#This Row],[Donor Name]],'Weighted scores by indicator'!$A$7:$AO$74,35,FALSE)</f>
        <v>3.0874999999999999</v>
      </c>
      <c r="AY7" s="61">
        <f>VLOOKUP(Table1316[[#This Row],[Donor Name]],'Weighted scores by indicator'!$A$7:$AO$74,36,FALSE)</f>
        <v>2.9244106980961</v>
      </c>
      <c r="AZ7" s="61">
        <f>VLOOKUP(Table1316[[#This Row],[Donor Name]],'Weighted scores by indicator'!$A$7:$AO$74,37,FALSE)</f>
        <v>0</v>
      </c>
      <c r="BA7" s="61">
        <f>VLOOKUP(Table1316[[#This Row],[Donor Name]],'Weighted scores by indicator'!$A$7:$AO$74,38,FALSE)</f>
        <v>3.0986194469628199</v>
      </c>
      <c r="BB7" s="61">
        <f>VLOOKUP(Table1316[[#This Row],[Donor Name]],'Weighted scores by indicator'!$A$7:$AO$74,39,FALSE)</f>
        <v>3.8202533998186698</v>
      </c>
      <c r="BC7" s="111">
        <f>VLOOKUP(Table1316[[#This Row],[Donor Name]],'Weighted scores by indicator'!$A$7:$AO$74,40,FALSE)</f>
        <v>2.9784943336355401</v>
      </c>
      <c r="BD7" s="61">
        <f>COUNTIF(Table1316[[#This Row],[FOIA]:[Conditions]],"0")</f>
        <v>1</v>
      </c>
      <c r="BE7" s="61">
        <f>COUNTIF(Table1316[[#This Row],[FOIA]:[Conditions]],"&gt;0")</f>
        <v>38</v>
      </c>
      <c r="BF7" s="61"/>
      <c r="BG7" s="61">
        <f>39-SUM(Table13[[#This Row],[No of indicators not scoring on]:[No of indicators scoring on]])</f>
        <v>0</v>
      </c>
    </row>
    <row r="8" spans="1:59" x14ac:dyDescent="0.25">
      <c r="A8" s="1">
        <v>46002</v>
      </c>
      <c r="B8" s="2" t="s">
        <v>2747</v>
      </c>
      <c r="C8" s="157">
        <f>VLOOKUP(Table1316[[#This Row],[Donor Name]],'Overall scores and ranking'!$A$3:$D$72,2,FALSE)</f>
        <v>74.51602883307369</v>
      </c>
      <c r="D8" s="107">
        <f>VLOOKUP(Table1316[[#This Row],[Donor Name]],'Overall scores and ranking'!$A$3:$D$72,3,FALSE)</f>
        <v>8</v>
      </c>
      <c r="E8" s="107">
        <f>RANK(Table1316[[#This Row],[Overall Score]],Table1316[Overall Score])</f>
        <v>5</v>
      </c>
      <c r="F8" s="61" t="str">
        <f>VLOOKUP(Table1316[[#This Row],[Donor Name]],'Overall scores and ranking'!$A$3:$D$72,4,FALSE)</f>
        <v>Good</v>
      </c>
      <c r="G8" s="109">
        <f>VLOOKUP(Table1316[[#This Row],[Donor Name]],'Wtd - IATI vs Others'!$A$5:$D$72,2,FALSE)</f>
        <v>66.429549333073695</v>
      </c>
      <c r="H8" s="61">
        <f>VLOOKUP(Table1316[[#This Row],[Donor Name]],'Wtd - IATI vs Others'!$A$5:$D$72,3,FALSE)</f>
        <v>8.0864794999999994</v>
      </c>
      <c r="I8" s="61">
        <f>VLOOKUP(Table1316[[#This Row],[Donor Name]],'Wtd scores by sub-groups'!$A$5:$K$72,2,FALSE)</f>
        <v>6.4598669999999991</v>
      </c>
      <c r="J8" s="61">
        <f>VLOOKUP(Table1316[[#This Row],[Donor Name]],'Wtd scores by sub-groups'!$A$5:$K$72,3,FALSE)</f>
        <v>12.45</v>
      </c>
      <c r="K8" s="61">
        <f>VLOOKUP(Table1316[[#This Row],[Donor Name]],'Wtd scores by sub-groups'!$A$5:$K$72,4,FALSE)</f>
        <v>12.51</v>
      </c>
      <c r="L8" s="61">
        <f>VLOOKUP(Table1316[[#This Row],[Donor Name]],'Wtd scores by sub-groups'!$A$5:$K$72,5,FALSE)</f>
        <v>12.042981888297811</v>
      </c>
      <c r="M8" s="61">
        <f>VLOOKUP(Table1316[[#This Row],[Donor Name]],'Wtd scores by sub-groups'!$A$5:$K$72,6,FALSE)</f>
        <v>11.962008749999979</v>
      </c>
      <c r="N8" s="61">
        <f>VLOOKUP(Table1316[[#This Row],[Donor Name]],'Wtd scores by sub-groups'!$A$5:$K$72,7,FALSE)</f>
        <v>5.7476496322759196</v>
      </c>
      <c r="O8" s="61">
        <f>VLOOKUP(Table1316[[#This Row],[Donor Name]],'Wtd scores by sub-groups'!$A$5:$K$72,8,FALSE)</f>
        <v>6.4259406249999991</v>
      </c>
      <c r="P8" s="61">
        <f>VLOOKUP(Table1316[[#This Row],[Donor Name]],'Wtd scores by sub-groups'!$A$5:$K$72,9,FALSE)</f>
        <v>6.9175809374999799</v>
      </c>
      <c r="Q8" s="61">
        <f>VLOOKUP(Table1316[[#This Row],[Donor Name]],'Weighted scores by indicator'!$A$7:$AO$74,2,FALSE)</f>
        <v>2.2197779999999998</v>
      </c>
      <c r="R8" s="61">
        <f>VLOOKUP(Table1316[[#This Row],[Donor Name]],'Weighted scores by indicator'!$A$7:$AO$74,3,FALSE)</f>
        <v>3.1301999999999999</v>
      </c>
      <c r="S8" s="61">
        <f>VLOOKUP(Table1316[[#This Row],[Donor Name]],'Weighted scores by indicator'!$A$7:$AO$74,4,FALSE)</f>
        <v>1.1098889999999999</v>
      </c>
      <c r="T8" s="61">
        <f>VLOOKUP(Table1316[[#This Row],[Donor Name]],'Weighted scores by indicator'!$A$7:$AO$74,5,FALSE)</f>
        <v>2.5</v>
      </c>
      <c r="U8" s="61">
        <f>VLOOKUP(Table1316[[#This Row],[Donor Name]],'Weighted scores by indicator'!$A$7:$AO$74,6,FALSE)</f>
        <v>2.5</v>
      </c>
      <c r="V8" s="61">
        <f>VLOOKUP(Table1316[[#This Row],[Donor Name]],'Weighted scores by indicator'!$A$7:$AO$74,7,FALSE)</f>
        <v>2.5</v>
      </c>
      <c r="W8" s="61">
        <f>VLOOKUP(Table1316[[#This Row],[Donor Name]],'Weighted scores by indicator'!$A$7:$AO$74,8,FALSE)</f>
        <v>2.5</v>
      </c>
      <c r="X8" s="61">
        <f>VLOOKUP(Table1316[[#This Row],[Donor Name]],'Weighted scores by indicator'!$A$7:$AO$74,9,FALSE)</f>
        <v>2.4500000000000002</v>
      </c>
      <c r="Y8" s="61">
        <f>VLOOKUP(Table1316[[#This Row],[Donor Name]],'Weighted scores by indicator'!$A$7:$AO$74,10,FALSE)</f>
        <v>4.17</v>
      </c>
      <c r="Z8" s="61">
        <f>VLOOKUP(Table1316[[#This Row],[Donor Name]],'Weighted scores by indicator'!$A$7:$AO$74,11,FALSE)</f>
        <v>4.17</v>
      </c>
      <c r="AA8" s="61">
        <f>VLOOKUP(Table1316[[#This Row],[Donor Name]],'Weighted scores by indicator'!$A$7:$AO$74,12,FALSE)</f>
        <v>4.17</v>
      </c>
      <c r="AB8" s="61">
        <f>VLOOKUP(Table1316[[#This Row],[Donor Name]],'Weighted scores by indicator'!$A$7:$AO$74,13,FALSE)</f>
        <v>1.5274118750000001</v>
      </c>
      <c r="AC8" s="61">
        <f>VLOOKUP(Table1316[[#This Row],[Donor Name]],'Weighted scores by indicator'!$A$7:$AO$74,14,FALSE)</f>
        <v>1.54849999999999</v>
      </c>
      <c r="AD8" s="61">
        <f>VLOOKUP(Table1316[[#This Row],[Donor Name]],'Weighted scores by indicator'!$A$7:$AO$74,15,FALSE)</f>
        <v>1.5452909374999899</v>
      </c>
      <c r="AE8" s="61">
        <f>VLOOKUP(Table1316[[#This Row],[Donor Name]],'Weighted scores by indicator'!$A$7:$AO$74,16,FALSE)</f>
        <v>1.3536640624999901</v>
      </c>
      <c r="AF8" s="61">
        <f>VLOOKUP(Table1316[[#This Row],[Donor Name]],'Weighted scores by indicator'!$A$7:$AO$74,17,FALSE)</f>
        <v>1.54299874999999</v>
      </c>
      <c r="AG8" s="61">
        <f>VLOOKUP(Table1316[[#This Row],[Donor Name]],'Weighted scores by indicator'!$A$7:$AO$74,18,FALSE)</f>
        <v>1.4281162632978699</v>
      </c>
      <c r="AH8" s="61">
        <f>VLOOKUP(Table1316[[#This Row],[Donor Name]],'Weighted scores by indicator'!$A$7:$AO$74,19,FALSE)</f>
        <v>1.54849999999999</v>
      </c>
      <c r="AI8" s="61">
        <f>VLOOKUP(Table1316[[#This Row],[Donor Name]],'Weighted scores by indicator'!$A$7:$AO$74,20,FALSE)</f>
        <v>1.54849999999999</v>
      </c>
      <c r="AJ8" s="61">
        <f>VLOOKUP(Table1316[[#This Row],[Donor Name]],'Weighted scores by indicator'!$A$7:$AO$74,21,FALSE)</f>
        <v>1.7669999999999999</v>
      </c>
      <c r="AK8" s="61">
        <f>VLOOKUP(Table1316[[#This Row],[Donor Name]],'Weighted scores by indicator'!$A$7:$AO$74,22,FALSE)</f>
        <v>1.7669999999999999</v>
      </c>
      <c r="AL8" s="61">
        <f>VLOOKUP(Table1316[[#This Row],[Donor Name]],'Weighted scores by indicator'!$A$7:$AO$74,23,FALSE)</f>
        <v>1.75444499999999</v>
      </c>
      <c r="AM8" s="61">
        <f>VLOOKUP(Table1316[[#This Row],[Donor Name]],'Weighted scores by indicator'!$A$7:$AO$74,24,FALSE)</f>
        <v>1.75444499999999</v>
      </c>
      <c r="AN8" s="61">
        <f>VLOOKUP(Table1316[[#This Row],[Donor Name]],'Weighted scores by indicator'!$A$7:$AO$74,25,FALSE)</f>
        <v>1.7669999999999999</v>
      </c>
      <c r="AO8" s="61">
        <f>VLOOKUP(Table1316[[#This Row],[Donor Name]],'Weighted scores by indicator'!$A$7:$AO$74,26,FALSE)</f>
        <v>1.38511875</v>
      </c>
      <c r="AP8" s="61">
        <f>VLOOKUP(Table1316[[#This Row],[Donor Name]],'Weighted scores by indicator'!$A$7:$AO$74,27,FALSE)</f>
        <v>1.7669999999999999</v>
      </c>
      <c r="AQ8" s="61">
        <f>VLOOKUP(Table1316[[#This Row],[Donor Name]],'Weighted scores by indicator'!$A$7:$AO$74,28,FALSE)</f>
        <v>0</v>
      </c>
      <c r="AR8" s="61">
        <f>VLOOKUP(Table1316[[#This Row],[Donor Name]],'Weighted scores by indicator'!$A$7:$AO$74,29,FALSE)</f>
        <v>1.1784946808510599</v>
      </c>
      <c r="AS8" s="61">
        <f>VLOOKUP(Table1316[[#This Row],[Donor Name]],'Weighted scores by indicator'!$A$7:$AO$74,30,FALSE)</f>
        <v>1.183870625</v>
      </c>
      <c r="AT8" s="61">
        <f>VLOOKUP(Table1316[[#This Row],[Donor Name]],'Weighted scores by indicator'!$A$7:$AO$74,31,FALSE)</f>
        <v>1.17860233160621</v>
      </c>
      <c r="AU8" s="61">
        <f>VLOOKUP(Table1316[[#This Row],[Donor Name]],'Weighted scores by indicator'!$A$7:$AO$74,32,FALSE)</f>
        <v>1.085</v>
      </c>
      <c r="AV8" s="61">
        <f>VLOOKUP(Table1316[[#This Row],[Donor Name]],'Weighted scores by indicator'!$A$7:$AO$74,33,FALSE)</f>
        <v>1.1216819948186501</v>
      </c>
      <c r="AW8" s="61">
        <f>VLOOKUP(Table1316[[#This Row],[Donor Name]],'Weighted scores by indicator'!$A$7:$AO$74,34,FALSE)</f>
        <v>0.54161249999999905</v>
      </c>
      <c r="AX8" s="61">
        <f>VLOOKUP(Table1316[[#This Row],[Donor Name]],'Weighted scores by indicator'!$A$7:$AO$74,35,FALSE)</f>
        <v>3.0874999999999999</v>
      </c>
      <c r="AY8" s="61">
        <f>VLOOKUP(Table1316[[#This Row],[Donor Name]],'Weighted scores by indicator'!$A$7:$AO$74,36,FALSE)</f>
        <v>2.7968281250000002</v>
      </c>
      <c r="AZ8" s="61">
        <f>VLOOKUP(Table1316[[#This Row],[Donor Name]],'Weighted scores by indicator'!$A$7:$AO$74,37,FALSE)</f>
        <v>0</v>
      </c>
      <c r="BA8" s="61">
        <f>VLOOKUP(Table1316[[#This Row],[Donor Name]],'Weighted scores by indicator'!$A$7:$AO$74,38,FALSE)</f>
        <v>2.2916524999999899</v>
      </c>
      <c r="BB8" s="61">
        <f>VLOOKUP(Table1316[[#This Row],[Donor Name]],'Weighted scores by indicator'!$A$7:$AO$74,39,FALSE)</f>
        <v>2.36228562499999</v>
      </c>
      <c r="BC8" s="111">
        <f>VLOOKUP(Table1316[[#This Row],[Donor Name]],'Weighted scores by indicator'!$A$7:$AO$74,40,FALSE)</f>
        <v>2.2636428125000001</v>
      </c>
      <c r="BD8" s="61">
        <f>COUNTIF(Table1316[[#This Row],[FOIA]:[Conditions]],"0")</f>
        <v>2</v>
      </c>
      <c r="BE8" s="61">
        <f>COUNTIF(Table1316[[#This Row],[FOIA]:[Conditions]],"&gt;0")</f>
        <v>37</v>
      </c>
      <c r="BF8" s="61"/>
      <c r="BG8" s="61">
        <f>39-SUM(Table13[[#This Row],[No of indicators not scoring on]:[No of indicators scoring on]])</f>
        <v>0</v>
      </c>
    </row>
    <row r="9" spans="1:59" x14ac:dyDescent="0.25">
      <c r="A9" s="1">
        <v>46012</v>
      </c>
      <c r="B9" s="2" t="s">
        <v>951</v>
      </c>
      <c r="C9" s="157">
        <f>VLOOKUP(Table1316[[#This Row],[Donor Name]],'Overall scores and ranking'!$A$3:$D$72,2,FALSE)</f>
        <v>73.917398103455028</v>
      </c>
      <c r="D9" s="107">
        <f>VLOOKUP(Table1316[[#This Row],[Donor Name]],'Overall scores and ranking'!$A$3:$D$72,3,FALSE)</f>
        <v>9</v>
      </c>
      <c r="E9" s="107">
        <f>RANK(Table1316[[#This Row],[Overall Score]],Table1316[Overall Score])</f>
        <v>6</v>
      </c>
      <c r="F9" s="61" t="str">
        <f>VLOOKUP(Table1316[[#This Row],[Donor Name]],'Overall scores and ranking'!$A$3:$D$72,4,FALSE)</f>
        <v>Good</v>
      </c>
      <c r="G9" s="109">
        <f>VLOOKUP(Table1316[[#This Row],[Donor Name]],'Wtd - IATI vs Others'!$A$5:$D$72,2,FALSE)</f>
        <v>67.196887603455025</v>
      </c>
      <c r="H9" s="61">
        <f>VLOOKUP(Table1316[[#This Row],[Donor Name]],'Wtd - IATI vs Others'!$A$5:$D$72,3,FALSE)</f>
        <v>6.7205104999999996</v>
      </c>
      <c r="I9" s="61">
        <f>VLOOKUP(Table1316[[#This Row],[Donor Name]],'Wtd scores by sub-groups'!$A$5:$K$72,2,FALSE)</f>
        <v>5.7938669999999997</v>
      </c>
      <c r="J9" s="61">
        <f>VLOOKUP(Table1316[[#This Row],[Donor Name]],'Wtd scores by sub-groups'!$A$5:$K$72,3,FALSE)</f>
        <v>12.5</v>
      </c>
      <c r="K9" s="61">
        <f>VLOOKUP(Table1316[[#This Row],[Donor Name]],'Wtd scores by sub-groups'!$A$5:$K$72,4,FALSE)</f>
        <v>5.0966434999999999</v>
      </c>
      <c r="L9" s="61">
        <f>VLOOKUP(Table1316[[#This Row],[Donor Name]],'Wtd scores by sub-groups'!$A$5:$K$72,5,FALSE)</f>
        <v>11.97383142107487</v>
      </c>
      <c r="M9" s="61">
        <f>VLOOKUP(Table1316[[#This Row],[Donor Name]],'Wtd scores by sub-groups'!$A$5:$K$72,6,FALSE)</f>
        <v>10.583241885625959</v>
      </c>
      <c r="N9" s="61">
        <f>VLOOKUP(Table1316[[#This Row],[Donor Name]],'Wtd scores by sub-groups'!$A$5:$K$72,7,FALSE)</f>
        <v>10.699718856259629</v>
      </c>
      <c r="O9" s="61">
        <f>VLOOKUP(Table1316[[#This Row],[Donor Name]],'Wtd scores by sub-groups'!$A$5:$K$72,8,FALSE)</f>
        <v>6.0303323029366194</v>
      </c>
      <c r="P9" s="61">
        <f>VLOOKUP(Table1316[[#This Row],[Donor Name]],'Wtd scores by sub-groups'!$A$5:$K$72,9,FALSE)</f>
        <v>11.23976313755794</v>
      </c>
      <c r="Q9" s="61">
        <f>VLOOKUP(Table1316[[#This Row],[Donor Name]],'Weighted scores by indicator'!$A$7:$AO$74,2,FALSE)</f>
        <v>2.2197779999999998</v>
      </c>
      <c r="R9" s="61">
        <f>VLOOKUP(Table1316[[#This Row],[Donor Name]],'Weighted scores by indicator'!$A$7:$AO$74,3,FALSE)</f>
        <v>2.4641999999999999</v>
      </c>
      <c r="S9" s="61">
        <f>VLOOKUP(Table1316[[#This Row],[Donor Name]],'Weighted scores by indicator'!$A$7:$AO$74,4,FALSE)</f>
        <v>1.1098889999999999</v>
      </c>
      <c r="T9" s="61">
        <f>VLOOKUP(Table1316[[#This Row],[Donor Name]],'Weighted scores by indicator'!$A$7:$AO$74,5,FALSE)</f>
        <v>2.5</v>
      </c>
      <c r="U9" s="61">
        <f>VLOOKUP(Table1316[[#This Row],[Donor Name]],'Weighted scores by indicator'!$A$7:$AO$74,6,FALSE)</f>
        <v>2.5</v>
      </c>
      <c r="V9" s="61">
        <f>VLOOKUP(Table1316[[#This Row],[Donor Name]],'Weighted scores by indicator'!$A$7:$AO$74,7,FALSE)</f>
        <v>2.5</v>
      </c>
      <c r="W9" s="61">
        <f>VLOOKUP(Table1316[[#This Row],[Donor Name]],'Weighted scores by indicator'!$A$7:$AO$74,8,FALSE)</f>
        <v>2.5</v>
      </c>
      <c r="X9" s="61">
        <f>VLOOKUP(Table1316[[#This Row],[Donor Name]],'Weighted scores by indicator'!$A$7:$AO$74,9,FALSE)</f>
        <v>2.5</v>
      </c>
      <c r="Y9" s="61">
        <f>VLOOKUP(Table1316[[#This Row],[Donor Name]],'Weighted scores by indicator'!$A$7:$AO$74,10,FALSE)</f>
        <v>0.2316435</v>
      </c>
      <c r="Z9" s="61">
        <f>VLOOKUP(Table1316[[#This Row],[Donor Name]],'Weighted scores by indicator'!$A$7:$AO$74,11,FALSE)</f>
        <v>0.69499999999999995</v>
      </c>
      <c r="AA9" s="61">
        <f>VLOOKUP(Table1316[[#This Row],[Donor Name]],'Weighted scores by indicator'!$A$7:$AO$74,12,FALSE)</f>
        <v>4.17</v>
      </c>
      <c r="AB9" s="61">
        <f>VLOOKUP(Table1316[[#This Row],[Donor Name]],'Weighted scores by indicator'!$A$7:$AO$74,13,FALSE)</f>
        <v>1.54849999999999</v>
      </c>
      <c r="AC9" s="61">
        <f>VLOOKUP(Table1316[[#This Row],[Donor Name]],'Weighted scores by indicator'!$A$7:$AO$74,14,FALSE)</f>
        <v>1.54849999999999</v>
      </c>
      <c r="AD9" s="61">
        <f>VLOOKUP(Table1316[[#This Row],[Donor Name]],'Weighted scores by indicator'!$A$7:$AO$74,15,FALSE)</f>
        <v>1.54849999999999</v>
      </c>
      <c r="AE9" s="61">
        <f>VLOOKUP(Table1316[[#This Row],[Donor Name]],'Weighted scores by indicator'!$A$7:$AO$74,16,FALSE)</f>
        <v>1.54566576506955</v>
      </c>
      <c r="AF9" s="61">
        <f>VLOOKUP(Table1316[[#This Row],[Donor Name]],'Weighted scores by indicator'!$A$7:$AO$74,17,FALSE)</f>
        <v>1.1817499999999901</v>
      </c>
      <c r="AG9" s="61">
        <f>VLOOKUP(Table1316[[#This Row],[Donor Name]],'Weighted scores by indicator'!$A$7:$AO$74,18,FALSE)</f>
        <v>1.5039156560053799</v>
      </c>
      <c r="AH9" s="61">
        <f>VLOOKUP(Table1316[[#This Row],[Donor Name]],'Weighted scores by indicator'!$A$7:$AO$74,19,FALSE)</f>
        <v>1.54849999999999</v>
      </c>
      <c r="AI9" s="61">
        <f>VLOOKUP(Table1316[[#This Row],[Donor Name]],'Weighted scores by indicator'!$A$7:$AO$74,20,FALSE)</f>
        <v>1.54849999999999</v>
      </c>
      <c r="AJ9" s="61">
        <f>VLOOKUP(Table1316[[#This Row],[Donor Name]],'Weighted scores by indicator'!$A$7:$AO$74,21,FALSE)</f>
        <v>1.7669999999999999</v>
      </c>
      <c r="AK9" s="61">
        <f>VLOOKUP(Table1316[[#This Row],[Donor Name]],'Weighted scores by indicator'!$A$7:$AO$74,22,FALSE)</f>
        <v>1.7482418856259601</v>
      </c>
      <c r="AL9" s="61">
        <f>VLOOKUP(Table1316[[#This Row],[Donor Name]],'Weighted scores by indicator'!$A$7:$AO$74,23,FALSE)</f>
        <v>1.7669999999999999</v>
      </c>
      <c r="AM9" s="61">
        <f>VLOOKUP(Table1316[[#This Row],[Donor Name]],'Weighted scores by indicator'!$A$7:$AO$74,24,FALSE)</f>
        <v>1.7669999999999999</v>
      </c>
      <c r="AN9" s="61">
        <f>VLOOKUP(Table1316[[#This Row],[Donor Name]],'Weighted scores by indicator'!$A$7:$AO$74,25,FALSE)</f>
        <v>1.7669999999999999</v>
      </c>
      <c r="AO9" s="61">
        <f>VLOOKUP(Table1316[[#This Row],[Donor Name]],'Weighted scores by indicator'!$A$7:$AO$74,26,FALSE)</f>
        <v>0</v>
      </c>
      <c r="AP9" s="61">
        <f>VLOOKUP(Table1316[[#This Row],[Donor Name]],'Weighted scores by indicator'!$A$7:$AO$74,27,FALSE)</f>
        <v>1.7669999999999999</v>
      </c>
      <c r="AQ9" s="61">
        <f>VLOOKUP(Table1316[[#This Row],[Donor Name]],'Weighted scores by indicator'!$A$7:$AO$74,28,FALSE)</f>
        <v>1.34006723338485</v>
      </c>
      <c r="AR9" s="61">
        <f>VLOOKUP(Table1316[[#This Row],[Donor Name]],'Weighted scores by indicator'!$A$7:$AO$74,29,FALSE)</f>
        <v>1.8725000000000001</v>
      </c>
      <c r="AS9" s="61">
        <f>VLOOKUP(Table1316[[#This Row],[Donor Name]],'Weighted scores by indicator'!$A$7:$AO$74,30,FALSE)</f>
        <v>2.0373516228747999</v>
      </c>
      <c r="AT9" s="61">
        <f>VLOOKUP(Table1316[[#This Row],[Donor Name]],'Weighted scores by indicator'!$A$7:$AO$74,31,FALSE)</f>
        <v>2.05994999999999</v>
      </c>
      <c r="AU9" s="61">
        <f>VLOOKUP(Table1316[[#This Row],[Donor Name]],'Weighted scores by indicator'!$A$7:$AO$74,32,FALSE)</f>
        <v>2.0304999999999902</v>
      </c>
      <c r="AV9" s="61">
        <f>VLOOKUP(Table1316[[#This Row],[Donor Name]],'Weighted scores by indicator'!$A$7:$AO$74,33,FALSE)</f>
        <v>1.3593500000000001</v>
      </c>
      <c r="AW9" s="61">
        <f>VLOOKUP(Table1316[[#This Row],[Donor Name]],'Weighted scores by indicator'!$A$7:$AO$74,34,FALSE)</f>
        <v>0</v>
      </c>
      <c r="AX9" s="61">
        <f>VLOOKUP(Table1316[[#This Row],[Donor Name]],'Weighted scores by indicator'!$A$7:$AO$74,35,FALSE)</f>
        <v>3.0852395672333799</v>
      </c>
      <c r="AY9" s="61">
        <f>VLOOKUP(Table1316[[#This Row],[Donor Name]],'Weighted scores by indicator'!$A$7:$AO$74,36,FALSE)</f>
        <v>2.9450927357032399</v>
      </c>
      <c r="AZ9" s="61">
        <f>VLOOKUP(Table1316[[#This Row],[Donor Name]],'Weighted scores by indicator'!$A$7:$AO$74,37,FALSE)</f>
        <v>0</v>
      </c>
      <c r="BA9" s="61">
        <f>VLOOKUP(Table1316[[#This Row],[Donor Name]],'Weighted scores by indicator'!$A$7:$AO$74,38,FALSE)</f>
        <v>3.04739644513137</v>
      </c>
      <c r="BB9" s="61">
        <f>VLOOKUP(Table1316[[#This Row],[Donor Name]],'Weighted scores by indicator'!$A$7:$AO$74,39,FALSE)</f>
        <v>4.1104884080370896</v>
      </c>
      <c r="BC9" s="111">
        <f>VLOOKUP(Table1316[[#This Row],[Donor Name]],'Weighted scores by indicator'!$A$7:$AO$74,40,FALSE)</f>
        <v>4.0818782843894796</v>
      </c>
      <c r="BD9" s="61">
        <f>COUNTIF(Table1316[[#This Row],[FOIA]:[Conditions]],"0")</f>
        <v>3</v>
      </c>
      <c r="BE9" s="61">
        <f>COUNTIF(Table1316[[#This Row],[FOIA]:[Conditions]],"&gt;0")</f>
        <v>36</v>
      </c>
      <c r="BF9" s="61"/>
      <c r="BG9" s="61">
        <f>39-SUM(Table13[[#This Row],[No of indicators not scoring on]:[No of indicators scoring on]])</f>
        <v>0</v>
      </c>
    </row>
    <row r="10" spans="1:59" x14ac:dyDescent="0.25">
      <c r="A10" s="3">
        <v>47045</v>
      </c>
      <c r="B10" s="4" t="s">
        <v>1238</v>
      </c>
      <c r="C10" s="157">
        <f>VLOOKUP(Table1316[[#This Row],[Donor Name]],'Overall scores and ranking'!$A$3:$D$72,2,FALSE)</f>
        <v>73.298105355600043</v>
      </c>
      <c r="D10" s="107">
        <f>VLOOKUP(Table1316[[#This Row],[Donor Name]],'Overall scores and ranking'!$A$3:$D$72,3,FALSE)</f>
        <v>10</v>
      </c>
      <c r="E10" s="107">
        <f>RANK(Table1316[[#This Row],[Overall Score]],Table1316[Overall Score])</f>
        <v>7</v>
      </c>
      <c r="F10" s="61" t="str">
        <f>VLOOKUP(Table1316[[#This Row],[Donor Name]],'Overall scores and ranking'!$A$3:$D$72,4,FALSE)</f>
        <v>Good</v>
      </c>
      <c r="G10" s="109">
        <f>VLOOKUP(Table1316[[#This Row],[Donor Name]],'Wtd - IATI vs Others'!$A$5:$D$72,2,FALSE)</f>
        <v>61.172525855600043</v>
      </c>
      <c r="H10" s="109">
        <f>VLOOKUP(Table1316[[#This Row],[Donor Name]],'Wtd - IATI vs Others'!$A$5:$D$72,3,FALSE)</f>
        <v>12.125579499999999</v>
      </c>
      <c r="I10" s="61">
        <f>VLOOKUP(Table1316[[#This Row],[Donor Name]],'Wtd scores by sub-groups'!$A$5:$K$72,2,FALSE)</f>
        <v>5.6939669999999998</v>
      </c>
      <c r="J10" s="61">
        <f>VLOOKUP(Table1316[[#This Row],[Donor Name]],'Wtd scores by sub-groups'!$A$5:$K$72,3,FALSE)</f>
        <v>8.75</v>
      </c>
      <c r="K10" s="61">
        <f>VLOOKUP(Table1316[[#This Row],[Donor Name]],'Wtd scores by sub-groups'!$A$5:$K$72,4,FALSE)</f>
        <v>5.5600000000000005</v>
      </c>
      <c r="L10" s="61">
        <f>VLOOKUP(Table1316[[#This Row],[Donor Name]],'Wtd scores by sub-groups'!$A$5:$K$72,5,FALSE)</f>
        <v>12.863032445923441</v>
      </c>
      <c r="M10" s="61">
        <f>VLOOKUP(Table1316[[#This Row],[Donor Name]],'Wtd scores by sub-groups'!$A$5:$K$72,6,FALSE)</f>
        <v>11.159999999999942</v>
      </c>
      <c r="N10" s="61">
        <f>VLOOKUP(Table1316[[#This Row],[Donor Name]],'Wtd scores by sub-groups'!$A$5:$K$72,7,FALSE)</f>
        <v>11.57290855110762</v>
      </c>
      <c r="O10" s="61">
        <f>VLOOKUP(Table1316[[#This Row],[Donor Name]],'Wtd scores by sub-groups'!$A$5:$K$72,8,FALSE)</f>
        <v>7.0335010191347695</v>
      </c>
      <c r="P10" s="61">
        <f>VLOOKUP(Table1316[[#This Row],[Donor Name]],'Wtd scores by sub-groups'!$A$5:$K$72,9,FALSE)</f>
        <v>10.664696339434268</v>
      </c>
      <c r="Q10" s="61">
        <f>VLOOKUP(Table1316[[#This Row],[Donor Name]],'Weighted scores by indicator'!$A$7:$AO$74,2,FALSE)</f>
        <v>1.1098889999999999</v>
      </c>
      <c r="R10" s="61">
        <f>VLOOKUP(Table1316[[#This Row],[Donor Name]],'Weighted scores by indicator'!$A$7:$AO$74,3,FALSE)</f>
        <v>2.3643000000000001</v>
      </c>
      <c r="S10" s="61">
        <f>VLOOKUP(Table1316[[#This Row],[Donor Name]],'Weighted scores by indicator'!$A$7:$AO$74,4,FALSE)</f>
        <v>2.2197779999999998</v>
      </c>
      <c r="T10" s="61">
        <f>VLOOKUP(Table1316[[#This Row],[Donor Name]],'Weighted scores by indicator'!$A$7:$AO$74,5,FALSE)</f>
        <v>2.5</v>
      </c>
      <c r="U10" s="61">
        <f>VLOOKUP(Table1316[[#This Row],[Donor Name]],'Weighted scores by indicator'!$A$7:$AO$74,6,FALSE)</f>
        <v>1.25</v>
      </c>
      <c r="V10" s="61">
        <f>VLOOKUP(Table1316[[#This Row],[Donor Name]],'Weighted scores by indicator'!$A$7:$AO$74,7,FALSE)</f>
        <v>2.5</v>
      </c>
      <c r="W10" s="61">
        <f>VLOOKUP(Table1316[[#This Row],[Donor Name]],'Weighted scores by indicator'!$A$7:$AO$74,8,FALSE)</f>
        <v>2.5</v>
      </c>
      <c r="X10" s="61">
        <f>VLOOKUP(Table1316[[#This Row],[Donor Name]],'Weighted scores by indicator'!$A$7:$AO$74,9,FALSE)</f>
        <v>0</v>
      </c>
      <c r="Y10" s="61">
        <f>VLOOKUP(Table1316[[#This Row],[Donor Name]],'Weighted scores by indicator'!$A$7:$AO$74,10,FALSE)</f>
        <v>0.69499999999999995</v>
      </c>
      <c r="Z10" s="61">
        <f>VLOOKUP(Table1316[[#This Row],[Donor Name]],'Weighted scores by indicator'!$A$7:$AO$74,11,FALSE)</f>
        <v>0.69499999999999995</v>
      </c>
      <c r="AA10" s="61">
        <f>VLOOKUP(Table1316[[#This Row],[Donor Name]],'Weighted scores by indicator'!$A$7:$AO$74,12,FALSE)</f>
        <v>4.17</v>
      </c>
      <c r="AB10" s="61">
        <f>VLOOKUP(Table1316[[#This Row],[Donor Name]],'Weighted scores by indicator'!$A$7:$AO$74,13,FALSE)</f>
        <v>1.63</v>
      </c>
      <c r="AC10" s="61">
        <f>VLOOKUP(Table1316[[#This Row],[Donor Name]],'Weighted scores by indicator'!$A$7:$AO$74,14,FALSE)</f>
        <v>1.63</v>
      </c>
      <c r="AD10" s="61">
        <f>VLOOKUP(Table1316[[#This Row],[Donor Name]],'Weighted scores by indicator'!$A$7:$AO$74,15,FALSE)</f>
        <v>1.59135191347753</v>
      </c>
      <c r="AE10" s="61">
        <f>VLOOKUP(Table1316[[#This Row],[Donor Name]],'Weighted scores by indicator'!$A$7:$AO$74,16,FALSE)</f>
        <v>1.4916805324459199</v>
      </c>
      <c r="AF10" s="61">
        <f>VLOOKUP(Table1316[[#This Row],[Donor Name]],'Weighted scores by indicator'!$A$7:$AO$74,17,FALSE)</f>
        <v>1.63</v>
      </c>
      <c r="AG10" s="61">
        <f>VLOOKUP(Table1316[[#This Row],[Donor Name]],'Weighted scores by indicator'!$A$7:$AO$74,18,FALSE)</f>
        <v>1.6299999999999899</v>
      </c>
      <c r="AH10" s="61">
        <f>VLOOKUP(Table1316[[#This Row],[Donor Name]],'Weighted scores by indicator'!$A$7:$AO$74,19,FALSE)</f>
        <v>1.63</v>
      </c>
      <c r="AI10" s="61">
        <f>VLOOKUP(Table1316[[#This Row],[Donor Name]],'Weighted scores by indicator'!$A$7:$AO$74,20,FALSE)</f>
        <v>1.63</v>
      </c>
      <c r="AJ10" s="61">
        <f>VLOOKUP(Table1316[[#This Row],[Donor Name]],'Weighted scores by indicator'!$A$7:$AO$74,21,FALSE)</f>
        <v>1.8599999999999901</v>
      </c>
      <c r="AK10" s="61">
        <f>VLOOKUP(Table1316[[#This Row],[Donor Name]],'Weighted scores by indicator'!$A$7:$AO$74,22,FALSE)</f>
        <v>1.8599999999999901</v>
      </c>
      <c r="AL10" s="61">
        <f>VLOOKUP(Table1316[[#This Row],[Donor Name]],'Weighted scores by indicator'!$A$7:$AO$74,23,FALSE)</f>
        <v>1.8599999999999901</v>
      </c>
      <c r="AM10" s="61">
        <f>VLOOKUP(Table1316[[#This Row],[Donor Name]],'Weighted scores by indicator'!$A$7:$AO$74,24,FALSE)</f>
        <v>1.8599999999999901</v>
      </c>
      <c r="AN10" s="61">
        <f>VLOOKUP(Table1316[[#This Row],[Donor Name]],'Weighted scores by indicator'!$A$7:$AO$74,25,FALSE)</f>
        <v>1.8599999999999901</v>
      </c>
      <c r="AO10" s="61">
        <f>VLOOKUP(Table1316[[#This Row],[Donor Name]],'Weighted scores by indicator'!$A$7:$AO$74,26,FALSE)</f>
        <v>0</v>
      </c>
      <c r="AP10" s="61">
        <f>VLOOKUP(Table1316[[#This Row],[Donor Name]],'Weighted scores by indicator'!$A$7:$AO$74,27,FALSE)</f>
        <v>1.8599999999999901</v>
      </c>
      <c r="AQ10" s="61">
        <f>VLOOKUP(Table1316[[#This Row],[Donor Name]],'Weighted scores by indicator'!$A$7:$AO$74,28,FALSE)</f>
        <v>1.9912728785357701</v>
      </c>
      <c r="AR10" s="61">
        <f>VLOOKUP(Table1316[[#This Row],[Donor Name]],'Weighted scores by indicator'!$A$7:$AO$74,29,FALSE)</f>
        <v>2.1274509803921502</v>
      </c>
      <c r="AS10" s="61">
        <f>VLOOKUP(Table1316[[#This Row],[Donor Name]],'Weighted scores by indicator'!$A$7:$AO$74,30,FALSE)</f>
        <v>2.1230615640599</v>
      </c>
      <c r="AT10" s="61">
        <f>VLOOKUP(Table1316[[#This Row],[Donor Name]],'Weighted scores by indicator'!$A$7:$AO$74,31,FALSE)</f>
        <v>2.1230615640599</v>
      </c>
      <c r="AU10" s="61">
        <f>VLOOKUP(Table1316[[#This Row],[Donor Name]],'Weighted scores by indicator'!$A$7:$AO$74,32,FALSE)</f>
        <v>2.1230615640599</v>
      </c>
      <c r="AV10" s="61">
        <f>VLOOKUP(Table1316[[#This Row],[Donor Name]],'Weighted scores by indicator'!$A$7:$AO$74,33,FALSE)</f>
        <v>1.085</v>
      </c>
      <c r="AW10" s="61">
        <f>VLOOKUP(Table1316[[#This Row],[Donor Name]],'Weighted scores by indicator'!$A$7:$AO$74,34,FALSE)</f>
        <v>0.54161249999999905</v>
      </c>
      <c r="AX10" s="61">
        <f>VLOOKUP(Table1316[[#This Row],[Donor Name]],'Weighted scores by indicator'!$A$7:$AO$74,35,FALSE)</f>
        <v>3.2472961730449201</v>
      </c>
      <c r="AY10" s="61">
        <f>VLOOKUP(Table1316[[#This Row],[Donor Name]],'Weighted scores by indicator'!$A$7:$AO$74,36,FALSE)</f>
        <v>3.24459234608985</v>
      </c>
      <c r="AZ10" s="61">
        <f>VLOOKUP(Table1316[[#This Row],[Donor Name]],'Weighted scores by indicator'!$A$7:$AO$74,37,FALSE)</f>
        <v>0</v>
      </c>
      <c r="BA10" s="61">
        <f>VLOOKUP(Table1316[[#This Row],[Donor Name]],'Weighted scores by indicator'!$A$7:$AO$74,38,FALSE)</f>
        <v>4.2165266222961701</v>
      </c>
      <c r="BB10" s="61">
        <f>VLOOKUP(Table1316[[#This Row],[Donor Name]],'Weighted scores by indicator'!$A$7:$AO$74,39,FALSE)</f>
        <v>2.165</v>
      </c>
      <c r="BC10" s="111">
        <f>VLOOKUP(Table1316[[#This Row],[Donor Name]],'Weighted scores by indicator'!$A$7:$AO$74,40,FALSE)</f>
        <v>4.2831697171381</v>
      </c>
      <c r="BD10" s="61">
        <f>COUNTIF(Table1316[[#This Row],[FOIA]:[Conditions]],"0")</f>
        <v>3</v>
      </c>
      <c r="BE10" s="61">
        <f>COUNTIF(Table1316[[#This Row],[FOIA]:[Conditions]],"&gt;0")</f>
        <v>36</v>
      </c>
      <c r="BF10" s="61"/>
      <c r="BG10" s="61">
        <f>39-SUM(Table13[[#This Row],[No of indicators not scoring on]:[No of indicators scoring on]])</f>
        <v>0</v>
      </c>
    </row>
    <row r="11" spans="1:59" x14ac:dyDescent="0.25">
      <c r="A11" s="1" t="s">
        <v>2218</v>
      </c>
      <c r="B11" s="2" t="s">
        <v>2217</v>
      </c>
      <c r="C11" s="157">
        <f>VLOOKUP(Table1316[[#This Row],[Donor Name]],'Overall scores and ranking'!$A$3:$D$72,2,FALSE)</f>
        <v>69.076054883904291</v>
      </c>
      <c r="D11" s="107">
        <f>VLOOKUP(Table1316[[#This Row],[Donor Name]],'Overall scores and ranking'!$A$3:$D$72,3,FALSE)</f>
        <v>12</v>
      </c>
      <c r="E11" s="107">
        <f>RANK(Table1316[[#This Row],[Overall Score]],Table1316[Overall Score])</f>
        <v>8</v>
      </c>
      <c r="F11" s="61" t="str">
        <f>VLOOKUP(Table1316[[#This Row],[Donor Name]],'Overall scores and ranking'!$A$3:$D$72,4,FALSE)</f>
        <v>Good</v>
      </c>
      <c r="G11" s="109">
        <f>VLOOKUP(Table1316[[#This Row],[Donor Name]],'Wtd - IATI vs Others'!$A$5:$D$72,2,FALSE)</f>
        <v>56.130754883904295</v>
      </c>
      <c r="H11" s="61">
        <f>VLOOKUP(Table1316[[#This Row],[Donor Name]],'Wtd - IATI vs Others'!$A$5:$D$72,3,FALSE)</f>
        <v>12.9453</v>
      </c>
      <c r="I11" s="61">
        <f>VLOOKUP(Table1316[[#This Row],[Donor Name]],'Wtd scores by sub-groups'!$A$5:$K$72,2,FALSE)</f>
        <v>9.6903000000000006</v>
      </c>
      <c r="J11" s="61">
        <f>VLOOKUP(Table1316[[#This Row],[Donor Name]],'Wtd scores by sub-groups'!$A$5:$K$72,3,FALSE)</f>
        <v>12.166666666666661</v>
      </c>
      <c r="K11" s="61">
        <f>VLOOKUP(Table1316[[#This Row],[Donor Name]],'Wtd scores by sub-groups'!$A$5:$K$72,4,FALSE)</f>
        <v>11.12</v>
      </c>
      <c r="L11" s="61">
        <f>VLOOKUP(Table1316[[#This Row],[Donor Name]],'Wtd scores by sub-groups'!$A$5:$K$72,5,FALSE)</f>
        <v>12.222774744027248</v>
      </c>
      <c r="M11" s="61">
        <f>VLOOKUP(Table1316[[#This Row],[Donor Name]],'Wtd scores by sub-groups'!$A$5:$K$72,6,FALSE)</f>
        <v>12.29489351656434</v>
      </c>
      <c r="N11" s="61">
        <f>VLOOKUP(Table1316[[#This Row],[Donor Name]],'Wtd scores by sub-groups'!$A$5:$K$72,7,FALSE)</f>
        <v>3.2549999999999999</v>
      </c>
      <c r="O11" s="61">
        <f>VLOOKUP(Table1316[[#This Row],[Donor Name]],'Wtd scores by sub-groups'!$A$5:$K$72,8,FALSE)</f>
        <v>8.3264199566460508</v>
      </c>
      <c r="P11" s="61">
        <f>VLOOKUP(Table1316[[#This Row],[Donor Name]],'Wtd scores by sub-groups'!$A$5:$K$72,9,FALSE)</f>
        <v>0</v>
      </c>
      <c r="Q11" s="61">
        <f>VLOOKUP(Table1316[[#This Row],[Donor Name]],'Weighted scores by indicator'!$A$7:$AO$74,2,FALSE)</f>
        <v>3.33</v>
      </c>
      <c r="R11" s="61">
        <f>VLOOKUP(Table1316[[#This Row],[Donor Name]],'Weighted scores by indicator'!$A$7:$AO$74,3,FALSE)</f>
        <v>3.0303</v>
      </c>
      <c r="S11" s="61">
        <f>VLOOKUP(Table1316[[#This Row],[Donor Name]],'Weighted scores by indicator'!$A$7:$AO$74,4,FALSE)</f>
        <v>3.33</v>
      </c>
      <c r="T11" s="61">
        <f>VLOOKUP(Table1316[[#This Row],[Donor Name]],'Weighted scores by indicator'!$A$7:$AO$74,5,FALSE)</f>
        <v>2.5</v>
      </c>
      <c r="U11" s="61">
        <f>VLOOKUP(Table1316[[#This Row],[Donor Name]],'Weighted scores by indicator'!$A$7:$AO$74,6,FALSE)</f>
        <v>2.5</v>
      </c>
      <c r="V11" s="61">
        <f>VLOOKUP(Table1316[[#This Row],[Donor Name]],'Weighted scores by indicator'!$A$7:$AO$74,7,FALSE)</f>
        <v>2.5</v>
      </c>
      <c r="W11" s="61">
        <f>VLOOKUP(Table1316[[#This Row],[Donor Name]],'Weighted scores by indicator'!$A$7:$AO$74,8,FALSE)</f>
        <v>2.5</v>
      </c>
      <c r="X11" s="61">
        <f>VLOOKUP(Table1316[[#This Row],[Donor Name]],'Weighted scores by indicator'!$A$7:$AO$74,9,FALSE)</f>
        <v>2.1666666666666599</v>
      </c>
      <c r="Y11" s="61">
        <f>VLOOKUP(Table1316[[#This Row],[Donor Name]],'Weighted scores by indicator'!$A$7:$AO$74,10,FALSE)</f>
        <v>4.17</v>
      </c>
      <c r="Z11" s="61">
        <f>VLOOKUP(Table1316[[#This Row],[Donor Name]],'Weighted scores by indicator'!$A$7:$AO$74,11,FALSE)</f>
        <v>2.78</v>
      </c>
      <c r="AA11" s="61">
        <f>VLOOKUP(Table1316[[#This Row],[Donor Name]],'Weighted scores by indicator'!$A$7:$AO$74,12,FALSE)</f>
        <v>4.17</v>
      </c>
      <c r="AB11" s="61">
        <f>VLOOKUP(Table1316[[#This Row],[Donor Name]],'Weighted scores by indicator'!$A$7:$AO$74,13,FALSE)</f>
        <v>1.5434931740614299</v>
      </c>
      <c r="AC11" s="61">
        <f>VLOOKUP(Table1316[[#This Row],[Donor Name]],'Weighted scores by indicator'!$A$7:$AO$74,14,FALSE)</f>
        <v>1.54599658703071</v>
      </c>
      <c r="AD11" s="61">
        <f>VLOOKUP(Table1316[[#This Row],[Donor Name]],'Weighted scores by indicator'!$A$7:$AO$74,15,FALSE)</f>
        <v>1.54849999999999</v>
      </c>
      <c r="AE11" s="61">
        <f>VLOOKUP(Table1316[[#This Row],[Donor Name]],'Weighted scores by indicator'!$A$7:$AO$74,16,FALSE)</f>
        <v>1.39954692832764</v>
      </c>
      <c r="AF11" s="61">
        <f>VLOOKUP(Table1316[[#This Row],[Donor Name]],'Weighted scores by indicator'!$A$7:$AO$74,17,FALSE)</f>
        <v>1.54474488054607</v>
      </c>
      <c r="AG11" s="61">
        <f>VLOOKUP(Table1316[[#This Row],[Donor Name]],'Weighted scores by indicator'!$A$7:$AO$74,18,FALSE)</f>
        <v>1.54599658703071</v>
      </c>
      <c r="AH11" s="61">
        <f>VLOOKUP(Table1316[[#This Row],[Donor Name]],'Weighted scores by indicator'!$A$7:$AO$74,19,FALSE)</f>
        <v>1.54849999999999</v>
      </c>
      <c r="AI11" s="61">
        <f>VLOOKUP(Table1316[[#This Row],[Donor Name]],'Weighted scores by indicator'!$A$7:$AO$74,20,FALSE)</f>
        <v>1.54599658703071</v>
      </c>
      <c r="AJ11" s="61">
        <f>VLOOKUP(Table1316[[#This Row],[Donor Name]],'Weighted scores by indicator'!$A$7:$AO$74,21,FALSE)</f>
        <v>1.7669999999999999</v>
      </c>
      <c r="AK11" s="61">
        <f>VLOOKUP(Table1316[[#This Row],[Donor Name]],'Weighted scores by indicator'!$A$7:$AO$74,22,FALSE)</f>
        <v>1.7669999999999999</v>
      </c>
      <c r="AL11" s="61">
        <f>VLOOKUP(Table1316[[#This Row],[Donor Name]],'Weighted scores by indicator'!$A$7:$AO$74,23,FALSE)</f>
        <v>1.7669999999999999</v>
      </c>
      <c r="AM11" s="61">
        <f>VLOOKUP(Table1316[[#This Row],[Donor Name]],'Weighted scores by indicator'!$A$7:$AO$74,24,FALSE)</f>
        <v>1.7669999999999999</v>
      </c>
      <c r="AN11" s="61">
        <f>VLOOKUP(Table1316[[#This Row],[Donor Name]],'Weighted scores by indicator'!$A$7:$AO$74,25,FALSE)</f>
        <v>1.7669999999999999</v>
      </c>
      <c r="AO11" s="61">
        <f>VLOOKUP(Table1316[[#This Row],[Donor Name]],'Weighted scores by indicator'!$A$7:$AO$74,26,FALSE)</f>
        <v>1.7300300353356799</v>
      </c>
      <c r="AP11" s="61">
        <f>VLOOKUP(Table1316[[#This Row],[Donor Name]],'Weighted scores by indicator'!$A$7:$AO$74,27,FALSE)</f>
        <v>1.72986348122866</v>
      </c>
      <c r="AQ11" s="61">
        <f>VLOOKUP(Table1316[[#This Row],[Donor Name]],'Weighted scores by indicator'!$A$7:$AO$74,28,FALSE)</f>
        <v>0</v>
      </c>
      <c r="AR11" s="61">
        <f>VLOOKUP(Table1316[[#This Row],[Donor Name]],'Weighted scores by indicator'!$A$7:$AO$74,29,FALSE)</f>
        <v>1.085</v>
      </c>
      <c r="AS11" s="61">
        <f>VLOOKUP(Table1316[[#This Row],[Donor Name]],'Weighted scores by indicator'!$A$7:$AO$74,30,FALSE)</f>
        <v>0</v>
      </c>
      <c r="AT11" s="61">
        <f>VLOOKUP(Table1316[[#This Row],[Donor Name]],'Weighted scores by indicator'!$A$7:$AO$74,31,FALSE)</f>
        <v>0</v>
      </c>
      <c r="AU11" s="61">
        <f>VLOOKUP(Table1316[[#This Row],[Donor Name]],'Weighted scores by indicator'!$A$7:$AO$74,32,FALSE)</f>
        <v>1.085</v>
      </c>
      <c r="AV11" s="61">
        <f>VLOOKUP(Table1316[[#This Row],[Donor Name]],'Weighted scores by indicator'!$A$7:$AO$74,33,FALSE)</f>
        <v>1.085</v>
      </c>
      <c r="AW11" s="61">
        <f>VLOOKUP(Table1316[[#This Row],[Donor Name]],'Weighted scores by indicator'!$A$7:$AO$74,34,FALSE)</f>
        <v>2.2113175675675598</v>
      </c>
      <c r="AX11" s="61">
        <f>VLOOKUP(Table1316[[#This Row],[Donor Name]],'Weighted scores by indicator'!$A$7:$AO$74,35,FALSE)</f>
        <v>3.0874999999999999</v>
      </c>
      <c r="AY11" s="61">
        <f>VLOOKUP(Table1316[[#This Row],[Donor Name]],'Weighted scores by indicator'!$A$7:$AO$74,36,FALSE)</f>
        <v>3.0276023890784902</v>
      </c>
      <c r="AZ11" s="61">
        <f>VLOOKUP(Table1316[[#This Row],[Donor Name]],'Weighted scores by indicator'!$A$7:$AO$74,37,FALSE)</f>
        <v>0</v>
      </c>
      <c r="BA11" s="61">
        <f>VLOOKUP(Table1316[[#This Row],[Donor Name]],'Weighted scores by indicator'!$A$7:$AO$74,38,FALSE)</f>
        <v>0</v>
      </c>
      <c r="BB11" s="61">
        <f>VLOOKUP(Table1316[[#This Row],[Donor Name]],'Weighted scores by indicator'!$A$7:$AO$74,39,FALSE)</f>
        <v>0</v>
      </c>
      <c r="BC11" s="111">
        <f>VLOOKUP(Table1316[[#This Row],[Donor Name]],'Weighted scores by indicator'!$A$7:$AO$74,40,FALSE)</f>
        <v>0</v>
      </c>
      <c r="BD11" s="61">
        <f>COUNTIF(Table1316[[#This Row],[FOIA]:[Conditions]],"0")</f>
        <v>7</v>
      </c>
      <c r="BE11" s="61">
        <f>COUNTIF(Table1316[[#This Row],[FOIA]:[Conditions]],"&gt;0")</f>
        <v>32</v>
      </c>
      <c r="BF11" s="61"/>
      <c r="BG11" s="61">
        <f>39-SUM(Table13[[#This Row],[No of indicators not scoring on]:[No of indicators scoring on]])</f>
        <v>0</v>
      </c>
    </row>
    <row r="12" spans="1:59" x14ac:dyDescent="0.25">
      <c r="A12" s="3" t="s">
        <v>869</v>
      </c>
      <c r="B12" s="4" t="s">
        <v>868</v>
      </c>
      <c r="C12" s="157">
        <f>VLOOKUP(Table1316[[#This Row],[Donor Name]],'Overall scores and ranking'!$A$3:$D$72,2,FALSE)</f>
        <v>68.230851769636672</v>
      </c>
      <c r="D12" s="107">
        <f>VLOOKUP(Table1316[[#This Row],[Donor Name]],'Overall scores and ranking'!$A$3:$D$72,3,FALSE)</f>
        <v>13</v>
      </c>
      <c r="E12" s="107">
        <f>RANK(Table1316[[#This Row],[Overall Score]],Table1316[Overall Score])</f>
        <v>9</v>
      </c>
      <c r="F12" s="61" t="str">
        <f>VLOOKUP(Table1316[[#This Row],[Donor Name]],'Overall scores and ranking'!$A$3:$D$72,4,FALSE)</f>
        <v>Good</v>
      </c>
      <c r="G12" s="109">
        <f>VLOOKUP(Table1316[[#This Row],[Donor Name]],'Wtd - IATI vs Others'!$A$5:$D$72,2,FALSE)</f>
        <v>55.418751769636678</v>
      </c>
      <c r="H12" s="61">
        <f>VLOOKUP(Table1316[[#This Row],[Donor Name]],'Wtd - IATI vs Others'!$A$5:$D$72,3,FALSE)</f>
        <v>12.812099999999999</v>
      </c>
      <c r="I12" s="61">
        <f>VLOOKUP(Table1316[[#This Row],[Donor Name]],'Wtd scores by sub-groups'!$A$5:$K$72,2,FALSE)</f>
        <v>9.5571000000000002</v>
      </c>
      <c r="J12" s="61">
        <f>VLOOKUP(Table1316[[#This Row],[Donor Name]],'Wtd scores by sub-groups'!$A$5:$K$72,3,FALSE)</f>
        <v>11.71875</v>
      </c>
      <c r="K12" s="61">
        <f>VLOOKUP(Table1316[[#This Row],[Donor Name]],'Wtd scores by sub-groups'!$A$5:$K$72,4,FALSE)</f>
        <v>11.12</v>
      </c>
      <c r="L12" s="61">
        <f>VLOOKUP(Table1316[[#This Row],[Donor Name]],'Wtd scores by sub-groups'!$A$5:$K$72,5,FALSE)</f>
        <v>12.066314859561372</v>
      </c>
      <c r="M12" s="61">
        <f>VLOOKUP(Table1316[[#This Row],[Donor Name]],'Wtd scores by sub-groups'!$A$5:$K$72,6,FALSE)</f>
        <v>12.175133228960179</v>
      </c>
      <c r="N12" s="61">
        <f>VLOOKUP(Table1316[[#This Row],[Donor Name]],'Wtd scores by sub-groups'!$A$5:$K$72,7,FALSE)</f>
        <v>3.2549999999999999</v>
      </c>
      <c r="O12" s="61">
        <f>VLOOKUP(Table1316[[#This Row],[Donor Name]],'Wtd scores by sub-groups'!$A$5:$K$72,8,FALSE)</f>
        <v>8.3385536811151209</v>
      </c>
      <c r="P12" s="61">
        <f>VLOOKUP(Table1316[[#This Row],[Donor Name]],'Wtd scores by sub-groups'!$A$5:$K$72,9,FALSE)</f>
        <v>0</v>
      </c>
      <c r="Q12" s="61">
        <f>VLOOKUP(Table1316[[#This Row],[Donor Name]],'Weighted scores by indicator'!$A$7:$AO$74,2,FALSE)</f>
        <v>3.33</v>
      </c>
      <c r="R12" s="61">
        <f>VLOOKUP(Table1316[[#This Row],[Donor Name]],'Weighted scores by indicator'!$A$7:$AO$74,3,FALSE)</f>
        <v>2.8971</v>
      </c>
      <c r="S12" s="61">
        <f>VLOOKUP(Table1316[[#This Row],[Donor Name]],'Weighted scores by indicator'!$A$7:$AO$74,4,FALSE)</f>
        <v>3.33</v>
      </c>
      <c r="T12" s="61">
        <f>VLOOKUP(Table1316[[#This Row],[Donor Name]],'Weighted scores by indicator'!$A$7:$AO$74,5,FALSE)</f>
        <v>2.5</v>
      </c>
      <c r="U12" s="61">
        <f>VLOOKUP(Table1316[[#This Row],[Donor Name]],'Weighted scores by indicator'!$A$7:$AO$74,6,FALSE)</f>
        <v>2.5</v>
      </c>
      <c r="V12" s="61">
        <f>VLOOKUP(Table1316[[#This Row],[Donor Name]],'Weighted scores by indicator'!$A$7:$AO$74,7,FALSE)</f>
        <v>2.5</v>
      </c>
      <c r="W12" s="61">
        <f>VLOOKUP(Table1316[[#This Row],[Donor Name]],'Weighted scores by indicator'!$A$7:$AO$74,8,FALSE)</f>
        <v>2.5</v>
      </c>
      <c r="X12" s="61">
        <f>VLOOKUP(Table1316[[#This Row],[Donor Name]],'Weighted scores by indicator'!$A$7:$AO$74,9,FALSE)</f>
        <v>1.71875</v>
      </c>
      <c r="Y12" s="61">
        <f>VLOOKUP(Table1316[[#This Row],[Donor Name]],'Weighted scores by indicator'!$A$7:$AO$74,10,FALSE)</f>
        <v>4.17</v>
      </c>
      <c r="Z12" s="61">
        <f>VLOOKUP(Table1316[[#This Row],[Donor Name]],'Weighted scores by indicator'!$A$7:$AO$74,11,FALSE)</f>
        <v>2.78</v>
      </c>
      <c r="AA12" s="61">
        <f>VLOOKUP(Table1316[[#This Row],[Donor Name]],'Weighted scores by indicator'!$A$7:$AO$74,12,FALSE)</f>
        <v>4.17</v>
      </c>
      <c r="AB12" s="61">
        <f>VLOOKUP(Table1316[[#This Row],[Donor Name]],'Weighted scores by indicator'!$A$7:$AO$74,13,FALSE)</f>
        <v>1.48219983801295</v>
      </c>
      <c r="AC12" s="61">
        <f>VLOOKUP(Table1316[[#This Row],[Donor Name]],'Weighted scores by indicator'!$A$7:$AO$74,14,FALSE)</f>
        <v>1.54849999999999</v>
      </c>
      <c r="AD12" s="61">
        <f>VLOOKUP(Table1316[[#This Row],[Donor Name]],'Weighted scores by indicator'!$A$7:$AO$74,15,FALSE)</f>
        <v>1.5467733789856599</v>
      </c>
      <c r="AE12" s="61">
        <f>VLOOKUP(Table1316[[#This Row],[Donor Name]],'Weighted scores by indicator'!$A$7:$AO$74,16,FALSE)</f>
        <v>1.30277043655039</v>
      </c>
      <c r="AF12" s="61">
        <f>VLOOKUP(Table1316[[#This Row],[Donor Name]],'Weighted scores by indicator'!$A$7:$AO$74,17,FALSE)</f>
        <v>1.5436340680505001</v>
      </c>
      <c r="AG12" s="61">
        <f>VLOOKUP(Table1316[[#This Row],[Donor Name]],'Weighted scores by indicator'!$A$7:$AO$74,18,FALSE)</f>
        <v>1.5454371379619001</v>
      </c>
      <c r="AH12" s="61">
        <f>VLOOKUP(Table1316[[#This Row],[Donor Name]],'Weighted scores by indicator'!$A$7:$AO$74,19,FALSE)</f>
        <v>1.54849999999999</v>
      </c>
      <c r="AI12" s="61">
        <f>VLOOKUP(Table1316[[#This Row],[Donor Name]],'Weighted scores by indicator'!$A$7:$AO$74,20,FALSE)</f>
        <v>1.54849999999999</v>
      </c>
      <c r="AJ12" s="61">
        <f>VLOOKUP(Table1316[[#This Row],[Donor Name]],'Weighted scores by indicator'!$A$7:$AO$74,21,FALSE)</f>
        <v>1.7669999999999999</v>
      </c>
      <c r="AK12" s="61">
        <f>VLOOKUP(Table1316[[#This Row],[Donor Name]],'Weighted scores by indicator'!$A$7:$AO$74,22,FALSE)</f>
        <v>1.7669999999999999</v>
      </c>
      <c r="AL12" s="61">
        <f>VLOOKUP(Table1316[[#This Row],[Donor Name]],'Weighted scores by indicator'!$A$7:$AO$74,23,FALSE)</f>
        <v>1.7669999999999999</v>
      </c>
      <c r="AM12" s="61">
        <f>VLOOKUP(Table1316[[#This Row],[Donor Name]],'Weighted scores by indicator'!$A$7:$AO$74,24,FALSE)</f>
        <v>1.7669999999999999</v>
      </c>
      <c r="AN12" s="61">
        <f>VLOOKUP(Table1316[[#This Row],[Donor Name]],'Weighted scores by indicator'!$A$7:$AO$74,25,FALSE)</f>
        <v>1.7669999999999999</v>
      </c>
      <c r="AO12" s="61">
        <f>VLOOKUP(Table1316[[#This Row],[Donor Name]],'Weighted scores by indicator'!$A$7:$AO$74,26,FALSE)</f>
        <v>1.62311821816105</v>
      </c>
      <c r="AP12" s="61">
        <f>VLOOKUP(Table1316[[#This Row],[Donor Name]],'Weighted scores by indicator'!$A$7:$AO$74,27,FALSE)</f>
        <v>1.71701501079913</v>
      </c>
      <c r="AQ12" s="61">
        <f>VLOOKUP(Table1316[[#This Row],[Donor Name]],'Weighted scores by indicator'!$A$7:$AO$74,28,FALSE)</f>
        <v>0</v>
      </c>
      <c r="AR12" s="61">
        <f>VLOOKUP(Table1316[[#This Row],[Donor Name]],'Weighted scores by indicator'!$A$7:$AO$74,29,FALSE)</f>
        <v>1.085</v>
      </c>
      <c r="AS12" s="61">
        <f>VLOOKUP(Table1316[[#This Row],[Donor Name]],'Weighted scores by indicator'!$A$7:$AO$74,30,FALSE)</f>
        <v>0</v>
      </c>
      <c r="AT12" s="61">
        <f>VLOOKUP(Table1316[[#This Row],[Donor Name]],'Weighted scores by indicator'!$A$7:$AO$74,31,FALSE)</f>
        <v>0</v>
      </c>
      <c r="AU12" s="61">
        <f>VLOOKUP(Table1316[[#This Row],[Donor Name]],'Weighted scores by indicator'!$A$7:$AO$74,32,FALSE)</f>
        <v>1.085</v>
      </c>
      <c r="AV12" s="61">
        <f>VLOOKUP(Table1316[[#This Row],[Donor Name]],'Weighted scores by indicator'!$A$7:$AO$74,33,FALSE)</f>
        <v>1.085</v>
      </c>
      <c r="AW12" s="61">
        <f>VLOOKUP(Table1316[[#This Row],[Donor Name]],'Weighted scores by indicator'!$A$7:$AO$74,34,FALSE)</f>
        <v>2.2611589726918</v>
      </c>
      <c r="AX12" s="61">
        <f>VLOOKUP(Table1316[[#This Row],[Donor Name]],'Weighted scores by indicator'!$A$7:$AO$74,35,FALSE)</f>
        <v>3.0874999999999999</v>
      </c>
      <c r="AY12" s="61">
        <f>VLOOKUP(Table1316[[#This Row],[Donor Name]],'Weighted scores by indicator'!$A$7:$AO$74,36,FALSE)</f>
        <v>2.9898947084233201</v>
      </c>
      <c r="AZ12" s="61">
        <f>VLOOKUP(Table1316[[#This Row],[Donor Name]],'Weighted scores by indicator'!$A$7:$AO$74,37,FALSE)</f>
        <v>0</v>
      </c>
      <c r="BA12" s="61">
        <f>VLOOKUP(Table1316[[#This Row],[Donor Name]],'Weighted scores by indicator'!$A$7:$AO$74,38,FALSE)</f>
        <v>0</v>
      </c>
      <c r="BB12" s="61">
        <f>VLOOKUP(Table1316[[#This Row],[Donor Name]],'Weighted scores by indicator'!$A$7:$AO$74,39,FALSE)</f>
        <v>0</v>
      </c>
      <c r="BC12" s="111">
        <f>VLOOKUP(Table1316[[#This Row],[Donor Name]],'Weighted scores by indicator'!$A$7:$AO$74,40,FALSE)</f>
        <v>0</v>
      </c>
      <c r="BD12" s="61">
        <f>COUNTIF(Table1316[[#This Row],[FOIA]:[Conditions]],"0")</f>
        <v>7</v>
      </c>
      <c r="BE12" s="61">
        <f>COUNTIF(Table1316[[#This Row],[FOIA]:[Conditions]],"&gt;0")</f>
        <v>32</v>
      </c>
      <c r="BF12" s="61"/>
      <c r="BG12" s="61">
        <f>39-SUM(Table13[[#This Row],[No of indicators not scoring on]:[No of indicators scoring on]])</f>
        <v>0</v>
      </c>
    </row>
    <row r="13" spans="1:59" x14ac:dyDescent="0.25">
      <c r="A13" s="3">
        <v>41122</v>
      </c>
      <c r="B13" s="4" t="s">
        <v>2095</v>
      </c>
      <c r="C13" s="157">
        <f>VLOOKUP(Table1316[[#This Row],[Donor Name]],'Overall scores and ranking'!$A$3:$D$72,2,FALSE)</f>
        <v>64.648942945170745</v>
      </c>
      <c r="D13" s="107">
        <f>VLOOKUP(Table1316[[#This Row],[Donor Name]],'Overall scores and ranking'!$A$3:$D$72,3,FALSE)</f>
        <v>14</v>
      </c>
      <c r="E13" s="107">
        <f>RANK(Table1316[[#This Row],[Overall Score]],Table1316[Overall Score])</f>
        <v>10</v>
      </c>
      <c r="F13" s="61" t="str">
        <f>VLOOKUP(Table1316[[#This Row],[Donor Name]],'Overall scores and ranking'!$A$3:$D$72,4,FALSE)</f>
        <v>Good</v>
      </c>
      <c r="G13" s="109">
        <f>VLOOKUP(Table1316[[#This Row],[Donor Name]],'Wtd - IATI vs Others'!$A$5:$D$72,2,FALSE)</f>
        <v>46.784075945170748</v>
      </c>
      <c r="H13" s="61">
        <f>VLOOKUP(Table1316[[#This Row],[Donor Name]],'Wtd - IATI vs Others'!$A$5:$D$72,3,FALSE)</f>
        <v>17.864867</v>
      </c>
      <c r="I13" s="61">
        <f>VLOOKUP(Table1316[[#This Row],[Donor Name]],'Wtd scores by sub-groups'!$A$5:$K$72,2,FALSE)</f>
        <v>6.4598669999999991</v>
      </c>
      <c r="J13" s="61">
        <f>VLOOKUP(Table1316[[#This Row],[Donor Name]],'Wtd scores by sub-groups'!$A$5:$K$72,3,FALSE)</f>
        <v>6.25</v>
      </c>
      <c r="K13" s="61">
        <f>VLOOKUP(Table1316[[#This Row],[Donor Name]],'Wtd scores by sub-groups'!$A$5:$K$72,4,FALSE)</f>
        <v>10.50468152866242</v>
      </c>
      <c r="L13" s="61">
        <f>VLOOKUP(Table1316[[#This Row],[Donor Name]],'Wtd scores by sub-groups'!$A$5:$K$72,5,FALSE)</f>
        <v>10.06048522583364</v>
      </c>
      <c r="M13" s="61">
        <f>VLOOKUP(Table1316[[#This Row],[Donor Name]],'Wtd scores by sub-groups'!$A$5:$K$72,6,FALSE)</f>
        <v>12.351864288729418</v>
      </c>
      <c r="N13" s="61">
        <f>VLOOKUP(Table1316[[#This Row],[Donor Name]],'Wtd scores by sub-groups'!$A$5:$K$72,7,FALSE)</f>
        <v>4.34</v>
      </c>
      <c r="O13" s="61">
        <f>VLOOKUP(Table1316[[#This Row],[Donor Name]],'Wtd scores by sub-groups'!$A$5:$K$72,8,FALSE)</f>
        <v>8.4035449019452901</v>
      </c>
      <c r="P13" s="61">
        <f>VLOOKUP(Table1316[[#This Row],[Donor Name]],'Wtd scores by sub-groups'!$A$5:$K$72,9,FALSE)</f>
        <v>6.2784999999999798</v>
      </c>
      <c r="Q13" s="61">
        <f>VLOOKUP(Table1316[[#This Row],[Donor Name]],'Weighted scores by indicator'!$A$7:$AO$74,2,FALSE)</f>
        <v>1.1098889999999999</v>
      </c>
      <c r="R13" s="61">
        <f>VLOOKUP(Table1316[[#This Row],[Donor Name]],'Weighted scores by indicator'!$A$7:$AO$74,3,FALSE)</f>
        <v>3.1301999999999999</v>
      </c>
      <c r="S13" s="61">
        <f>VLOOKUP(Table1316[[#This Row],[Donor Name]],'Weighted scores by indicator'!$A$7:$AO$74,4,FALSE)</f>
        <v>2.2197779999999998</v>
      </c>
      <c r="T13" s="61">
        <f>VLOOKUP(Table1316[[#This Row],[Donor Name]],'Weighted scores by indicator'!$A$7:$AO$74,5,FALSE)</f>
        <v>1.25</v>
      </c>
      <c r="U13" s="61">
        <f>VLOOKUP(Table1316[[#This Row],[Donor Name]],'Weighted scores by indicator'!$A$7:$AO$74,6,FALSE)</f>
        <v>1.25</v>
      </c>
      <c r="V13" s="61">
        <f>VLOOKUP(Table1316[[#This Row],[Donor Name]],'Weighted scores by indicator'!$A$7:$AO$74,7,FALSE)</f>
        <v>1.25</v>
      </c>
      <c r="W13" s="61">
        <f>VLOOKUP(Table1316[[#This Row],[Donor Name]],'Weighted scores by indicator'!$A$7:$AO$74,8,FALSE)</f>
        <v>1.25</v>
      </c>
      <c r="X13" s="61">
        <f>VLOOKUP(Table1316[[#This Row],[Donor Name]],'Weighted scores by indicator'!$A$7:$AO$74,9,FALSE)</f>
        <v>1.25</v>
      </c>
      <c r="Y13" s="61">
        <f>VLOOKUP(Table1316[[#This Row],[Donor Name]],'Weighted scores by indicator'!$A$7:$AO$74,10,FALSE)</f>
        <v>4.17</v>
      </c>
      <c r="Z13" s="61">
        <f>VLOOKUP(Table1316[[#This Row],[Donor Name]],'Weighted scores by indicator'!$A$7:$AO$74,11,FALSE)</f>
        <v>4.17</v>
      </c>
      <c r="AA13" s="61">
        <f>VLOOKUP(Table1316[[#This Row],[Donor Name]],'Weighted scores by indicator'!$A$7:$AO$74,12,FALSE)</f>
        <v>2.1646815286624199</v>
      </c>
      <c r="AB13" s="61">
        <f>VLOOKUP(Table1316[[#This Row],[Donor Name]],'Weighted scores by indicator'!$A$7:$AO$74,13,FALSE)</f>
        <v>0</v>
      </c>
      <c r="AC13" s="61">
        <f>VLOOKUP(Table1316[[#This Row],[Donor Name]],'Weighted scores by indicator'!$A$7:$AO$74,14,FALSE)</f>
        <v>1.54849999999999</v>
      </c>
      <c r="AD13" s="61">
        <f>VLOOKUP(Table1316[[#This Row],[Donor Name]],'Weighted scores by indicator'!$A$7:$AO$74,15,FALSE)</f>
        <v>1.5397531131279001</v>
      </c>
      <c r="AE13" s="61">
        <f>VLOOKUP(Table1316[[#This Row],[Donor Name]],'Weighted scores by indicator'!$A$7:$AO$74,16,FALSE)</f>
        <v>1.5117321127057799</v>
      </c>
      <c r="AF13" s="61">
        <f>VLOOKUP(Table1316[[#This Row],[Donor Name]],'Weighted scores by indicator'!$A$7:$AO$74,17,FALSE)</f>
        <v>0.81499999999999995</v>
      </c>
      <c r="AG13" s="61">
        <f>VLOOKUP(Table1316[[#This Row],[Donor Name]],'Weighted scores by indicator'!$A$7:$AO$74,18,FALSE)</f>
        <v>1.54849999999999</v>
      </c>
      <c r="AH13" s="61">
        <f>VLOOKUP(Table1316[[#This Row],[Donor Name]],'Weighted scores by indicator'!$A$7:$AO$74,19,FALSE)</f>
        <v>1.54849999999999</v>
      </c>
      <c r="AI13" s="61">
        <f>VLOOKUP(Table1316[[#This Row],[Donor Name]],'Weighted scores by indicator'!$A$7:$AO$74,20,FALSE)</f>
        <v>1.54849999999999</v>
      </c>
      <c r="AJ13" s="61">
        <f>VLOOKUP(Table1316[[#This Row],[Donor Name]],'Weighted scores by indicator'!$A$7:$AO$74,21,FALSE)</f>
        <v>1.7669999999999999</v>
      </c>
      <c r="AK13" s="61">
        <f>VLOOKUP(Table1316[[#This Row],[Donor Name]],'Weighted scores by indicator'!$A$7:$AO$74,22,FALSE)</f>
        <v>1.7669999999999999</v>
      </c>
      <c r="AL13" s="61">
        <f>VLOOKUP(Table1316[[#This Row],[Donor Name]],'Weighted scores by indicator'!$A$7:$AO$74,23,FALSE)</f>
        <v>1.7669999999999999</v>
      </c>
      <c r="AM13" s="61">
        <f>VLOOKUP(Table1316[[#This Row],[Donor Name]],'Weighted scores by indicator'!$A$7:$AO$74,24,FALSE)</f>
        <v>1.7669999999999999</v>
      </c>
      <c r="AN13" s="61">
        <f>VLOOKUP(Table1316[[#This Row],[Donor Name]],'Weighted scores by indicator'!$A$7:$AO$74,25,FALSE)</f>
        <v>1.74986428872942</v>
      </c>
      <c r="AO13" s="61">
        <f>VLOOKUP(Table1316[[#This Row],[Donor Name]],'Weighted scores by indicator'!$A$7:$AO$74,26,FALSE)</f>
        <v>1.7669999999999999</v>
      </c>
      <c r="AP13" s="61">
        <f>VLOOKUP(Table1316[[#This Row],[Donor Name]],'Weighted scores by indicator'!$A$7:$AO$74,27,FALSE)</f>
        <v>1.7669999999999999</v>
      </c>
      <c r="AQ13" s="61">
        <f>VLOOKUP(Table1316[[#This Row],[Donor Name]],'Weighted scores by indicator'!$A$7:$AO$74,28,FALSE)</f>
        <v>0</v>
      </c>
      <c r="AR13" s="61">
        <f>VLOOKUP(Table1316[[#This Row],[Donor Name]],'Weighted scores by indicator'!$A$7:$AO$74,29,FALSE)</f>
        <v>1.085</v>
      </c>
      <c r="AS13" s="61">
        <f>VLOOKUP(Table1316[[#This Row],[Donor Name]],'Weighted scores by indicator'!$A$7:$AO$74,30,FALSE)</f>
        <v>1.085</v>
      </c>
      <c r="AT13" s="61">
        <f>VLOOKUP(Table1316[[#This Row],[Donor Name]],'Weighted scores by indicator'!$A$7:$AO$74,31,FALSE)</f>
        <v>0</v>
      </c>
      <c r="AU13" s="61">
        <f>VLOOKUP(Table1316[[#This Row],[Donor Name]],'Weighted scores by indicator'!$A$7:$AO$74,32,FALSE)</f>
        <v>1.085</v>
      </c>
      <c r="AV13" s="61">
        <f>VLOOKUP(Table1316[[#This Row],[Donor Name]],'Weighted scores by indicator'!$A$7:$AO$74,33,FALSE)</f>
        <v>1.085</v>
      </c>
      <c r="AW13" s="61">
        <f>VLOOKUP(Table1316[[#This Row],[Donor Name]],'Weighted scores by indicator'!$A$7:$AO$74,34,FALSE)</f>
        <v>2.2844149948114798</v>
      </c>
      <c r="AX13" s="61">
        <f>VLOOKUP(Table1316[[#This Row],[Donor Name]],'Weighted scores by indicator'!$A$7:$AO$74,35,FALSE)</f>
        <v>3.03162990713381</v>
      </c>
      <c r="AY13" s="61">
        <f>VLOOKUP(Table1316[[#This Row],[Donor Name]],'Weighted scores by indicator'!$A$7:$AO$74,36,FALSE)</f>
        <v>3.0874999999999999</v>
      </c>
      <c r="AZ13" s="61">
        <f>VLOOKUP(Table1316[[#This Row],[Donor Name]],'Weighted scores by indicator'!$A$7:$AO$74,37,FALSE)</f>
        <v>0</v>
      </c>
      <c r="BA13" s="61">
        <f>VLOOKUP(Table1316[[#This Row],[Donor Name]],'Weighted scores by indicator'!$A$7:$AO$74,38,FALSE)</f>
        <v>3.1392499999999899</v>
      </c>
      <c r="BB13" s="61">
        <f>VLOOKUP(Table1316[[#This Row],[Donor Name]],'Weighted scores by indicator'!$A$7:$AO$74,39,FALSE)</f>
        <v>0</v>
      </c>
      <c r="BC13" s="111">
        <f>VLOOKUP(Table1316[[#This Row],[Donor Name]],'Weighted scores by indicator'!$A$7:$AO$74,40,FALSE)</f>
        <v>3.1392499999999899</v>
      </c>
      <c r="BD13" s="61">
        <f>COUNTIF(Table1316[[#This Row],[FOIA]:[Conditions]],"0")</f>
        <v>5</v>
      </c>
      <c r="BE13" s="61">
        <f>COUNTIF(Table1316[[#This Row],[FOIA]:[Conditions]],"&gt;0")</f>
        <v>34</v>
      </c>
      <c r="BF13" s="61"/>
      <c r="BG13" s="61">
        <f>39-SUM(Table13[[#This Row],[No of indicators not scoring on]:[No of indicators scoring on]])</f>
        <v>0</v>
      </c>
    </row>
    <row r="14" spans="1:59" x14ac:dyDescent="0.25">
      <c r="A14" s="1" t="s">
        <v>1483</v>
      </c>
      <c r="B14" s="2" t="s">
        <v>1482</v>
      </c>
      <c r="C14" s="157">
        <f>VLOOKUP(Table1316[[#This Row],[Donor Name]],'Overall scores and ranking'!$A$3:$D$72,2,FALSE)</f>
        <v>61.767921206882917</v>
      </c>
      <c r="D14" s="107">
        <f>VLOOKUP(Table1316[[#This Row],[Donor Name]],'Overall scores and ranking'!$A$3:$D$72,3,FALSE)</f>
        <v>15</v>
      </c>
      <c r="E14" s="107">
        <f>RANK(Table1316[[#This Row],[Overall Score]],Table1316[Overall Score])</f>
        <v>11</v>
      </c>
      <c r="F14" s="61" t="str">
        <f>VLOOKUP(Table1316[[#This Row],[Donor Name]],'Overall scores and ranking'!$A$3:$D$72,4,FALSE)</f>
        <v>Good</v>
      </c>
      <c r="G14" s="109">
        <f>VLOOKUP(Table1316[[#This Row],[Donor Name]],'Wtd - IATI vs Others'!$A$5:$D$72,2,FALSE)</f>
        <v>48.038821206882915</v>
      </c>
      <c r="H14" s="61">
        <f>VLOOKUP(Table1316[[#This Row],[Donor Name]],'Wtd - IATI vs Others'!$A$5:$D$72,3,FALSE)</f>
        <v>13.729099999999999</v>
      </c>
      <c r="I14" s="61">
        <f>VLOOKUP(Table1316[[#This Row],[Donor Name]],'Wtd scores by sub-groups'!$A$5:$K$72,2,FALSE)</f>
        <v>9.2241</v>
      </c>
      <c r="J14" s="61">
        <f>VLOOKUP(Table1316[[#This Row],[Donor Name]],'Wtd scores by sub-groups'!$A$5:$K$72,3,FALSE)</f>
        <v>11.25</v>
      </c>
      <c r="K14" s="61">
        <f>VLOOKUP(Table1316[[#This Row],[Donor Name]],'Wtd scores by sub-groups'!$A$5:$K$72,4,FALSE)</f>
        <v>8.34</v>
      </c>
      <c r="L14" s="61">
        <f>VLOOKUP(Table1316[[#This Row],[Donor Name]],'Wtd scores by sub-groups'!$A$5:$K$72,5,FALSE)</f>
        <v>12.51460772373691</v>
      </c>
      <c r="M14" s="61">
        <f>VLOOKUP(Table1316[[#This Row],[Donor Name]],'Wtd scores by sub-groups'!$A$5:$K$72,6,FALSE)</f>
        <v>11.10187499999995</v>
      </c>
      <c r="N14" s="61">
        <f>VLOOKUP(Table1316[[#This Row],[Donor Name]],'Wtd scores by sub-groups'!$A$5:$K$72,7,FALSE)</f>
        <v>3.2549999999999999</v>
      </c>
      <c r="O14" s="61">
        <f>VLOOKUP(Table1316[[#This Row],[Donor Name]],'Wtd scores by sub-groups'!$A$5:$K$72,8,FALSE)</f>
        <v>6.0823384831460601</v>
      </c>
      <c r="P14" s="61">
        <f>VLOOKUP(Table1316[[#This Row],[Donor Name]],'Wtd scores by sub-groups'!$A$5:$K$72,9,FALSE)</f>
        <v>0</v>
      </c>
      <c r="Q14" s="61">
        <f>VLOOKUP(Table1316[[#This Row],[Donor Name]],'Weighted scores by indicator'!$A$7:$AO$74,2,FALSE)</f>
        <v>3.33</v>
      </c>
      <c r="R14" s="61">
        <f>VLOOKUP(Table1316[[#This Row],[Donor Name]],'Weighted scores by indicator'!$A$7:$AO$74,3,FALSE)</f>
        <v>2.5640999999999998</v>
      </c>
      <c r="S14" s="61">
        <f>VLOOKUP(Table1316[[#This Row],[Donor Name]],'Weighted scores by indicator'!$A$7:$AO$74,4,FALSE)</f>
        <v>3.33</v>
      </c>
      <c r="T14" s="61">
        <f>VLOOKUP(Table1316[[#This Row],[Donor Name]],'Weighted scores by indicator'!$A$7:$AO$74,5,FALSE)</f>
        <v>2.5</v>
      </c>
      <c r="U14" s="61">
        <f>VLOOKUP(Table1316[[#This Row],[Donor Name]],'Weighted scores by indicator'!$A$7:$AO$74,6,FALSE)</f>
        <v>2.5</v>
      </c>
      <c r="V14" s="61">
        <f>VLOOKUP(Table1316[[#This Row],[Donor Name]],'Weighted scores by indicator'!$A$7:$AO$74,7,FALSE)</f>
        <v>2.5</v>
      </c>
      <c r="W14" s="61">
        <f>VLOOKUP(Table1316[[#This Row],[Donor Name]],'Weighted scores by indicator'!$A$7:$AO$74,8,FALSE)</f>
        <v>2.5</v>
      </c>
      <c r="X14" s="61">
        <f>VLOOKUP(Table1316[[#This Row],[Donor Name]],'Weighted scores by indicator'!$A$7:$AO$74,9,FALSE)</f>
        <v>1.25</v>
      </c>
      <c r="Y14" s="61">
        <f>VLOOKUP(Table1316[[#This Row],[Donor Name]],'Weighted scores by indicator'!$A$7:$AO$74,10,FALSE)</f>
        <v>4.17</v>
      </c>
      <c r="Z14" s="61">
        <f>VLOOKUP(Table1316[[#This Row],[Donor Name]],'Weighted scores by indicator'!$A$7:$AO$74,11,FALSE)</f>
        <v>0</v>
      </c>
      <c r="AA14" s="61">
        <f>VLOOKUP(Table1316[[#This Row],[Donor Name]],'Weighted scores by indicator'!$A$7:$AO$74,12,FALSE)</f>
        <v>4.17</v>
      </c>
      <c r="AB14" s="61">
        <f>VLOOKUP(Table1316[[#This Row],[Donor Name]],'Weighted scores by indicator'!$A$7:$AO$74,13,FALSE)</f>
        <v>1.63</v>
      </c>
      <c r="AC14" s="61">
        <f>VLOOKUP(Table1316[[#This Row],[Donor Name]],'Weighted scores by indicator'!$A$7:$AO$74,14,FALSE)</f>
        <v>1.59124475524475</v>
      </c>
      <c r="AD14" s="61">
        <f>VLOOKUP(Table1316[[#This Row],[Donor Name]],'Weighted scores by indicator'!$A$7:$AO$74,15,FALSE)</f>
        <v>1.6197412587412501</v>
      </c>
      <c r="AE14" s="61">
        <f>VLOOKUP(Table1316[[#This Row],[Donor Name]],'Weighted scores by indicator'!$A$7:$AO$74,16,FALSE)</f>
        <v>1.5285524475524399</v>
      </c>
      <c r="AF14" s="61">
        <f>VLOOKUP(Table1316[[#This Row],[Donor Name]],'Weighted scores by indicator'!$A$7:$AO$74,17,FALSE)</f>
        <v>1.5844055944055899</v>
      </c>
      <c r="AG14" s="61">
        <f>VLOOKUP(Table1316[[#This Row],[Donor Name]],'Weighted scores by indicator'!$A$7:$AO$74,18,FALSE)</f>
        <v>1.3781741573033699</v>
      </c>
      <c r="AH14" s="61">
        <f>VLOOKUP(Table1316[[#This Row],[Donor Name]],'Weighted scores by indicator'!$A$7:$AO$74,19,FALSE)</f>
        <v>1.63</v>
      </c>
      <c r="AI14" s="61">
        <f>VLOOKUP(Table1316[[#This Row],[Donor Name]],'Weighted scores by indicator'!$A$7:$AO$74,20,FALSE)</f>
        <v>1.55248951048951</v>
      </c>
      <c r="AJ14" s="61">
        <f>VLOOKUP(Table1316[[#This Row],[Donor Name]],'Weighted scores by indicator'!$A$7:$AO$74,21,FALSE)</f>
        <v>1.8599999999999901</v>
      </c>
      <c r="AK14" s="61">
        <f>VLOOKUP(Table1316[[#This Row],[Donor Name]],'Weighted scores by indicator'!$A$7:$AO$74,22,FALSE)</f>
        <v>1.8599999999999901</v>
      </c>
      <c r="AL14" s="61">
        <f>VLOOKUP(Table1316[[#This Row],[Donor Name]],'Weighted scores by indicator'!$A$7:$AO$74,23,FALSE)</f>
        <v>1.8599999999999901</v>
      </c>
      <c r="AM14" s="61">
        <f>VLOOKUP(Table1316[[#This Row],[Donor Name]],'Weighted scores by indicator'!$A$7:$AO$74,24,FALSE)</f>
        <v>1.8599999999999901</v>
      </c>
      <c r="AN14" s="61">
        <f>VLOOKUP(Table1316[[#This Row],[Donor Name]],'Weighted scores by indicator'!$A$7:$AO$74,25,FALSE)</f>
        <v>1.8599999999999901</v>
      </c>
      <c r="AO14" s="61">
        <f>VLOOKUP(Table1316[[#This Row],[Donor Name]],'Weighted scores by indicator'!$A$7:$AO$74,26,FALSE)</f>
        <v>0</v>
      </c>
      <c r="AP14" s="61">
        <f>VLOOKUP(Table1316[[#This Row],[Donor Name]],'Weighted scores by indicator'!$A$7:$AO$74,27,FALSE)</f>
        <v>1.8018749999999999</v>
      </c>
      <c r="AQ14" s="61">
        <f>VLOOKUP(Table1316[[#This Row],[Donor Name]],'Weighted scores by indicator'!$A$7:$AO$74,28,FALSE)</f>
        <v>0</v>
      </c>
      <c r="AR14" s="61">
        <f>VLOOKUP(Table1316[[#This Row],[Donor Name]],'Weighted scores by indicator'!$A$7:$AO$74,29,FALSE)</f>
        <v>1.085</v>
      </c>
      <c r="AS14" s="61">
        <f>VLOOKUP(Table1316[[#This Row],[Donor Name]],'Weighted scores by indicator'!$A$7:$AO$74,30,FALSE)</f>
        <v>0</v>
      </c>
      <c r="AT14" s="61">
        <f>VLOOKUP(Table1316[[#This Row],[Donor Name]],'Weighted scores by indicator'!$A$7:$AO$74,31,FALSE)</f>
        <v>0</v>
      </c>
      <c r="AU14" s="61">
        <f>VLOOKUP(Table1316[[#This Row],[Donor Name]],'Weighted scores by indicator'!$A$7:$AO$74,32,FALSE)</f>
        <v>1.085</v>
      </c>
      <c r="AV14" s="61">
        <f>VLOOKUP(Table1316[[#This Row],[Donor Name]],'Weighted scores by indicator'!$A$7:$AO$74,33,FALSE)</f>
        <v>1.085</v>
      </c>
      <c r="AW14" s="61">
        <f>VLOOKUP(Table1316[[#This Row],[Donor Name]],'Weighted scores by indicator'!$A$7:$AO$74,34,FALSE)</f>
        <v>0</v>
      </c>
      <c r="AX14" s="61">
        <f>VLOOKUP(Table1316[[#This Row],[Donor Name]],'Weighted scores by indicator'!$A$7:$AO$74,35,FALSE)</f>
        <v>3.25</v>
      </c>
      <c r="AY14" s="61">
        <f>VLOOKUP(Table1316[[#This Row],[Donor Name]],'Weighted scores by indicator'!$A$7:$AO$74,36,FALSE)</f>
        <v>2.8323384831460601</v>
      </c>
      <c r="AZ14" s="61">
        <f>VLOOKUP(Table1316[[#This Row],[Donor Name]],'Weighted scores by indicator'!$A$7:$AO$74,37,FALSE)</f>
        <v>0</v>
      </c>
      <c r="BA14" s="61">
        <f>VLOOKUP(Table1316[[#This Row],[Donor Name]],'Weighted scores by indicator'!$A$7:$AO$74,38,FALSE)</f>
        <v>0</v>
      </c>
      <c r="BB14" s="61">
        <f>VLOOKUP(Table1316[[#This Row],[Donor Name]],'Weighted scores by indicator'!$A$7:$AO$74,39,FALSE)</f>
        <v>0</v>
      </c>
      <c r="BC14" s="111">
        <f>VLOOKUP(Table1316[[#This Row],[Donor Name]],'Weighted scores by indicator'!$A$7:$AO$74,40,FALSE)</f>
        <v>0</v>
      </c>
      <c r="BD14" s="61">
        <f>COUNTIF(Table1316[[#This Row],[FOIA]:[Conditions]],"0")</f>
        <v>10</v>
      </c>
      <c r="BE14" s="61">
        <f>COUNTIF(Table1316[[#This Row],[FOIA]:[Conditions]],"&gt;0")</f>
        <v>29</v>
      </c>
      <c r="BF14" s="61"/>
      <c r="BG14" s="61">
        <f>39-SUM(Table13[[#This Row],[No of indicators not scoring on]:[No of indicators scoring on]])</f>
        <v>0</v>
      </c>
    </row>
    <row r="15" spans="1:59" x14ac:dyDescent="0.25">
      <c r="A15" s="3" t="s">
        <v>1686</v>
      </c>
      <c r="B15" s="4" t="s">
        <v>1685</v>
      </c>
      <c r="C15" s="157">
        <f>VLOOKUP(Table1316[[#This Row],[Donor Name]],'Overall scores and ranking'!$A$3:$D$72,2,FALSE)</f>
        <v>59.913796849686776</v>
      </c>
      <c r="D15" s="107">
        <f>VLOOKUP(Table1316[[#This Row],[Donor Name]],'Overall scores and ranking'!$A$3:$D$72,3,FALSE)</f>
        <v>16</v>
      </c>
      <c r="E15" s="107">
        <f>RANK(Table1316[[#This Row],[Overall Score]],Table1316[Overall Score])</f>
        <v>12</v>
      </c>
      <c r="F15" s="61" t="str">
        <f>VLOOKUP(Table1316[[#This Row],[Donor Name]],'Overall scores and ranking'!$A$3:$D$72,4,FALSE)</f>
        <v>Fair</v>
      </c>
      <c r="G15" s="109">
        <f>VLOOKUP(Table1316[[#This Row],[Donor Name]],'Wtd - IATI vs Others'!$A$5:$D$72,2,FALSE)</f>
        <v>44.075817849686779</v>
      </c>
      <c r="H15" s="61">
        <f>VLOOKUP(Table1316[[#This Row],[Donor Name]],'Wtd - IATI vs Others'!$A$5:$D$72,3,FALSE)</f>
        <v>15.837979000000001</v>
      </c>
      <c r="I15" s="61">
        <f>VLOOKUP(Table1316[[#This Row],[Donor Name]],'Wtd scores by sub-groups'!$A$5:$K$72,2,FALSE)</f>
        <v>8.6247000000000007</v>
      </c>
      <c r="J15" s="61">
        <f>VLOOKUP(Table1316[[#This Row],[Donor Name]],'Wtd scores by sub-groups'!$A$5:$K$72,3,FALSE)</f>
        <v>11.25</v>
      </c>
      <c r="K15" s="61">
        <f>VLOOKUP(Table1316[[#This Row],[Donor Name]],'Wtd scores by sub-groups'!$A$5:$K$72,4,FALSE)</f>
        <v>11.12</v>
      </c>
      <c r="L15" s="61">
        <f>VLOOKUP(Table1316[[#This Row],[Donor Name]],'Wtd scores by sub-groups'!$A$5:$K$72,5,FALSE)</f>
        <v>9.3833066617953609</v>
      </c>
      <c r="M15" s="61">
        <f>VLOOKUP(Table1316[[#This Row],[Donor Name]],'Wtd scores by sub-groups'!$A$5:$K$72,6,FALSE)</f>
        <v>9.4032901878914199</v>
      </c>
      <c r="N15" s="61">
        <f>VLOOKUP(Table1316[[#This Row],[Donor Name]],'Wtd scores by sub-groups'!$A$5:$K$72,7,FALSE)</f>
        <v>3.2549999999999999</v>
      </c>
      <c r="O15" s="61">
        <f>VLOOKUP(Table1316[[#This Row],[Donor Name]],'Wtd scores by sub-groups'!$A$5:$K$72,8,FALSE)</f>
        <v>4.7124999999999897</v>
      </c>
      <c r="P15" s="61">
        <f>VLOOKUP(Table1316[[#This Row],[Donor Name]],'Wtd scores by sub-groups'!$A$5:$K$72,9,FALSE)</f>
        <v>2.165</v>
      </c>
      <c r="Q15" s="61">
        <f>VLOOKUP(Table1316[[#This Row],[Donor Name]],'Weighted scores by indicator'!$A$7:$AO$74,2,FALSE)</f>
        <v>3.33</v>
      </c>
      <c r="R15" s="61">
        <f>VLOOKUP(Table1316[[#This Row],[Donor Name]],'Weighted scores by indicator'!$A$7:$AO$74,3,FALSE)</f>
        <v>1.9646999999999999</v>
      </c>
      <c r="S15" s="61">
        <f>VLOOKUP(Table1316[[#This Row],[Donor Name]],'Weighted scores by indicator'!$A$7:$AO$74,4,FALSE)</f>
        <v>3.33</v>
      </c>
      <c r="T15" s="61">
        <f>VLOOKUP(Table1316[[#This Row],[Donor Name]],'Weighted scores by indicator'!$A$7:$AO$74,5,FALSE)</f>
        <v>2.5</v>
      </c>
      <c r="U15" s="61">
        <f>VLOOKUP(Table1316[[#This Row],[Donor Name]],'Weighted scores by indicator'!$A$7:$AO$74,6,FALSE)</f>
        <v>2.5</v>
      </c>
      <c r="V15" s="61">
        <f>VLOOKUP(Table1316[[#This Row],[Donor Name]],'Weighted scores by indicator'!$A$7:$AO$74,7,FALSE)</f>
        <v>2.5</v>
      </c>
      <c r="W15" s="61">
        <f>VLOOKUP(Table1316[[#This Row],[Donor Name]],'Weighted scores by indicator'!$A$7:$AO$74,8,FALSE)</f>
        <v>2.5</v>
      </c>
      <c r="X15" s="61">
        <f>VLOOKUP(Table1316[[#This Row],[Donor Name]],'Weighted scores by indicator'!$A$7:$AO$74,9,FALSE)</f>
        <v>1.25</v>
      </c>
      <c r="Y15" s="61">
        <f>VLOOKUP(Table1316[[#This Row],[Donor Name]],'Weighted scores by indicator'!$A$7:$AO$74,10,FALSE)</f>
        <v>4.17</v>
      </c>
      <c r="Z15" s="61">
        <f>VLOOKUP(Table1316[[#This Row],[Donor Name]],'Weighted scores by indicator'!$A$7:$AO$74,11,FALSE)</f>
        <v>2.78</v>
      </c>
      <c r="AA15" s="61">
        <f>VLOOKUP(Table1316[[#This Row],[Donor Name]],'Weighted scores by indicator'!$A$7:$AO$74,12,FALSE)</f>
        <v>4.17</v>
      </c>
      <c r="AB15" s="61">
        <f>VLOOKUP(Table1316[[#This Row],[Donor Name]],'Weighted scores by indicator'!$A$7:$AO$74,13,FALSE)</f>
        <v>1.4826534446763999</v>
      </c>
      <c r="AC15" s="61">
        <f>VLOOKUP(Table1316[[#This Row],[Donor Name]],'Weighted scores by indicator'!$A$7:$AO$74,14,FALSE)</f>
        <v>1.54849999999999</v>
      </c>
      <c r="AD15" s="61">
        <f>VLOOKUP(Table1316[[#This Row],[Donor Name]],'Weighted scores by indicator'!$A$7:$AO$74,15,FALSE)</f>
        <v>1.54671346555323</v>
      </c>
      <c r="AE15" s="61">
        <f>VLOOKUP(Table1316[[#This Row],[Donor Name]],'Weighted scores by indicator'!$A$7:$AO$74,16,FALSE)</f>
        <v>1.54390605427974</v>
      </c>
      <c r="AF15" s="61">
        <f>VLOOKUP(Table1316[[#This Row],[Donor Name]],'Weighted scores by indicator'!$A$7:$AO$74,17,FALSE)</f>
        <v>1.1817499999999901</v>
      </c>
      <c r="AG15" s="61">
        <f>VLOOKUP(Table1316[[#This Row],[Donor Name]],'Weighted scores by indicator'!$A$7:$AO$74,18,FALSE)</f>
        <v>1.5365046972860099</v>
      </c>
      <c r="AH15" s="61">
        <f>VLOOKUP(Table1316[[#This Row],[Donor Name]],'Weighted scores by indicator'!$A$7:$AO$74,19,FALSE)</f>
        <v>0</v>
      </c>
      <c r="AI15" s="61">
        <f>VLOOKUP(Table1316[[#This Row],[Donor Name]],'Weighted scores by indicator'!$A$7:$AO$74,20,FALSE)</f>
        <v>0.54327899999999996</v>
      </c>
      <c r="AJ15" s="61">
        <f>VLOOKUP(Table1316[[#This Row],[Donor Name]],'Weighted scores by indicator'!$A$7:$AO$74,21,FALSE)</f>
        <v>1.69186221294363</v>
      </c>
      <c r="AK15" s="61">
        <f>VLOOKUP(Table1316[[#This Row],[Donor Name]],'Weighted scores by indicator'!$A$7:$AO$74,22,FALSE)</f>
        <v>1.7669999999999999</v>
      </c>
      <c r="AL15" s="61">
        <f>VLOOKUP(Table1316[[#This Row],[Donor Name]],'Weighted scores by indicator'!$A$7:$AO$74,23,FALSE)</f>
        <v>1.5782818371607501</v>
      </c>
      <c r="AM15" s="61">
        <f>VLOOKUP(Table1316[[#This Row],[Donor Name]],'Weighted scores by indicator'!$A$7:$AO$74,24,FALSE)</f>
        <v>1.3109311064718101</v>
      </c>
      <c r="AN15" s="61">
        <f>VLOOKUP(Table1316[[#This Row],[Donor Name]],'Weighted scores by indicator'!$A$7:$AO$74,25,FALSE)</f>
        <v>1.2882150313152301</v>
      </c>
      <c r="AO15" s="61">
        <f>VLOOKUP(Table1316[[#This Row],[Donor Name]],'Weighted scores by indicator'!$A$7:$AO$74,26,FALSE)</f>
        <v>0</v>
      </c>
      <c r="AP15" s="61">
        <f>VLOOKUP(Table1316[[#This Row],[Donor Name]],'Weighted scores by indicator'!$A$7:$AO$74,27,FALSE)</f>
        <v>1.7669999999999999</v>
      </c>
      <c r="AQ15" s="61">
        <f>VLOOKUP(Table1316[[#This Row],[Donor Name]],'Weighted scores by indicator'!$A$7:$AO$74,28,FALSE)</f>
        <v>0</v>
      </c>
      <c r="AR15" s="61">
        <f>VLOOKUP(Table1316[[#This Row],[Donor Name]],'Weighted scores by indicator'!$A$7:$AO$74,29,FALSE)</f>
        <v>1.085</v>
      </c>
      <c r="AS15" s="61">
        <f>VLOOKUP(Table1316[[#This Row],[Donor Name]],'Weighted scores by indicator'!$A$7:$AO$74,30,FALSE)</f>
        <v>0</v>
      </c>
      <c r="AT15" s="61">
        <f>VLOOKUP(Table1316[[#This Row],[Donor Name]],'Weighted scores by indicator'!$A$7:$AO$74,31,FALSE)</f>
        <v>0</v>
      </c>
      <c r="AU15" s="61">
        <f>VLOOKUP(Table1316[[#This Row],[Donor Name]],'Weighted scores by indicator'!$A$7:$AO$74,32,FALSE)</f>
        <v>1.085</v>
      </c>
      <c r="AV15" s="61">
        <f>VLOOKUP(Table1316[[#This Row],[Donor Name]],'Weighted scores by indicator'!$A$7:$AO$74,33,FALSE)</f>
        <v>1.085</v>
      </c>
      <c r="AW15" s="61">
        <f>VLOOKUP(Table1316[[#This Row],[Donor Name]],'Weighted scores by indicator'!$A$7:$AO$74,34,FALSE)</f>
        <v>0</v>
      </c>
      <c r="AX15" s="61">
        <f>VLOOKUP(Table1316[[#This Row],[Donor Name]],'Weighted scores by indicator'!$A$7:$AO$74,35,FALSE)</f>
        <v>1.7562891440501001</v>
      </c>
      <c r="AY15" s="61">
        <f>VLOOKUP(Table1316[[#This Row],[Donor Name]],'Weighted scores by indicator'!$A$7:$AO$74,36,FALSE)</f>
        <v>2.9562108559498901</v>
      </c>
      <c r="AZ15" s="61">
        <f>VLOOKUP(Table1316[[#This Row],[Donor Name]],'Weighted scores by indicator'!$A$7:$AO$74,37,FALSE)</f>
        <v>0</v>
      </c>
      <c r="BA15" s="61">
        <f>VLOOKUP(Table1316[[#This Row],[Donor Name]],'Weighted scores by indicator'!$A$7:$AO$74,38,FALSE)</f>
        <v>0</v>
      </c>
      <c r="BB15" s="61">
        <f>VLOOKUP(Table1316[[#This Row],[Donor Name]],'Weighted scores by indicator'!$A$7:$AO$74,39,FALSE)</f>
        <v>2.165</v>
      </c>
      <c r="BC15" s="111">
        <f>VLOOKUP(Table1316[[#This Row],[Donor Name]],'Weighted scores by indicator'!$A$7:$AO$74,40,FALSE)</f>
        <v>0</v>
      </c>
      <c r="BD15" s="61">
        <f>COUNTIF(Table1316[[#This Row],[FOIA]:[Conditions]],"0")</f>
        <v>9</v>
      </c>
      <c r="BE15" s="61">
        <f>COUNTIF(Table1316[[#This Row],[FOIA]:[Conditions]],"&gt;0")</f>
        <v>30</v>
      </c>
      <c r="BF15" s="61"/>
      <c r="BG15" s="61">
        <f>39-SUM(Table13[[#This Row],[No of indicators not scoring on]:[No of indicators scoring on]])</f>
        <v>0</v>
      </c>
    </row>
    <row r="16" spans="1:59" x14ac:dyDescent="0.25">
      <c r="A16" s="3">
        <v>41127</v>
      </c>
      <c r="B16" s="4" t="s">
        <v>1032</v>
      </c>
      <c r="C16" s="157">
        <f>VLOOKUP(Table1316[[#This Row],[Donor Name]],'Overall scores and ranking'!$A$3:$D$72,2,FALSE)</f>
        <v>41.297011839690136</v>
      </c>
      <c r="D16" s="107">
        <f>VLOOKUP(Table1316[[#This Row],[Donor Name]],'Overall scores and ranking'!$A$3:$D$72,3,FALSE)</f>
        <v>29</v>
      </c>
      <c r="E16" s="107">
        <f>RANK(Table1316[[#This Row],[Overall Score]],Table1316[Overall Score])</f>
        <v>13</v>
      </c>
      <c r="F16" s="61" t="str">
        <f>VLOOKUP(Table1316[[#This Row],[Donor Name]],'Overall scores and ranking'!$A$3:$D$72,4,FALSE)</f>
        <v>Fair</v>
      </c>
      <c r="G16" s="109">
        <f>VLOOKUP(Table1316[[#This Row],[Donor Name]],'Wtd - IATI vs Others'!$A$5:$D$72,2,FALSE)</f>
        <v>19.458578839690137</v>
      </c>
      <c r="H16" s="61">
        <f>VLOOKUP(Table1316[[#This Row],[Donor Name]],'Wtd - IATI vs Others'!$A$5:$D$72,3,FALSE)</f>
        <v>21.838432999999998</v>
      </c>
      <c r="I16" s="61">
        <f>VLOOKUP(Table1316[[#This Row],[Donor Name]],'Wtd scores by sub-groups'!$A$5:$K$72,2,FALSE)</f>
        <v>3.2853779999999997</v>
      </c>
      <c r="J16" s="61">
        <f>VLOOKUP(Table1316[[#This Row],[Donor Name]],'Wtd scores by sub-groups'!$A$5:$K$72,3,FALSE)</f>
        <v>6.25</v>
      </c>
      <c r="K16" s="61">
        <f>VLOOKUP(Table1316[[#This Row],[Donor Name]],'Wtd scores by sub-groups'!$A$5:$K$72,4,FALSE)</f>
        <v>3.938148</v>
      </c>
      <c r="L16" s="61">
        <f>VLOOKUP(Table1316[[#This Row],[Donor Name]],'Wtd scores by sub-groups'!$A$5:$K$72,5,FALSE)</f>
        <v>8.0383439281016891</v>
      </c>
      <c r="M16" s="61">
        <f>VLOOKUP(Table1316[[#This Row],[Donor Name]],'Wtd scores by sub-groups'!$A$5:$K$72,6,FALSE)</f>
        <v>5.1149749526523269</v>
      </c>
      <c r="N16" s="61">
        <f>VLOOKUP(Table1316[[#This Row],[Donor Name]],'Wtd scores by sub-groups'!$A$5:$K$72,7,FALSE)</f>
        <v>6.3980593307028997</v>
      </c>
      <c r="O16" s="61">
        <f>VLOOKUP(Table1316[[#This Row],[Donor Name]],'Wtd scores by sub-groups'!$A$5:$K$72,8,FALSE)</f>
        <v>6.1071076282332211</v>
      </c>
      <c r="P16" s="61">
        <f>VLOOKUP(Table1316[[#This Row],[Donor Name]],'Wtd scores by sub-groups'!$A$5:$K$72,9,FALSE)</f>
        <v>2.165</v>
      </c>
      <c r="Q16" s="61">
        <f>VLOOKUP(Table1316[[#This Row],[Donor Name]],'Weighted scores by indicator'!$A$7:$AO$74,2,FALSE)</f>
        <v>0</v>
      </c>
      <c r="R16" s="61">
        <f>VLOOKUP(Table1316[[#This Row],[Donor Name]],'Weighted scores by indicator'!$A$7:$AO$74,3,FALSE)</f>
        <v>1.0656000000000001</v>
      </c>
      <c r="S16" s="61">
        <f>VLOOKUP(Table1316[[#This Row],[Donor Name]],'Weighted scores by indicator'!$A$7:$AO$74,4,FALSE)</f>
        <v>2.2197779999999998</v>
      </c>
      <c r="T16" s="61">
        <f>VLOOKUP(Table1316[[#This Row],[Donor Name]],'Weighted scores by indicator'!$A$7:$AO$74,5,FALSE)</f>
        <v>1.25</v>
      </c>
      <c r="U16" s="61">
        <f>VLOOKUP(Table1316[[#This Row],[Donor Name]],'Weighted scores by indicator'!$A$7:$AO$74,6,FALSE)</f>
        <v>1.25</v>
      </c>
      <c r="V16" s="61">
        <f>VLOOKUP(Table1316[[#This Row],[Donor Name]],'Weighted scores by indicator'!$A$7:$AO$74,7,FALSE)</f>
        <v>1.25</v>
      </c>
      <c r="W16" s="61">
        <f>VLOOKUP(Table1316[[#This Row],[Donor Name]],'Weighted scores by indicator'!$A$7:$AO$74,8,FALSE)</f>
        <v>1.25</v>
      </c>
      <c r="X16" s="61">
        <f>VLOOKUP(Table1316[[#This Row],[Donor Name]],'Weighted scores by indicator'!$A$7:$AO$74,9,FALSE)</f>
        <v>1.25</v>
      </c>
      <c r="Y16" s="61">
        <f>VLOOKUP(Table1316[[#This Row],[Donor Name]],'Weighted scores by indicator'!$A$7:$AO$74,10,FALSE)</f>
        <v>0.92657400000000001</v>
      </c>
      <c r="Z16" s="61">
        <f>VLOOKUP(Table1316[[#This Row],[Donor Name]],'Weighted scores by indicator'!$A$7:$AO$74,11,FALSE)</f>
        <v>0.92657400000000001</v>
      </c>
      <c r="AA16" s="61">
        <f>VLOOKUP(Table1316[[#This Row],[Donor Name]],'Weighted scores by indicator'!$A$7:$AO$74,12,FALSE)</f>
        <v>2.085</v>
      </c>
      <c r="AB16" s="61">
        <f>VLOOKUP(Table1316[[#This Row],[Donor Name]],'Weighted scores by indicator'!$A$7:$AO$74,13,FALSE)</f>
        <v>1.63</v>
      </c>
      <c r="AC16" s="61">
        <f>VLOOKUP(Table1316[[#This Row],[Donor Name]],'Weighted scores by indicator'!$A$7:$AO$74,14,FALSE)</f>
        <v>1.63</v>
      </c>
      <c r="AD16" s="61">
        <f>VLOOKUP(Table1316[[#This Row],[Donor Name]],'Weighted scores by indicator'!$A$7:$AO$74,15,FALSE)</f>
        <v>1.6281539529446101</v>
      </c>
      <c r="AE16" s="61">
        <f>VLOOKUP(Table1316[[#This Row],[Donor Name]],'Weighted scores by indicator'!$A$7:$AO$74,16,FALSE)</f>
        <v>1.5596715621803201</v>
      </c>
      <c r="AF16" s="61">
        <f>VLOOKUP(Table1316[[#This Row],[Donor Name]],'Weighted scores by indicator'!$A$7:$AO$74,17,FALSE)</f>
        <v>1.59051841297676</v>
      </c>
      <c r="AG16" s="61">
        <f>VLOOKUP(Table1316[[#This Row],[Donor Name]],'Weighted scores by indicator'!$A$7:$AO$74,18,FALSE)</f>
        <v>0</v>
      </c>
      <c r="AH16" s="61">
        <f>VLOOKUP(Table1316[[#This Row],[Donor Name]],'Weighted scores by indicator'!$A$7:$AO$74,19,FALSE)</f>
        <v>0</v>
      </c>
      <c r="AI16" s="61">
        <f>VLOOKUP(Table1316[[#This Row],[Donor Name]],'Weighted scores by indicator'!$A$7:$AO$74,20,FALSE)</f>
        <v>0</v>
      </c>
      <c r="AJ16" s="61">
        <f>VLOOKUP(Table1316[[#This Row],[Donor Name]],'Weighted scores by indicator'!$A$7:$AO$74,21,FALSE)</f>
        <v>0.61993799999999899</v>
      </c>
      <c r="AK16" s="61">
        <f>VLOOKUP(Table1316[[#This Row],[Donor Name]],'Weighted scores by indicator'!$A$7:$AO$74,22,FALSE)</f>
        <v>0</v>
      </c>
      <c r="AL16" s="61">
        <f>VLOOKUP(Table1316[[#This Row],[Donor Name]],'Weighted scores by indicator'!$A$7:$AO$74,23,FALSE)</f>
        <v>0.92999999999999905</v>
      </c>
      <c r="AM16" s="61">
        <f>VLOOKUP(Table1316[[#This Row],[Donor Name]],'Weighted scores by indicator'!$A$7:$AO$74,24,FALSE)</f>
        <v>1.39506795265234</v>
      </c>
      <c r="AN16" s="61">
        <f>VLOOKUP(Table1316[[#This Row],[Donor Name]],'Weighted scores by indicator'!$A$7:$AO$74,25,FALSE)</f>
        <v>1.8599999999999901</v>
      </c>
      <c r="AO16" s="61">
        <f>VLOOKUP(Table1316[[#This Row],[Donor Name]],'Weighted scores by indicator'!$A$7:$AO$74,26,FALSE)</f>
        <v>0.309968999999999</v>
      </c>
      <c r="AP16" s="61">
        <f>VLOOKUP(Table1316[[#This Row],[Donor Name]],'Weighted scores by indicator'!$A$7:$AO$74,27,FALSE)</f>
        <v>0</v>
      </c>
      <c r="AQ16" s="61">
        <f>VLOOKUP(Table1316[[#This Row],[Donor Name]],'Weighted scores by indicator'!$A$7:$AO$74,28,FALSE)</f>
        <v>1.085</v>
      </c>
      <c r="AR16" s="61">
        <f>VLOOKUP(Table1316[[#This Row],[Donor Name]],'Weighted scores by indicator'!$A$7:$AO$74,29,FALSE)</f>
        <v>1.085</v>
      </c>
      <c r="AS16" s="61">
        <f>VLOOKUP(Table1316[[#This Row],[Donor Name]],'Weighted scores by indicator'!$A$7:$AO$74,30,FALSE)</f>
        <v>2.0580593307028998</v>
      </c>
      <c r="AT16" s="61">
        <f>VLOOKUP(Table1316[[#This Row],[Donor Name]],'Weighted scores by indicator'!$A$7:$AO$74,31,FALSE)</f>
        <v>1.085</v>
      </c>
      <c r="AU16" s="61">
        <f>VLOOKUP(Table1316[[#This Row],[Donor Name]],'Weighted scores by indicator'!$A$7:$AO$74,32,FALSE)</f>
        <v>0</v>
      </c>
      <c r="AV16" s="61">
        <f>VLOOKUP(Table1316[[#This Row],[Donor Name]],'Weighted scores by indicator'!$A$7:$AO$74,33,FALSE)</f>
        <v>1.085</v>
      </c>
      <c r="AW16" s="61">
        <f>VLOOKUP(Table1316[[#This Row],[Donor Name]],'Weighted scores by indicator'!$A$7:$AO$74,34,FALSE)</f>
        <v>1.93050379950314</v>
      </c>
      <c r="AX16" s="61">
        <f>VLOOKUP(Table1316[[#This Row],[Donor Name]],'Weighted scores by indicator'!$A$7:$AO$74,35,FALSE)</f>
        <v>2.0108870378488901</v>
      </c>
      <c r="AY16" s="61">
        <f>VLOOKUP(Table1316[[#This Row],[Donor Name]],'Weighted scores by indicator'!$A$7:$AO$74,36,FALSE)</f>
        <v>2.1657167908811901</v>
      </c>
      <c r="AZ16" s="61">
        <f>VLOOKUP(Table1316[[#This Row],[Donor Name]],'Weighted scores by indicator'!$A$7:$AO$74,37,FALSE)</f>
        <v>0</v>
      </c>
      <c r="BA16" s="61">
        <f>VLOOKUP(Table1316[[#This Row],[Donor Name]],'Weighted scores by indicator'!$A$7:$AO$74,38,FALSE)</f>
        <v>0</v>
      </c>
      <c r="BB16" s="61">
        <f>VLOOKUP(Table1316[[#This Row],[Donor Name]],'Weighted scores by indicator'!$A$7:$AO$74,39,FALSE)</f>
        <v>2.165</v>
      </c>
      <c r="BC16" s="111">
        <f>VLOOKUP(Table1316[[#This Row],[Donor Name]],'Weighted scores by indicator'!$A$7:$AO$74,40,FALSE)</f>
        <v>0</v>
      </c>
      <c r="BD16" s="61">
        <f>COUNTIF(Table1316[[#This Row],[FOIA]:[Conditions]],"0")</f>
        <v>10</v>
      </c>
      <c r="BE16" s="61">
        <f>COUNTIF(Table1316[[#This Row],[FOIA]:[Conditions]],"&gt;0")</f>
        <v>29</v>
      </c>
      <c r="BF16" s="61"/>
      <c r="BG16" s="61">
        <f>39-SUM(Table13[[#This Row],[No of indicators not scoring on]:[No of indicators scoring on]])</f>
        <v>0</v>
      </c>
    </row>
    <row r="17" spans="1:59" x14ac:dyDescent="0.25">
      <c r="A17" s="3">
        <v>43000</v>
      </c>
      <c r="B17" s="4" t="s">
        <v>499</v>
      </c>
      <c r="C17" s="157">
        <f>VLOOKUP(Table1316[[#This Row],[Donor Name]],'Overall scores and ranking'!$A$3:$D$72,2,FALSE)</f>
        <v>31.595881999999996</v>
      </c>
      <c r="D17" s="107">
        <f>VLOOKUP(Table1316[[#This Row],[Donor Name]],'Overall scores and ranking'!$A$3:$D$72,3,FALSE)</f>
        <v>37</v>
      </c>
      <c r="E17" s="107">
        <f>RANK(Table1316[[#This Row],[Overall Score]],Table1316[Overall Score])</f>
        <v>14</v>
      </c>
      <c r="F17" s="61" t="str">
        <f>VLOOKUP(Table1316[[#This Row],[Donor Name]],'Overall scores and ranking'!$A$3:$D$72,4,FALSE)</f>
        <v>Poor</v>
      </c>
      <c r="G17" s="109">
        <f>VLOOKUP(Table1316[[#This Row],[Donor Name]],'Wtd - IATI vs Others'!$A$5:$D$72,2,FALSE)</f>
        <v>0</v>
      </c>
      <c r="H17" s="61">
        <f>VLOOKUP(Table1316[[#This Row],[Donor Name]],'Wtd - IATI vs Others'!$A$5:$D$72,3,FALSE)</f>
        <v>31.595881999999996</v>
      </c>
      <c r="I17" s="61">
        <f>VLOOKUP(Table1316[[#This Row],[Donor Name]],'Wtd scores by sub-groups'!$A$5:$K$72,2,FALSE)</f>
        <v>3.3296669999999997</v>
      </c>
      <c r="J17" s="61">
        <f>VLOOKUP(Table1316[[#This Row],[Donor Name]],'Wtd scores by sub-groups'!$A$5:$K$72,3,FALSE)</f>
        <v>6.25</v>
      </c>
      <c r="K17" s="61">
        <f>VLOOKUP(Table1316[[#This Row],[Donor Name]],'Wtd scores by sub-groups'!$A$5:$K$72,4,FALSE)</f>
        <v>2.7799304999999999</v>
      </c>
      <c r="L17" s="61">
        <f>VLOOKUP(Table1316[[#This Row],[Donor Name]],'Wtd scores by sub-groups'!$A$5:$K$72,5,FALSE)</f>
        <v>4.3465579999999999</v>
      </c>
      <c r="M17" s="61">
        <f>VLOOKUP(Table1316[[#This Row],[Donor Name]],'Wtd scores by sub-groups'!$A$5:$K$72,6,FALSE)</f>
        <v>2.7899069999999964</v>
      </c>
      <c r="N17" s="61">
        <f>VLOOKUP(Table1316[[#This Row],[Donor Name]],'Wtd scores by sub-groups'!$A$5:$K$72,7,FALSE)</f>
        <v>4.34</v>
      </c>
      <c r="O17" s="61">
        <f>VLOOKUP(Table1316[[#This Row],[Donor Name]],'Wtd scores by sub-groups'!$A$5:$K$72,8,FALSE)</f>
        <v>2.7082249999999979</v>
      </c>
      <c r="P17" s="61">
        <f>VLOOKUP(Table1316[[#This Row],[Donor Name]],'Wtd scores by sub-groups'!$A$5:$K$72,9,FALSE)</f>
        <v>5.0515944999999993</v>
      </c>
      <c r="Q17" s="61">
        <f>VLOOKUP(Table1316[[#This Row],[Donor Name]],'Weighted scores by indicator'!$A$7:$AO$74,2,FALSE)</f>
        <v>1.1098889999999999</v>
      </c>
      <c r="R17" s="61">
        <f>VLOOKUP(Table1316[[#This Row],[Donor Name]],'Weighted scores by indicator'!$A$7:$AO$74,3,FALSE)</f>
        <v>0</v>
      </c>
      <c r="S17" s="61">
        <f>VLOOKUP(Table1316[[#This Row],[Donor Name]],'Weighted scores by indicator'!$A$7:$AO$74,4,FALSE)</f>
        <v>2.2197779999999998</v>
      </c>
      <c r="T17" s="61">
        <f>VLOOKUP(Table1316[[#This Row],[Donor Name]],'Weighted scores by indicator'!$A$7:$AO$74,5,FALSE)</f>
        <v>1.25</v>
      </c>
      <c r="U17" s="61">
        <f>VLOOKUP(Table1316[[#This Row],[Donor Name]],'Weighted scores by indicator'!$A$7:$AO$74,6,FALSE)</f>
        <v>1.25</v>
      </c>
      <c r="V17" s="61">
        <f>VLOOKUP(Table1316[[#This Row],[Donor Name]],'Weighted scores by indicator'!$A$7:$AO$74,7,FALSE)</f>
        <v>1.25</v>
      </c>
      <c r="W17" s="61">
        <f>VLOOKUP(Table1316[[#This Row],[Donor Name]],'Weighted scores by indicator'!$A$7:$AO$74,8,FALSE)</f>
        <v>1.25</v>
      </c>
      <c r="X17" s="61">
        <f>VLOOKUP(Table1316[[#This Row],[Donor Name]],'Weighted scores by indicator'!$A$7:$AO$74,9,FALSE)</f>
        <v>1.25</v>
      </c>
      <c r="Y17" s="61">
        <f>VLOOKUP(Table1316[[#This Row],[Donor Name]],'Weighted scores by indicator'!$A$7:$AO$74,10,FALSE)</f>
        <v>0.69493050000000001</v>
      </c>
      <c r="Z17" s="61">
        <f>VLOOKUP(Table1316[[#This Row],[Donor Name]],'Weighted scores by indicator'!$A$7:$AO$74,11,FALSE)</f>
        <v>0</v>
      </c>
      <c r="AA17" s="61">
        <f>VLOOKUP(Table1316[[#This Row],[Donor Name]],'Weighted scores by indicator'!$A$7:$AO$74,12,FALSE)</f>
        <v>2.085</v>
      </c>
      <c r="AB17" s="61">
        <f>VLOOKUP(Table1316[[#This Row],[Donor Name]],'Weighted scores by indicator'!$A$7:$AO$74,13,FALSE)</f>
        <v>0.81499999999999995</v>
      </c>
      <c r="AC17" s="61">
        <f>VLOOKUP(Table1316[[#This Row],[Donor Name]],'Weighted scores by indicator'!$A$7:$AO$74,14,FALSE)</f>
        <v>0</v>
      </c>
      <c r="AD17" s="61">
        <f>VLOOKUP(Table1316[[#This Row],[Donor Name]],'Weighted scores by indicator'!$A$7:$AO$74,15,FALSE)</f>
        <v>0.27163949999999998</v>
      </c>
      <c r="AE17" s="61">
        <f>VLOOKUP(Table1316[[#This Row],[Donor Name]],'Weighted scores by indicator'!$A$7:$AO$74,16,FALSE)</f>
        <v>0.81499999999999995</v>
      </c>
      <c r="AF17" s="61">
        <f>VLOOKUP(Table1316[[#This Row],[Donor Name]],'Weighted scores by indicator'!$A$7:$AO$74,17,FALSE)</f>
        <v>0.27163949999999998</v>
      </c>
      <c r="AG17" s="61">
        <f>VLOOKUP(Table1316[[#This Row],[Donor Name]],'Weighted scores by indicator'!$A$7:$AO$74,18,FALSE)</f>
        <v>0.81499999999999995</v>
      </c>
      <c r="AH17" s="61">
        <f>VLOOKUP(Table1316[[#This Row],[Donor Name]],'Weighted scores by indicator'!$A$7:$AO$74,19,FALSE)</f>
        <v>0.81499999999999995</v>
      </c>
      <c r="AI17" s="61">
        <f>VLOOKUP(Table1316[[#This Row],[Donor Name]],'Weighted scores by indicator'!$A$7:$AO$74,20,FALSE)</f>
        <v>0.54327899999999996</v>
      </c>
      <c r="AJ17" s="61">
        <f>VLOOKUP(Table1316[[#This Row],[Donor Name]],'Weighted scores by indicator'!$A$7:$AO$74,21,FALSE)</f>
        <v>0.309968999999999</v>
      </c>
      <c r="AK17" s="61">
        <f>VLOOKUP(Table1316[[#This Row],[Donor Name]],'Weighted scores by indicator'!$A$7:$AO$74,22,FALSE)</f>
        <v>0</v>
      </c>
      <c r="AL17" s="61">
        <f>VLOOKUP(Table1316[[#This Row],[Donor Name]],'Weighted scores by indicator'!$A$7:$AO$74,23,FALSE)</f>
        <v>0.92999999999999905</v>
      </c>
      <c r="AM17" s="61">
        <f>VLOOKUP(Table1316[[#This Row],[Donor Name]],'Weighted scores by indicator'!$A$7:$AO$74,24,FALSE)</f>
        <v>0.92999999999999905</v>
      </c>
      <c r="AN17" s="61">
        <f>VLOOKUP(Table1316[[#This Row],[Donor Name]],'Weighted scores by indicator'!$A$7:$AO$74,25,FALSE)</f>
        <v>0.61993799999999899</v>
      </c>
      <c r="AO17" s="61">
        <f>VLOOKUP(Table1316[[#This Row],[Donor Name]],'Weighted scores by indicator'!$A$7:$AO$74,26,FALSE)</f>
        <v>0</v>
      </c>
      <c r="AP17" s="61">
        <f>VLOOKUP(Table1316[[#This Row],[Donor Name]],'Weighted scores by indicator'!$A$7:$AO$74,27,FALSE)</f>
        <v>0</v>
      </c>
      <c r="AQ17" s="61">
        <f>VLOOKUP(Table1316[[#This Row],[Donor Name]],'Weighted scores by indicator'!$A$7:$AO$74,28,FALSE)</f>
        <v>1.085</v>
      </c>
      <c r="AR17" s="61">
        <f>VLOOKUP(Table1316[[#This Row],[Donor Name]],'Weighted scores by indicator'!$A$7:$AO$74,29,FALSE)</f>
        <v>1.085</v>
      </c>
      <c r="AS17" s="61">
        <f>VLOOKUP(Table1316[[#This Row],[Donor Name]],'Weighted scores by indicator'!$A$7:$AO$74,30,FALSE)</f>
        <v>1.085</v>
      </c>
      <c r="AT17" s="61">
        <f>VLOOKUP(Table1316[[#This Row],[Donor Name]],'Weighted scores by indicator'!$A$7:$AO$74,31,FALSE)</f>
        <v>1.085</v>
      </c>
      <c r="AU17" s="61">
        <f>VLOOKUP(Table1316[[#This Row],[Donor Name]],'Weighted scores by indicator'!$A$7:$AO$74,32,FALSE)</f>
        <v>0</v>
      </c>
      <c r="AV17" s="61">
        <f>VLOOKUP(Table1316[[#This Row],[Donor Name]],'Weighted scores by indicator'!$A$7:$AO$74,33,FALSE)</f>
        <v>0</v>
      </c>
      <c r="AW17" s="61">
        <f>VLOOKUP(Table1316[[#This Row],[Donor Name]],'Weighted scores by indicator'!$A$7:$AO$74,34,FALSE)</f>
        <v>0.54161249999999905</v>
      </c>
      <c r="AX17" s="61">
        <f>VLOOKUP(Table1316[[#This Row],[Donor Name]],'Weighted scores by indicator'!$A$7:$AO$74,35,FALSE)</f>
        <v>0.54161249999999905</v>
      </c>
      <c r="AY17" s="61">
        <f>VLOOKUP(Table1316[[#This Row],[Donor Name]],'Weighted scores by indicator'!$A$7:$AO$74,36,FALSE)</f>
        <v>1.625</v>
      </c>
      <c r="AZ17" s="61">
        <f>VLOOKUP(Table1316[[#This Row],[Donor Name]],'Weighted scores by indicator'!$A$7:$AO$74,37,FALSE)</f>
        <v>0</v>
      </c>
      <c r="BA17" s="61">
        <f>VLOOKUP(Table1316[[#This Row],[Donor Name]],'Weighted scores by indicator'!$A$7:$AO$74,38,FALSE)</f>
        <v>0.72159449999999903</v>
      </c>
      <c r="BB17" s="61">
        <f>VLOOKUP(Table1316[[#This Row],[Donor Name]],'Weighted scores by indicator'!$A$7:$AO$74,39,FALSE)</f>
        <v>2.165</v>
      </c>
      <c r="BC17" s="111">
        <f>VLOOKUP(Table1316[[#This Row],[Donor Name]],'Weighted scores by indicator'!$A$7:$AO$74,40,FALSE)</f>
        <v>2.165</v>
      </c>
      <c r="BD17" s="61">
        <f>COUNTIF(Table1316[[#This Row],[FOIA]:[Conditions]],"0")</f>
        <v>9</v>
      </c>
      <c r="BE17" s="61">
        <f>COUNTIF(Table1316[[#This Row],[FOIA]:[Conditions]],"&gt;0")</f>
        <v>30</v>
      </c>
      <c r="BF17" s="61"/>
      <c r="BG17" s="61">
        <f>39-SUM(Table13[[#This Row],[No of indicators not scoring on]:[No of indicators scoring on]])</f>
        <v>0</v>
      </c>
    </row>
    <row r="18" spans="1:59" x14ac:dyDescent="0.25">
      <c r="A18" s="11">
        <v>44004</v>
      </c>
      <c r="B18" s="12" t="s">
        <v>2503</v>
      </c>
      <c r="C18" s="157">
        <f>VLOOKUP(Table1316[[#This Row],[Donor Name]],'Overall scores and ranking'!$A$3:$D$72,2,FALSE)</f>
        <v>30.617910000000002</v>
      </c>
      <c r="D18" s="107">
        <f>VLOOKUP(Table1316[[#This Row],[Donor Name]],'Overall scores and ranking'!$A$3:$D$72,3,FALSE)</f>
        <v>39</v>
      </c>
      <c r="E18" s="107">
        <f>RANK(Table1316[[#This Row],[Overall Score]],Table1316[Overall Score])</f>
        <v>15</v>
      </c>
      <c r="F18" s="61" t="str">
        <f>VLOOKUP(Table1316[[#This Row],[Donor Name]],'Overall scores and ranking'!$A$3:$D$72,4,FALSE)</f>
        <v>Poor</v>
      </c>
      <c r="G18" s="109">
        <f>VLOOKUP(Table1316[[#This Row],[Donor Name]],'Wtd - IATI vs Others'!$A$5:$D$72,2,FALSE)</f>
        <v>0</v>
      </c>
      <c r="H18" s="61">
        <f>VLOOKUP(Table1316[[#This Row],[Donor Name]],'Wtd - IATI vs Others'!$A$5:$D$72,3,FALSE)</f>
        <v>30.617910000000002</v>
      </c>
      <c r="I18" s="61">
        <f>VLOOKUP(Table1316[[#This Row],[Donor Name]],'Wtd scores by sub-groups'!$A$5:$K$72,2,FALSE)</f>
        <v>5.5497779999999999</v>
      </c>
      <c r="J18" s="61">
        <f>VLOOKUP(Table1316[[#This Row],[Donor Name]],'Wtd scores by sub-groups'!$A$5:$K$72,3,FALSE)</f>
        <v>6.25</v>
      </c>
      <c r="K18" s="61">
        <f>VLOOKUP(Table1316[[#This Row],[Donor Name]],'Wtd scores by sub-groups'!$A$5:$K$72,4,FALSE)</f>
        <v>3.0115740000000004</v>
      </c>
      <c r="L18" s="61">
        <f>VLOOKUP(Table1316[[#This Row],[Donor Name]],'Wtd scores by sub-groups'!$A$5:$K$72,5,FALSE)</f>
        <v>4.3465579999999999</v>
      </c>
      <c r="M18" s="61">
        <f>VLOOKUP(Table1316[[#This Row],[Donor Name]],'Wtd scores by sub-groups'!$A$5:$K$72,6,FALSE)</f>
        <v>2.7899999999999974</v>
      </c>
      <c r="N18" s="61">
        <f>VLOOKUP(Table1316[[#This Row],[Donor Name]],'Wtd scores by sub-groups'!$A$5:$K$72,7,FALSE)</f>
        <v>3.2549999999999999</v>
      </c>
      <c r="O18" s="61">
        <f>VLOOKUP(Table1316[[#This Row],[Donor Name]],'Wtd scores by sub-groups'!$A$5:$K$72,8,FALSE)</f>
        <v>3.25</v>
      </c>
      <c r="P18" s="61">
        <f>VLOOKUP(Table1316[[#This Row],[Donor Name]],'Wtd scores by sub-groups'!$A$5:$K$72,9,FALSE)</f>
        <v>2.165</v>
      </c>
      <c r="Q18" s="61">
        <f>VLOOKUP(Table1316[[#This Row],[Donor Name]],'Weighted scores by indicator'!$A$7:$AO$74,2,FALSE)</f>
        <v>2.2197779999999998</v>
      </c>
      <c r="R18" s="61">
        <f>VLOOKUP(Table1316[[#This Row],[Donor Name]],'Weighted scores by indicator'!$A$7:$AO$74,3,FALSE)</f>
        <v>0</v>
      </c>
      <c r="S18" s="61">
        <f>VLOOKUP(Table1316[[#This Row],[Donor Name]],'Weighted scores by indicator'!$A$7:$AO$74,4,FALSE)</f>
        <v>3.33</v>
      </c>
      <c r="T18" s="61">
        <f>VLOOKUP(Table1316[[#This Row],[Donor Name]],'Weighted scores by indicator'!$A$7:$AO$74,5,FALSE)</f>
        <v>1.25</v>
      </c>
      <c r="U18" s="61">
        <f>VLOOKUP(Table1316[[#This Row],[Donor Name]],'Weighted scores by indicator'!$A$7:$AO$74,6,FALSE)</f>
        <v>1.25</v>
      </c>
      <c r="V18" s="61">
        <f>VLOOKUP(Table1316[[#This Row],[Donor Name]],'Weighted scores by indicator'!$A$7:$AO$74,7,FALSE)</f>
        <v>1.25</v>
      </c>
      <c r="W18" s="61">
        <f>VLOOKUP(Table1316[[#This Row],[Donor Name]],'Weighted scores by indicator'!$A$7:$AO$74,8,FALSE)</f>
        <v>1.25</v>
      </c>
      <c r="X18" s="61">
        <f>VLOOKUP(Table1316[[#This Row],[Donor Name]],'Weighted scores by indicator'!$A$7:$AO$74,9,FALSE)</f>
        <v>1.25</v>
      </c>
      <c r="Y18" s="61">
        <f>VLOOKUP(Table1316[[#This Row],[Donor Name]],'Weighted scores by indicator'!$A$7:$AO$74,10,FALSE)</f>
        <v>0.463287</v>
      </c>
      <c r="Z18" s="61">
        <f>VLOOKUP(Table1316[[#This Row],[Donor Name]],'Weighted scores by indicator'!$A$7:$AO$74,11,FALSE)</f>
        <v>0.463287</v>
      </c>
      <c r="AA18" s="61">
        <f>VLOOKUP(Table1316[[#This Row],[Donor Name]],'Weighted scores by indicator'!$A$7:$AO$74,12,FALSE)</f>
        <v>2.085</v>
      </c>
      <c r="AB18" s="61">
        <f>VLOOKUP(Table1316[[#This Row],[Donor Name]],'Weighted scores by indicator'!$A$7:$AO$74,13,FALSE)</f>
        <v>0.81499999999999995</v>
      </c>
      <c r="AC18" s="61">
        <f>VLOOKUP(Table1316[[#This Row],[Donor Name]],'Weighted scores by indicator'!$A$7:$AO$74,14,FALSE)</f>
        <v>0.81499999999999995</v>
      </c>
      <c r="AD18" s="61">
        <f>VLOOKUP(Table1316[[#This Row],[Donor Name]],'Weighted scores by indicator'!$A$7:$AO$74,15,FALSE)</f>
        <v>0.81499999999999995</v>
      </c>
      <c r="AE18" s="61">
        <f>VLOOKUP(Table1316[[#This Row],[Donor Name]],'Weighted scores by indicator'!$A$7:$AO$74,16,FALSE)</f>
        <v>0.54327899999999996</v>
      </c>
      <c r="AF18" s="61">
        <f>VLOOKUP(Table1316[[#This Row],[Donor Name]],'Weighted scores by indicator'!$A$7:$AO$74,17,FALSE)</f>
        <v>0</v>
      </c>
      <c r="AG18" s="61">
        <f>VLOOKUP(Table1316[[#This Row],[Donor Name]],'Weighted scores by indicator'!$A$7:$AO$74,18,FALSE)</f>
        <v>0</v>
      </c>
      <c r="AH18" s="61">
        <f>VLOOKUP(Table1316[[#This Row],[Donor Name]],'Weighted scores by indicator'!$A$7:$AO$74,19,FALSE)</f>
        <v>0.81499999999999995</v>
      </c>
      <c r="AI18" s="61">
        <f>VLOOKUP(Table1316[[#This Row],[Donor Name]],'Weighted scores by indicator'!$A$7:$AO$74,20,FALSE)</f>
        <v>0.54327899999999996</v>
      </c>
      <c r="AJ18" s="61">
        <f>VLOOKUP(Table1316[[#This Row],[Donor Name]],'Weighted scores by indicator'!$A$7:$AO$74,21,FALSE)</f>
        <v>0</v>
      </c>
      <c r="AK18" s="61">
        <f>VLOOKUP(Table1316[[#This Row],[Donor Name]],'Weighted scores by indicator'!$A$7:$AO$74,22,FALSE)</f>
        <v>0</v>
      </c>
      <c r="AL18" s="61">
        <f>VLOOKUP(Table1316[[#This Row],[Donor Name]],'Weighted scores by indicator'!$A$7:$AO$74,23,FALSE)</f>
        <v>0.92999999999999905</v>
      </c>
      <c r="AM18" s="61">
        <f>VLOOKUP(Table1316[[#This Row],[Donor Name]],'Weighted scores by indicator'!$A$7:$AO$74,24,FALSE)</f>
        <v>0.92999999999999905</v>
      </c>
      <c r="AN18" s="61">
        <f>VLOOKUP(Table1316[[#This Row],[Donor Name]],'Weighted scores by indicator'!$A$7:$AO$74,25,FALSE)</f>
        <v>0.92999999999999905</v>
      </c>
      <c r="AO18" s="61">
        <f>VLOOKUP(Table1316[[#This Row],[Donor Name]],'Weighted scores by indicator'!$A$7:$AO$74,26,FALSE)</f>
        <v>0</v>
      </c>
      <c r="AP18" s="61">
        <f>VLOOKUP(Table1316[[#This Row],[Donor Name]],'Weighted scores by indicator'!$A$7:$AO$74,27,FALSE)</f>
        <v>0</v>
      </c>
      <c r="AQ18" s="61">
        <f>VLOOKUP(Table1316[[#This Row],[Donor Name]],'Weighted scores by indicator'!$A$7:$AO$74,28,FALSE)</f>
        <v>0</v>
      </c>
      <c r="AR18" s="61">
        <f>VLOOKUP(Table1316[[#This Row],[Donor Name]],'Weighted scores by indicator'!$A$7:$AO$74,29,FALSE)</f>
        <v>1.085</v>
      </c>
      <c r="AS18" s="61">
        <f>VLOOKUP(Table1316[[#This Row],[Donor Name]],'Weighted scores by indicator'!$A$7:$AO$74,30,FALSE)</f>
        <v>1.085</v>
      </c>
      <c r="AT18" s="61">
        <f>VLOOKUP(Table1316[[#This Row],[Donor Name]],'Weighted scores by indicator'!$A$7:$AO$74,31,FALSE)</f>
        <v>0</v>
      </c>
      <c r="AU18" s="61">
        <f>VLOOKUP(Table1316[[#This Row],[Donor Name]],'Weighted scores by indicator'!$A$7:$AO$74,32,FALSE)</f>
        <v>0</v>
      </c>
      <c r="AV18" s="61">
        <f>VLOOKUP(Table1316[[#This Row],[Donor Name]],'Weighted scores by indicator'!$A$7:$AO$74,33,FALSE)</f>
        <v>1.085</v>
      </c>
      <c r="AW18" s="61">
        <f>VLOOKUP(Table1316[[#This Row],[Donor Name]],'Weighted scores by indicator'!$A$7:$AO$74,34,FALSE)</f>
        <v>1.625</v>
      </c>
      <c r="AX18" s="61">
        <f>VLOOKUP(Table1316[[#This Row],[Donor Name]],'Weighted scores by indicator'!$A$7:$AO$74,35,FALSE)</f>
        <v>1.625</v>
      </c>
      <c r="AY18" s="61">
        <f>VLOOKUP(Table1316[[#This Row],[Donor Name]],'Weighted scores by indicator'!$A$7:$AO$74,36,FALSE)</f>
        <v>0</v>
      </c>
      <c r="AZ18" s="61">
        <f>VLOOKUP(Table1316[[#This Row],[Donor Name]],'Weighted scores by indicator'!$A$7:$AO$74,37,FALSE)</f>
        <v>0</v>
      </c>
      <c r="BA18" s="61">
        <f>VLOOKUP(Table1316[[#This Row],[Donor Name]],'Weighted scores by indicator'!$A$7:$AO$74,38,FALSE)</f>
        <v>0</v>
      </c>
      <c r="BB18" s="61">
        <f>VLOOKUP(Table1316[[#This Row],[Donor Name]],'Weighted scores by indicator'!$A$7:$AO$74,39,FALSE)</f>
        <v>2.165</v>
      </c>
      <c r="BC18" s="111">
        <f>VLOOKUP(Table1316[[#This Row],[Donor Name]],'Weighted scores by indicator'!$A$7:$AO$74,40,FALSE)</f>
        <v>0</v>
      </c>
      <c r="BD18" s="61">
        <f>COUNTIF(Table1316[[#This Row],[FOIA]:[Conditions]],"0")</f>
        <v>14</v>
      </c>
      <c r="BE18" s="61">
        <f>COUNTIF(Table1316[[#This Row],[FOIA]:[Conditions]],"&gt;0")</f>
        <v>25</v>
      </c>
      <c r="BF18" s="61"/>
      <c r="BG18" s="61">
        <f>39-SUM(Table13[[#This Row],[No of indicators not scoring on]:[No of indicators scoring on]])</f>
        <v>0</v>
      </c>
    </row>
    <row r="19" spans="1:59" x14ac:dyDescent="0.25">
      <c r="A19" s="144">
        <v>42004</v>
      </c>
      <c r="B19" s="148" t="s">
        <v>295</v>
      </c>
      <c r="C19" s="158">
        <f>VLOOKUP(Table1316[[#This Row],[Donor Name]],'Overall scores and ranking'!$A$3:$D$72,2,FALSE)</f>
        <v>24.577408999999996</v>
      </c>
      <c r="D19" s="108">
        <f>VLOOKUP(Table1316[[#This Row],[Donor Name]],'Overall scores and ranking'!$A$3:$D$72,3,FALSE)</f>
        <v>45</v>
      </c>
      <c r="E19" s="156">
        <f>RANK(Table1316[[#This Row],[Overall Score]],Table1316[Overall Score])</f>
        <v>16</v>
      </c>
      <c r="F19" s="112" t="str">
        <f>VLOOKUP(Table1316[[#This Row],[Donor Name]],'Overall scores and ranking'!$A$3:$D$72,4,FALSE)</f>
        <v>Poor</v>
      </c>
      <c r="G19" s="110">
        <f>VLOOKUP(Table1316[[#This Row],[Donor Name]],'Wtd - IATI vs Others'!$A$5:$D$72,2,FALSE)</f>
        <v>0</v>
      </c>
      <c r="H19" s="62">
        <f>VLOOKUP(Table1316[[#This Row],[Donor Name]],'Wtd - IATI vs Others'!$A$5:$D$72,3,FALSE)</f>
        <v>24.577408999999996</v>
      </c>
      <c r="I19" s="62">
        <f>VLOOKUP(Table1316[[#This Row],[Donor Name]],'Wtd scores by sub-groups'!$A$5:$K$72,2,FALSE)</f>
        <v>4.4395559999999996</v>
      </c>
      <c r="J19" s="62">
        <f>VLOOKUP(Table1316[[#This Row],[Donor Name]],'Wtd scores by sub-groups'!$A$5:$K$72,3,FALSE)</f>
        <v>5</v>
      </c>
      <c r="K19" s="62">
        <f>VLOOKUP(Table1316[[#This Row],[Donor Name]],'Wtd scores by sub-groups'!$A$5:$K$72,4,FALSE)</f>
        <v>3.4748609999999998</v>
      </c>
      <c r="L19" s="62">
        <f>VLOOKUP(Table1316[[#This Row],[Donor Name]],'Wtd scores by sub-groups'!$A$5:$K$72,5,FALSE)</f>
        <v>2.9881159999999998</v>
      </c>
      <c r="M19" s="62">
        <f>VLOOKUP(Table1316[[#This Row],[Donor Name]],'Wtd scores by sub-groups'!$A$5:$K$72,6,FALSE)</f>
        <v>2.1698759999999968</v>
      </c>
      <c r="N19" s="62">
        <f>VLOOKUP(Table1316[[#This Row],[Donor Name]],'Wtd scores by sub-groups'!$A$5:$K$72,7,FALSE)</f>
        <v>3.2549999999999999</v>
      </c>
      <c r="O19" s="62">
        <f>VLOOKUP(Table1316[[#This Row],[Donor Name]],'Wtd scores by sub-groups'!$A$5:$K$72,8,FALSE)</f>
        <v>3.25</v>
      </c>
      <c r="P19" s="62">
        <f>VLOOKUP(Table1316[[#This Row],[Donor Name]],'Wtd scores by sub-groups'!$A$5:$K$72,9,FALSE)</f>
        <v>0</v>
      </c>
      <c r="Q19" s="62">
        <f>VLOOKUP(Table1316[[#This Row],[Donor Name]],'Weighted scores by indicator'!$A$7:$AO$74,2,FALSE)</f>
        <v>2.2197779999999998</v>
      </c>
      <c r="R19" s="62">
        <f>VLOOKUP(Table1316[[#This Row],[Donor Name]],'Weighted scores by indicator'!$A$7:$AO$74,3,FALSE)</f>
        <v>0</v>
      </c>
      <c r="S19" s="62">
        <f>VLOOKUP(Table1316[[#This Row],[Donor Name]],'Weighted scores by indicator'!$A$7:$AO$74,4,FALSE)</f>
        <v>2.2197779999999998</v>
      </c>
      <c r="T19" s="62">
        <f>VLOOKUP(Table1316[[#This Row],[Donor Name]],'Weighted scores by indicator'!$A$7:$AO$74,5,FALSE)</f>
        <v>1.25</v>
      </c>
      <c r="U19" s="62">
        <f>VLOOKUP(Table1316[[#This Row],[Donor Name]],'Weighted scores by indicator'!$A$7:$AO$74,6,FALSE)</f>
        <v>1.25</v>
      </c>
      <c r="V19" s="62">
        <f>VLOOKUP(Table1316[[#This Row],[Donor Name]],'Weighted scores by indicator'!$A$7:$AO$74,7,FALSE)</f>
        <v>1.25</v>
      </c>
      <c r="W19" s="62">
        <f>VLOOKUP(Table1316[[#This Row],[Donor Name]],'Weighted scores by indicator'!$A$7:$AO$74,8,FALSE)</f>
        <v>1.25</v>
      </c>
      <c r="X19" s="62">
        <f>VLOOKUP(Table1316[[#This Row],[Donor Name]],'Weighted scores by indicator'!$A$7:$AO$74,9,FALSE)</f>
        <v>0</v>
      </c>
      <c r="Y19" s="62">
        <f>VLOOKUP(Table1316[[#This Row],[Donor Name]],'Weighted scores by indicator'!$A$7:$AO$74,10,FALSE)</f>
        <v>0.69493050000000001</v>
      </c>
      <c r="Z19" s="62">
        <f>VLOOKUP(Table1316[[#This Row],[Donor Name]],'Weighted scores by indicator'!$A$7:$AO$74,11,FALSE)</f>
        <v>0.69493050000000001</v>
      </c>
      <c r="AA19" s="62">
        <f>VLOOKUP(Table1316[[#This Row],[Donor Name]],'Weighted scores by indicator'!$A$7:$AO$74,12,FALSE)</f>
        <v>2.085</v>
      </c>
      <c r="AB19" s="62">
        <f>VLOOKUP(Table1316[[#This Row],[Donor Name]],'Weighted scores by indicator'!$A$7:$AO$74,13,FALSE)</f>
        <v>0.54327899999999996</v>
      </c>
      <c r="AC19" s="62">
        <f>VLOOKUP(Table1316[[#This Row],[Donor Name]],'Weighted scores by indicator'!$A$7:$AO$74,14,FALSE)</f>
        <v>0.54327899999999996</v>
      </c>
      <c r="AD19" s="62">
        <f>VLOOKUP(Table1316[[#This Row],[Donor Name]],'Weighted scores by indicator'!$A$7:$AO$74,15,FALSE)</f>
        <v>0.81499999999999995</v>
      </c>
      <c r="AE19" s="62">
        <f>VLOOKUP(Table1316[[#This Row],[Donor Name]],'Weighted scores by indicator'!$A$7:$AO$74,16,FALSE)</f>
        <v>0.54327899999999996</v>
      </c>
      <c r="AF19" s="62">
        <f>VLOOKUP(Table1316[[#This Row],[Donor Name]],'Weighted scores by indicator'!$A$7:$AO$74,17,FALSE)</f>
        <v>0</v>
      </c>
      <c r="AG19" s="62">
        <f>VLOOKUP(Table1316[[#This Row],[Donor Name]],'Weighted scores by indicator'!$A$7:$AO$74,18,FALSE)</f>
        <v>0</v>
      </c>
      <c r="AH19" s="62">
        <f>VLOOKUP(Table1316[[#This Row],[Donor Name]],'Weighted scores by indicator'!$A$7:$AO$74,19,FALSE)</f>
        <v>0</v>
      </c>
      <c r="AI19" s="62">
        <f>VLOOKUP(Table1316[[#This Row],[Donor Name]],'Weighted scores by indicator'!$A$7:$AO$74,20,FALSE)</f>
        <v>0.54327899999999996</v>
      </c>
      <c r="AJ19" s="62">
        <f>VLOOKUP(Table1316[[#This Row],[Donor Name]],'Weighted scores by indicator'!$A$7:$AO$74,21,FALSE)</f>
        <v>0</v>
      </c>
      <c r="AK19" s="62">
        <f>VLOOKUP(Table1316[[#This Row],[Donor Name]],'Weighted scores by indicator'!$A$7:$AO$74,22,FALSE)</f>
        <v>0</v>
      </c>
      <c r="AL19" s="62">
        <f>VLOOKUP(Table1316[[#This Row],[Donor Name]],'Weighted scores by indicator'!$A$7:$AO$74,23,FALSE)</f>
        <v>0.61993799999999899</v>
      </c>
      <c r="AM19" s="62">
        <f>VLOOKUP(Table1316[[#This Row],[Donor Name]],'Weighted scores by indicator'!$A$7:$AO$74,24,FALSE)</f>
        <v>0.61993799999999899</v>
      </c>
      <c r="AN19" s="62">
        <f>VLOOKUP(Table1316[[#This Row],[Donor Name]],'Weighted scores by indicator'!$A$7:$AO$74,25,FALSE)</f>
        <v>0.92999999999999905</v>
      </c>
      <c r="AO19" s="62">
        <f>VLOOKUP(Table1316[[#This Row],[Donor Name]],'Weighted scores by indicator'!$A$7:$AO$74,26,FALSE)</f>
        <v>0</v>
      </c>
      <c r="AP19" s="62">
        <f>VLOOKUP(Table1316[[#This Row],[Donor Name]],'Weighted scores by indicator'!$A$7:$AO$74,27,FALSE)</f>
        <v>0</v>
      </c>
      <c r="AQ19" s="62">
        <f>VLOOKUP(Table1316[[#This Row],[Donor Name]],'Weighted scores by indicator'!$A$7:$AO$74,28,FALSE)</f>
        <v>0</v>
      </c>
      <c r="AR19" s="62">
        <f>VLOOKUP(Table1316[[#This Row],[Donor Name]],'Weighted scores by indicator'!$A$7:$AO$74,29,FALSE)</f>
        <v>0</v>
      </c>
      <c r="AS19" s="62">
        <f>VLOOKUP(Table1316[[#This Row],[Donor Name]],'Weighted scores by indicator'!$A$7:$AO$74,30,FALSE)</f>
        <v>1.085</v>
      </c>
      <c r="AT19" s="62">
        <f>VLOOKUP(Table1316[[#This Row],[Donor Name]],'Weighted scores by indicator'!$A$7:$AO$74,31,FALSE)</f>
        <v>0</v>
      </c>
      <c r="AU19" s="62">
        <f>VLOOKUP(Table1316[[#This Row],[Donor Name]],'Weighted scores by indicator'!$A$7:$AO$74,32,FALSE)</f>
        <v>1.085</v>
      </c>
      <c r="AV19" s="62">
        <f>VLOOKUP(Table1316[[#This Row],[Donor Name]],'Weighted scores by indicator'!$A$7:$AO$74,33,FALSE)</f>
        <v>1.085</v>
      </c>
      <c r="AW19" s="62">
        <f>VLOOKUP(Table1316[[#This Row],[Donor Name]],'Weighted scores by indicator'!$A$7:$AO$74,34,FALSE)</f>
        <v>1.625</v>
      </c>
      <c r="AX19" s="62">
        <f>VLOOKUP(Table1316[[#This Row],[Donor Name]],'Weighted scores by indicator'!$A$7:$AO$74,35,FALSE)</f>
        <v>1.625</v>
      </c>
      <c r="AY19" s="62">
        <f>VLOOKUP(Table1316[[#This Row],[Donor Name]],'Weighted scores by indicator'!$A$7:$AO$74,36,FALSE)</f>
        <v>0</v>
      </c>
      <c r="AZ19" s="62">
        <f>VLOOKUP(Table1316[[#This Row],[Donor Name]],'Weighted scores by indicator'!$A$7:$AO$74,37,FALSE)</f>
        <v>0</v>
      </c>
      <c r="BA19" s="62">
        <f>VLOOKUP(Table1316[[#This Row],[Donor Name]],'Weighted scores by indicator'!$A$7:$AO$74,38,FALSE)</f>
        <v>0</v>
      </c>
      <c r="BB19" s="62">
        <f>VLOOKUP(Table1316[[#This Row],[Donor Name]],'Weighted scores by indicator'!$A$7:$AO$74,39,FALSE)</f>
        <v>0</v>
      </c>
      <c r="BC19" s="112">
        <f>VLOOKUP(Table1316[[#This Row],[Donor Name]],'Weighted scores by indicator'!$A$7:$AO$74,40,FALSE)</f>
        <v>0</v>
      </c>
      <c r="BD19" s="61">
        <f>COUNTIF(Table1316[[#This Row],[FOIA]:[Conditions]],"0")</f>
        <v>17</v>
      </c>
      <c r="BE19" s="61">
        <f>COUNTIF(Table1316[[#This Row],[FOIA]:[Conditions]],"&gt;0")</f>
        <v>22</v>
      </c>
      <c r="BF19" s="61"/>
      <c r="BG19" s="61">
        <f>39-SUM(Table13[[#This Row],[No of indicators not scoring on]:[No of indicators scoring on]])</f>
        <v>0</v>
      </c>
    </row>
    <row r="20" spans="1:59" x14ac:dyDescent="0.25">
      <c r="A20" s="142">
        <v>46015</v>
      </c>
      <c r="B20" s="146" t="s">
        <v>255</v>
      </c>
      <c r="C20" s="158">
        <f>VLOOKUP(Table1316[[#This Row],[Donor Name]],'Overall scores and ranking'!$A$3:$D$72,2,FALSE)</f>
        <v>24.502645999999995</v>
      </c>
      <c r="D20" s="108">
        <f>VLOOKUP(Table1316[[#This Row],[Donor Name]],'Overall scores and ranking'!$A$3:$D$72,3,FALSE)</f>
        <v>46</v>
      </c>
      <c r="E20" s="156">
        <f>RANK(Table1316[[#This Row],[Overall Score]],Table1316[Overall Score])</f>
        <v>17</v>
      </c>
      <c r="F20" s="112" t="str">
        <f>VLOOKUP(Table1316[[#This Row],[Donor Name]],'Overall scores and ranking'!$A$3:$D$72,4,FALSE)</f>
        <v>Poor</v>
      </c>
      <c r="G20" s="110">
        <f>VLOOKUP(Table1316[[#This Row],[Donor Name]],'Wtd - IATI vs Others'!$A$5:$D$72,2,FALSE)</f>
        <v>0</v>
      </c>
      <c r="H20" s="62">
        <f>VLOOKUP(Table1316[[#This Row],[Donor Name]],'Wtd - IATI vs Others'!$A$5:$D$72,3,FALSE)</f>
        <v>24.502645999999995</v>
      </c>
      <c r="I20" s="62">
        <f>VLOOKUP(Table1316[[#This Row],[Donor Name]],'Wtd scores by sub-groups'!$A$5:$K$72,2,FALSE)</f>
        <v>2.2197779999999998</v>
      </c>
      <c r="J20" s="62">
        <f>VLOOKUP(Table1316[[#This Row],[Donor Name]],'Wtd scores by sub-groups'!$A$5:$K$72,3,FALSE)</f>
        <v>6.25</v>
      </c>
      <c r="K20" s="62">
        <f>VLOOKUP(Table1316[[#This Row],[Donor Name]],'Wtd scores by sub-groups'!$A$5:$K$72,4,FALSE)</f>
        <v>2.5482870000000002</v>
      </c>
      <c r="L20" s="62">
        <f>VLOOKUP(Table1316[[#This Row],[Donor Name]],'Wtd scores by sub-groups'!$A$5:$K$72,5,FALSE)</f>
        <v>3.259674</v>
      </c>
      <c r="M20" s="62">
        <f>VLOOKUP(Table1316[[#This Row],[Donor Name]],'Wtd scores by sub-groups'!$A$5:$K$72,6,FALSE)</f>
        <v>3.7199069999999947</v>
      </c>
      <c r="N20" s="62">
        <f>VLOOKUP(Table1316[[#This Row],[Donor Name]],'Wtd scores by sub-groups'!$A$5:$K$72,7,FALSE)</f>
        <v>3.2549999999999999</v>
      </c>
      <c r="O20" s="62">
        <f>VLOOKUP(Table1316[[#This Row],[Donor Name]],'Wtd scores by sub-groups'!$A$5:$K$72,8,FALSE)</f>
        <v>3.25</v>
      </c>
      <c r="P20" s="62">
        <f>VLOOKUP(Table1316[[#This Row],[Donor Name]],'Wtd scores by sub-groups'!$A$5:$K$72,9,FALSE)</f>
        <v>0</v>
      </c>
      <c r="Q20" s="62">
        <f>VLOOKUP(Table1316[[#This Row],[Donor Name]],'Weighted scores by indicator'!$A$7:$AO$74,2,FALSE)</f>
        <v>1.1098889999999999</v>
      </c>
      <c r="R20" s="62">
        <f>VLOOKUP(Table1316[[#This Row],[Donor Name]],'Weighted scores by indicator'!$A$7:$AO$74,3,FALSE)</f>
        <v>0</v>
      </c>
      <c r="S20" s="62">
        <f>VLOOKUP(Table1316[[#This Row],[Donor Name]],'Weighted scores by indicator'!$A$7:$AO$74,4,FALSE)</f>
        <v>1.1098889999999999</v>
      </c>
      <c r="T20" s="62">
        <f>VLOOKUP(Table1316[[#This Row],[Donor Name]],'Weighted scores by indicator'!$A$7:$AO$74,5,FALSE)</f>
        <v>1.25</v>
      </c>
      <c r="U20" s="62">
        <f>VLOOKUP(Table1316[[#This Row],[Donor Name]],'Weighted scores by indicator'!$A$7:$AO$74,6,FALSE)</f>
        <v>1.25</v>
      </c>
      <c r="V20" s="62">
        <f>VLOOKUP(Table1316[[#This Row],[Donor Name]],'Weighted scores by indicator'!$A$7:$AO$74,7,FALSE)</f>
        <v>1.25</v>
      </c>
      <c r="W20" s="62">
        <f>VLOOKUP(Table1316[[#This Row],[Donor Name]],'Weighted scores by indicator'!$A$7:$AO$74,8,FALSE)</f>
        <v>1.25</v>
      </c>
      <c r="X20" s="62">
        <f>VLOOKUP(Table1316[[#This Row],[Donor Name]],'Weighted scores by indicator'!$A$7:$AO$74,9,FALSE)</f>
        <v>1.25</v>
      </c>
      <c r="Y20" s="62">
        <f>VLOOKUP(Table1316[[#This Row],[Donor Name]],'Weighted scores by indicator'!$A$7:$AO$74,10,FALSE)</f>
        <v>0.463287</v>
      </c>
      <c r="Z20" s="62">
        <f>VLOOKUP(Table1316[[#This Row],[Donor Name]],'Weighted scores by indicator'!$A$7:$AO$74,11,FALSE)</f>
        <v>0</v>
      </c>
      <c r="AA20" s="62">
        <f>VLOOKUP(Table1316[[#This Row],[Donor Name]],'Weighted scores by indicator'!$A$7:$AO$74,12,FALSE)</f>
        <v>2.085</v>
      </c>
      <c r="AB20" s="62">
        <f>VLOOKUP(Table1316[[#This Row],[Donor Name]],'Weighted scores by indicator'!$A$7:$AO$74,13,FALSE)</f>
        <v>0.54327899999999996</v>
      </c>
      <c r="AC20" s="62">
        <f>VLOOKUP(Table1316[[#This Row],[Donor Name]],'Weighted scores by indicator'!$A$7:$AO$74,14,FALSE)</f>
        <v>0.54327899999999996</v>
      </c>
      <c r="AD20" s="62">
        <f>VLOOKUP(Table1316[[#This Row],[Donor Name]],'Weighted scores by indicator'!$A$7:$AO$74,15,FALSE)</f>
        <v>0.54327899999999996</v>
      </c>
      <c r="AE20" s="62">
        <f>VLOOKUP(Table1316[[#This Row],[Donor Name]],'Weighted scores by indicator'!$A$7:$AO$74,16,FALSE)</f>
        <v>0.54327899999999996</v>
      </c>
      <c r="AF20" s="62">
        <f>VLOOKUP(Table1316[[#This Row],[Donor Name]],'Weighted scores by indicator'!$A$7:$AO$74,17,FALSE)</f>
        <v>0</v>
      </c>
      <c r="AG20" s="62">
        <f>VLOOKUP(Table1316[[#This Row],[Donor Name]],'Weighted scores by indicator'!$A$7:$AO$74,18,FALSE)</f>
        <v>0</v>
      </c>
      <c r="AH20" s="62">
        <f>VLOOKUP(Table1316[[#This Row],[Donor Name]],'Weighted scores by indicator'!$A$7:$AO$74,19,FALSE)</f>
        <v>0.54327899999999996</v>
      </c>
      <c r="AI20" s="62">
        <f>VLOOKUP(Table1316[[#This Row],[Donor Name]],'Weighted scores by indicator'!$A$7:$AO$74,20,FALSE)</f>
        <v>0.54327899999999996</v>
      </c>
      <c r="AJ20" s="62">
        <f>VLOOKUP(Table1316[[#This Row],[Donor Name]],'Weighted scores by indicator'!$A$7:$AO$74,21,FALSE)</f>
        <v>0.92999999999999905</v>
      </c>
      <c r="AK20" s="62">
        <f>VLOOKUP(Table1316[[#This Row],[Donor Name]],'Weighted scores by indicator'!$A$7:$AO$74,22,FALSE)</f>
        <v>0</v>
      </c>
      <c r="AL20" s="62">
        <f>VLOOKUP(Table1316[[#This Row],[Donor Name]],'Weighted scores by indicator'!$A$7:$AO$74,23,FALSE)</f>
        <v>0.61993799999999899</v>
      </c>
      <c r="AM20" s="62">
        <f>VLOOKUP(Table1316[[#This Row],[Donor Name]],'Weighted scores by indicator'!$A$7:$AO$74,24,FALSE)</f>
        <v>0.92999999999999905</v>
      </c>
      <c r="AN20" s="62">
        <f>VLOOKUP(Table1316[[#This Row],[Donor Name]],'Weighted scores by indicator'!$A$7:$AO$74,25,FALSE)</f>
        <v>0.92999999999999905</v>
      </c>
      <c r="AO20" s="62">
        <f>VLOOKUP(Table1316[[#This Row],[Donor Name]],'Weighted scores by indicator'!$A$7:$AO$74,26,FALSE)</f>
        <v>0</v>
      </c>
      <c r="AP20" s="62">
        <f>VLOOKUP(Table1316[[#This Row],[Donor Name]],'Weighted scores by indicator'!$A$7:$AO$74,27,FALSE)</f>
        <v>0.309968999999999</v>
      </c>
      <c r="AQ20" s="62">
        <f>VLOOKUP(Table1316[[#This Row],[Donor Name]],'Weighted scores by indicator'!$A$7:$AO$74,28,FALSE)</f>
        <v>0</v>
      </c>
      <c r="AR20" s="62">
        <f>VLOOKUP(Table1316[[#This Row],[Donor Name]],'Weighted scores by indicator'!$A$7:$AO$74,29,FALSE)</f>
        <v>0</v>
      </c>
      <c r="AS20" s="62">
        <f>VLOOKUP(Table1316[[#This Row],[Donor Name]],'Weighted scores by indicator'!$A$7:$AO$74,30,FALSE)</f>
        <v>1.085</v>
      </c>
      <c r="AT20" s="62">
        <f>VLOOKUP(Table1316[[#This Row],[Donor Name]],'Weighted scores by indicator'!$A$7:$AO$74,31,FALSE)</f>
        <v>0</v>
      </c>
      <c r="AU20" s="62">
        <f>VLOOKUP(Table1316[[#This Row],[Donor Name]],'Weighted scores by indicator'!$A$7:$AO$74,32,FALSE)</f>
        <v>1.085</v>
      </c>
      <c r="AV20" s="62">
        <f>VLOOKUP(Table1316[[#This Row],[Donor Name]],'Weighted scores by indicator'!$A$7:$AO$74,33,FALSE)</f>
        <v>1.085</v>
      </c>
      <c r="AW20" s="62">
        <f>VLOOKUP(Table1316[[#This Row],[Donor Name]],'Weighted scores by indicator'!$A$7:$AO$74,34,FALSE)</f>
        <v>1.625</v>
      </c>
      <c r="AX20" s="62">
        <f>VLOOKUP(Table1316[[#This Row],[Donor Name]],'Weighted scores by indicator'!$A$7:$AO$74,35,FALSE)</f>
        <v>1.625</v>
      </c>
      <c r="AY20" s="62">
        <f>VLOOKUP(Table1316[[#This Row],[Donor Name]],'Weighted scores by indicator'!$A$7:$AO$74,36,FALSE)</f>
        <v>0</v>
      </c>
      <c r="AZ20" s="62">
        <f>VLOOKUP(Table1316[[#This Row],[Donor Name]],'Weighted scores by indicator'!$A$7:$AO$74,37,FALSE)</f>
        <v>0</v>
      </c>
      <c r="BA20" s="62">
        <f>VLOOKUP(Table1316[[#This Row],[Donor Name]],'Weighted scores by indicator'!$A$7:$AO$74,38,FALSE)</f>
        <v>0</v>
      </c>
      <c r="BB20" s="62">
        <f>VLOOKUP(Table1316[[#This Row],[Donor Name]],'Weighted scores by indicator'!$A$7:$AO$74,39,FALSE)</f>
        <v>0</v>
      </c>
      <c r="BC20" s="112">
        <f>VLOOKUP(Table1316[[#This Row],[Donor Name]],'Weighted scores by indicator'!$A$7:$AO$74,40,FALSE)</f>
        <v>0</v>
      </c>
      <c r="BD20" s="62">
        <f>COUNTIF(Table1316[[#This Row],[FOIA]:[Conditions]],"0")</f>
        <v>14</v>
      </c>
      <c r="BE20" s="62">
        <f>COUNTIF(Table1316[[#This Row],[FOIA]:[Conditions]],"&gt;0")</f>
        <v>25</v>
      </c>
      <c r="BF20" s="62"/>
      <c r="BG20" s="62">
        <f>39-SUM(Table13[[#This Row],[No of indicators not scoring on]:[No of indicators scoring on]])</f>
        <v>0</v>
      </c>
    </row>
    <row r="21" spans="1:59" x14ac:dyDescent="0.25">
      <c r="A21" s="143"/>
      <c r="B21" s="147" t="s">
        <v>3141</v>
      </c>
      <c r="C21" s="160">
        <f>SUBTOTAL(1,C4:C20)</f>
        <v>61.262034848188023</v>
      </c>
      <c r="D21" s="134"/>
      <c r="E21" s="134"/>
      <c r="F21" s="93"/>
      <c r="G21" s="93">
        <f>SUBTOTAL(1,G4:G20)</f>
        <v>45.412761789364502</v>
      </c>
      <c r="H21" s="93">
        <f>SUBTOTAL(1,H4:H20)</f>
        <v>15.849273058823528</v>
      </c>
      <c r="I21" s="61"/>
      <c r="J21" s="61"/>
      <c r="K21" s="61"/>
      <c r="L21" s="61"/>
      <c r="M21" s="61"/>
      <c r="N21" s="61"/>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1"/>
      <c r="AZ21" s="61"/>
      <c r="BA21" s="61"/>
      <c r="BB21" s="61"/>
      <c r="BC21" s="111"/>
    </row>
    <row r="22" spans="1:59" x14ac:dyDescent="0.25">
      <c r="A22" s="141"/>
      <c r="B22" s="145" t="s">
        <v>3134</v>
      </c>
      <c r="C22" s="161">
        <f>'Overall scores and ranking'!B72</f>
        <v>38.92704969107966</v>
      </c>
      <c r="D22" s="133"/>
      <c r="E22" s="133"/>
      <c r="F22" s="132"/>
      <c r="G22" s="135">
        <f>'Wtd - IATI vs Others'!B73</f>
        <v>23.593612661667898</v>
      </c>
      <c r="H22" s="135">
        <f>'Wtd - IATI vs Others'!C73</f>
        <v>15.333437029411762</v>
      </c>
      <c r="I22" s="61"/>
      <c r="J22" s="61"/>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111"/>
    </row>
    <row r="23" spans="1:59" s="97" customFormat="1" x14ac:dyDescent="0.25">
      <c r="A23" s="149"/>
      <c r="B23" s="150"/>
      <c r="C23" s="151"/>
      <c r="D23" s="152"/>
      <c r="E23" s="152"/>
      <c r="F23" s="151"/>
      <c r="G23" s="153"/>
      <c r="H23" s="153"/>
      <c r="I23" s="151"/>
      <c r="J23" s="151"/>
      <c r="K23" s="151"/>
      <c r="L23" s="151"/>
      <c r="M23" s="151"/>
      <c r="N23" s="151"/>
      <c r="O23" s="151"/>
      <c r="P23" s="151"/>
      <c r="Q23" s="151"/>
      <c r="R23" s="151"/>
      <c r="S23" s="151"/>
      <c r="T23" s="151"/>
      <c r="U23" s="151"/>
      <c r="V23" s="151"/>
      <c r="W23" s="151"/>
      <c r="X23" s="151"/>
      <c r="Y23" s="151"/>
      <c r="Z23" s="151"/>
      <c r="AA23" s="151"/>
      <c r="AB23" s="151"/>
      <c r="AC23" s="151"/>
      <c r="AD23" s="151"/>
      <c r="AE23" s="151"/>
      <c r="AF23" s="151"/>
      <c r="AG23" s="151"/>
      <c r="AH23" s="151"/>
      <c r="AI23" s="151"/>
      <c r="AJ23" s="151"/>
      <c r="AK23" s="151"/>
      <c r="AL23" s="151"/>
      <c r="AM23" s="151"/>
      <c r="AN23" s="151"/>
      <c r="AO23" s="151"/>
      <c r="AP23" s="151"/>
      <c r="AQ23" s="151"/>
      <c r="AR23" s="151"/>
      <c r="AS23" s="151"/>
      <c r="AT23" s="151"/>
      <c r="AU23" s="151"/>
      <c r="AV23" s="151"/>
      <c r="AW23" s="151"/>
      <c r="AX23" s="151"/>
      <c r="AY23" s="151"/>
      <c r="AZ23" s="151"/>
      <c r="BA23" s="151"/>
      <c r="BB23" s="151"/>
      <c r="BC23" s="151"/>
    </row>
    <row r="24" spans="1:59" x14ac:dyDescent="0.25">
      <c r="B24" t="s">
        <v>3135</v>
      </c>
      <c r="C24" t="s">
        <v>3139</v>
      </c>
      <c r="D24" t="s">
        <v>3140</v>
      </c>
    </row>
    <row r="25" spans="1:59" x14ac:dyDescent="0.25">
      <c r="B25" t="s">
        <v>3049</v>
      </c>
      <c r="C25" s="115">
        <f>COUNTIF($F$4:$F$18,"Very good")</f>
        <v>4</v>
      </c>
      <c r="D25" s="44">
        <f t="shared" ref="D25:D29" si="0">C25/17%</f>
        <v>23.52941176470588</v>
      </c>
      <c r="E25" s="44"/>
    </row>
    <row r="26" spans="1:59" x14ac:dyDescent="0.25">
      <c r="B26" t="s">
        <v>3050</v>
      </c>
      <c r="C26" s="115">
        <f>COUNTIF($F$4:$F$18,"Good")</f>
        <v>7</v>
      </c>
      <c r="D26" s="44">
        <f t="shared" si="0"/>
        <v>41.17647058823529</v>
      </c>
      <c r="E26" s="44"/>
    </row>
    <row r="27" spans="1:59" x14ac:dyDescent="0.25">
      <c r="B27" t="s">
        <v>3051</v>
      </c>
      <c r="C27" s="115">
        <f>COUNTIF($F$4:$F$18,"Fair")</f>
        <v>2</v>
      </c>
      <c r="D27" s="44">
        <f t="shared" si="0"/>
        <v>11.76470588235294</v>
      </c>
      <c r="E27" s="44"/>
    </row>
    <row r="28" spans="1:59" x14ac:dyDescent="0.25">
      <c r="B28" t="s">
        <v>3112</v>
      </c>
      <c r="C28" s="115">
        <f>COUNTIF($F$4:$F$18,"Poor")</f>
        <v>2</v>
      </c>
      <c r="D28" s="44">
        <f t="shared" si="0"/>
        <v>11.76470588235294</v>
      </c>
      <c r="E28" s="44"/>
    </row>
    <row r="29" spans="1:59" x14ac:dyDescent="0.25">
      <c r="B29" t="s">
        <v>3138</v>
      </c>
      <c r="C29" s="115">
        <f>COUNTIF($F$4:$F$18,"Very Poor")</f>
        <v>0</v>
      </c>
      <c r="D29" s="44">
        <f t="shared" si="0"/>
        <v>0</v>
      </c>
      <c r="E29" s="44"/>
    </row>
  </sheetData>
  <pageMargins left="0.7" right="0.7" top="0.75" bottom="0.75" header="0.3" footer="0.3"/>
  <drawing r:id="rId1"/>
  <tableParts count="2">
    <tablePart r:id="rId2"/>
    <tablePart r:id="rId3"/>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1"/>
  <sheetViews>
    <sheetView workbookViewId="0"/>
  </sheetViews>
  <sheetFormatPr defaultRowHeight="15" x14ac:dyDescent="0.25"/>
  <cols>
    <col min="1" max="1" width="18.42578125" bestFit="1" customWidth="1"/>
    <col min="2" max="2" width="20.140625" customWidth="1"/>
    <col min="3" max="3" width="33" customWidth="1"/>
    <col min="4" max="4" width="8.5703125" customWidth="1"/>
    <col min="5" max="5" width="5.85546875" customWidth="1"/>
    <col min="6" max="6" width="10.28515625" customWidth="1"/>
    <col min="7" max="7" width="11.28515625" customWidth="1"/>
    <col min="8" max="8" width="25.5703125" customWidth="1"/>
    <col min="9" max="9" width="19" customWidth="1"/>
  </cols>
  <sheetData>
    <row r="1" spans="1:10" ht="21" x14ac:dyDescent="0.35">
      <c r="A1" s="167" t="s">
        <v>3272</v>
      </c>
    </row>
    <row r="3" spans="1:10" ht="30" x14ac:dyDescent="0.25">
      <c r="A3" s="125" t="s">
        <v>2909</v>
      </c>
      <c r="B3" s="125" t="s">
        <v>3149</v>
      </c>
      <c r="C3" s="126" t="s">
        <v>3044</v>
      </c>
      <c r="D3" s="125" t="s">
        <v>3045</v>
      </c>
      <c r="E3" s="125" t="s">
        <v>3098</v>
      </c>
      <c r="F3" s="125" t="s">
        <v>3146</v>
      </c>
      <c r="G3" s="125" t="s">
        <v>3147</v>
      </c>
    </row>
    <row r="4" spans="1:10" x14ac:dyDescent="0.25">
      <c r="A4" s="122">
        <v>46002</v>
      </c>
      <c r="B4" s="118" t="s">
        <v>2747</v>
      </c>
      <c r="C4" s="119">
        <v>74.51602883307369</v>
      </c>
      <c r="D4" s="117">
        <f t="shared" ref="D4:D67" si="0">RANK(C4,$C$4:$C$71,0)</f>
        <v>8</v>
      </c>
      <c r="E4" s="120" t="str">
        <f>IF(C4&gt;79.99,"Very good",IF(C4&gt;59.99,"Good",IF(C4&gt;39.99,"Fair",IF(C4&gt;19.99,"Poor","Very Poor"))))</f>
        <v>Good</v>
      </c>
      <c r="F4" s="123">
        <f>VLOOKUP(A4,Table1[#All],26,FALSE)</f>
        <v>6058.1135891610338</v>
      </c>
      <c r="G4" s="121" t="str">
        <f t="shared" ref="G4:G67" si="1">IF(F4&gt;9999.99,"Very large",IF(F4&gt;4999.99,"Large",IF(F4&gt;999.99,"Medium", IF(F4&gt;99.99, "Small", "Very small"))))</f>
        <v>Large</v>
      </c>
    </row>
    <row r="5" spans="1:10" x14ac:dyDescent="0.25">
      <c r="A5" s="124">
        <v>46004</v>
      </c>
      <c r="B5" s="118" t="s">
        <v>2381</v>
      </c>
      <c r="C5" s="119">
        <v>83.842838162282519</v>
      </c>
      <c r="D5" s="117">
        <f t="shared" si="0"/>
        <v>5</v>
      </c>
      <c r="E5" s="120" t="str">
        <f t="shared" ref="E5:E68" si="2">IF(C5&gt;79.99,"Very good",IF(C5&gt;59.99,"Good",IF(C5&gt;39.99,"Fair",IF(C5&gt;19.99,"Poor","Very Poor"))))</f>
        <v>Very good</v>
      </c>
      <c r="F5" s="123">
        <f>VLOOKUP(A5,Table1[#All],26,FALSE)</f>
        <v>8734.4327893718182</v>
      </c>
      <c r="G5" s="121" t="str">
        <f t="shared" si="1"/>
        <v>Large</v>
      </c>
    </row>
    <row r="6" spans="1:10" x14ac:dyDescent="0.25">
      <c r="A6" s="122" t="s">
        <v>2300</v>
      </c>
      <c r="B6" s="118" t="s">
        <v>2299</v>
      </c>
      <c r="C6" s="119">
        <v>45.912189861504473</v>
      </c>
      <c r="D6" s="117">
        <f t="shared" si="0"/>
        <v>25</v>
      </c>
      <c r="E6" s="120" t="str">
        <f t="shared" si="2"/>
        <v>Fair</v>
      </c>
      <c r="F6" s="123">
        <f>VLOOKUP(A6,Table1[#All],26,FALSE)</f>
        <v>4088.5485107525997</v>
      </c>
      <c r="G6" s="121" t="str">
        <f t="shared" si="1"/>
        <v>Medium</v>
      </c>
    </row>
    <row r="7" spans="1:10" x14ac:dyDescent="0.25">
      <c r="A7" s="124" t="s">
        <v>29</v>
      </c>
      <c r="B7" s="118" t="s">
        <v>28</v>
      </c>
      <c r="C7" s="119">
        <v>19.072684999999986</v>
      </c>
      <c r="D7" s="117">
        <f t="shared" si="0"/>
        <v>47</v>
      </c>
      <c r="E7" s="120" t="str">
        <f t="shared" si="2"/>
        <v>Very Poor</v>
      </c>
      <c r="F7" s="123">
        <f>VLOOKUP(A7,Table1[#All],26,FALSE)</f>
        <v>87.746475476349332</v>
      </c>
      <c r="G7" s="121" t="str">
        <f t="shared" si="1"/>
        <v>Very small</v>
      </c>
    </row>
    <row r="8" spans="1:10" x14ac:dyDescent="0.25">
      <c r="A8" s="122" t="s">
        <v>1932</v>
      </c>
      <c r="B8" s="118" t="s">
        <v>1931</v>
      </c>
      <c r="C8" s="119">
        <v>18.846488999999988</v>
      </c>
      <c r="D8" s="117">
        <f t="shared" si="0"/>
        <v>49</v>
      </c>
      <c r="E8" s="120" t="str">
        <f t="shared" si="2"/>
        <v>Very Poor</v>
      </c>
      <c r="F8" s="123">
        <f>VLOOKUP(A8,Table1[#All],26,FALSE)</f>
        <v>804.99456812339076</v>
      </c>
      <c r="G8" s="121" t="str">
        <f t="shared" si="1"/>
        <v>Small</v>
      </c>
    </row>
    <row r="9" spans="1:10" x14ac:dyDescent="0.25">
      <c r="A9" s="124" t="s">
        <v>1157</v>
      </c>
      <c r="B9" s="118" t="s">
        <v>1156</v>
      </c>
      <c r="C9" s="119">
        <v>9.6461599999999983</v>
      </c>
      <c r="D9" s="117">
        <f t="shared" si="0"/>
        <v>59</v>
      </c>
      <c r="E9" s="120" t="str">
        <f t="shared" si="2"/>
        <v>Very Poor</v>
      </c>
      <c r="F9" s="123">
        <f>VLOOKUP(A9,Table1[#All],26,FALSE)</f>
        <v>499.7</v>
      </c>
      <c r="G9" s="121" t="str">
        <f t="shared" si="1"/>
        <v>Small</v>
      </c>
      <c r="H9" t="s">
        <v>3097</v>
      </c>
      <c r="I9" t="s">
        <v>3150</v>
      </c>
      <c r="J9" t="s">
        <v>3156</v>
      </c>
    </row>
    <row r="10" spans="1:10" x14ac:dyDescent="0.25">
      <c r="A10" s="122" t="s">
        <v>1850</v>
      </c>
      <c r="B10" s="118" t="s">
        <v>1849</v>
      </c>
      <c r="C10" s="119">
        <v>8.1649999999999991</v>
      </c>
      <c r="D10" s="117">
        <f t="shared" si="0"/>
        <v>63</v>
      </c>
      <c r="E10" s="120" t="str">
        <f t="shared" si="2"/>
        <v>Very Poor</v>
      </c>
      <c r="F10" s="123">
        <f>VLOOKUP(A10,Table1[#All],26,FALSE)</f>
        <v>39.950000000000003</v>
      </c>
      <c r="G10" s="121" t="str">
        <f t="shared" si="1"/>
        <v>Very small</v>
      </c>
      <c r="H10" t="s">
        <v>3049</v>
      </c>
      <c r="I10" s="116">
        <f>SUMIF($E$4:$E$71,H10,$F$4:$F$71)</f>
        <v>34622.758643509114</v>
      </c>
      <c r="J10" s="116">
        <f>Table36[[#This Row],[Value of aid]]/SUM($I$10:$I$14)%</f>
        <v>18.462052903635087</v>
      </c>
    </row>
    <row r="11" spans="1:10" x14ac:dyDescent="0.25">
      <c r="A11" s="124" t="s">
        <v>911</v>
      </c>
      <c r="B11" s="118" t="s">
        <v>910</v>
      </c>
      <c r="C11" s="119">
        <v>71.671348938086496</v>
      </c>
      <c r="D11" s="117">
        <f t="shared" si="0"/>
        <v>11</v>
      </c>
      <c r="E11" s="120" t="str">
        <f t="shared" si="2"/>
        <v>Good</v>
      </c>
      <c r="F11" s="123">
        <f>VLOOKUP(A11,Table1[#All],26,FALSE)</f>
        <v>3099</v>
      </c>
      <c r="G11" s="121" t="str">
        <f t="shared" si="1"/>
        <v>Medium</v>
      </c>
      <c r="H11" t="s">
        <v>3050</v>
      </c>
      <c r="I11" s="116">
        <f t="shared" ref="I11:I14" si="3">SUMIF($E$4:$E$71,H11,$F$4:$F$71)</f>
        <v>37028.394906751528</v>
      </c>
      <c r="J11" s="116">
        <f>Table36[[#This Row],[Value of aid]]/SUM($I$10:$I$14)%</f>
        <v>19.744821397508719</v>
      </c>
    </row>
    <row r="12" spans="1:10" x14ac:dyDescent="0.25">
      <c r="A12" s="122" t="s">
        <v>2870</v>
      </c>
      <c r="B12" s="118" t="s">
        <v>2869</v>
      </c>
      <c r="C12" s="119">
        <v>2.2197779999999998</v>
      </c>
      <c r="D12" s="117">
        <f t="shared" si="0"/>
        <v>68</v>
      </c>
      <c r="E12" s="120" t="str">
        <f t="shared" si="2"/>
        <v>Very Poor</v>
      </c>
      <c r="F12" s="123">
        <f>VLOOKUP(A12,Table1[#All],26,FALSE)</f>
        <v>2644.2</v>
      </c>
      <c r="G12" s="121" t="str">
        <f t="shared" si="1"/>
        <v>Medium</v>
      </c>
      <c r="H12" t="s">
        <v>3051</v>
      </c>
      <c r="I12" s="116">
        <f t="shared" si="3"/>
        <v>44226.648747613232</v>
      </c>
      <c r="J12" s="116">
        <f>Table36[[#This Row],[Value of aid]]/SUM($I$10:$I$14)%</f>
        <v>23.583179414907708</v>
      </c>
    </row>
    <row r="13" spans="1:10" x14ac:dyDescent="0.25">
      <c r="A13" s="124" t="s">
        <v>174</v>
      </c>
      <c r="B13" s="118" t="s">
        <v>173</v>
      </c>
      <c r="C13" s="119">
        <v>11.814868499999999</v>
      </c>
      <c r="D13" s="117">
        <f t="shared" si="0"/>
        <v>56</v>
      </c>
      <c r="E13" s="120" t="str">
        <f t="shared" si="2"/>
        <v>Very Poor</v>
      </c>
      <c r="F13" s="123">
        <f>VLOOKUP(A13,Table1[#All],26,FALSE)</f>
        <v>21</v>
      </c>
      <c r="G13" s="121" t="str">
        <f t="shared" si="1"/>
        <v>Very small</v>
      </c>
      <c r="H13" t="s">
        <v>3112</v>
      </c>
      <c r="I13" s="116">
        <f t="shared" si="3"/>
        <v>54322.645770935145</v>
      </c>
      <c r="J13" s="116">
        <f>Table36[[#This Row],[Value of aid]]/SUM($I$10:$I$14)%</f>
        <v>28.966714363081323</v>
      </c>
    </row>
    <row r="14" spans="1:10" x14ac:dyDescent="0.25">
      <c r="A14" s="122" t="s">
        <v>1973</v>
      </c>
      <c r="B14" s="118" t="s">
        <v>1972</v>
      </c>
      <c r="C14" s="119">
        <v>5.909658999999988</v>
      </c>
      <c r="D14" s="117">
        <f t="shared" si="0"/>
        <v>66</v>
      </c>
      <c r="E14" s="120" t="str">
        <f t="shared" si="2"/>
        <v>Very Poor</v>
      </c>
      <c r="F14" s="123">
        <f>VLOOKUP(A14,Table1[#All],26,FALSE)</f>
        <v>25.08</v>
      </c>
      <c r="G14" s="121" t="str">
        <f t="shared" si="1"/>
        <v>Very small</v>
      </c>
      <c r="H14" t="s">
        <v>3138</v>
      </c>
      <c r="I14" s="116">
        <f t="shared" si="3"/>
        <v>17334.268813580919</v>
      </c>
      <c r="J14" s="116">
        <f>Table36[[#This Row],[Value of aid]]/SUM($I$10:$I$14)%</f>
        <v>9.2432319208671583</v>
      </c>
    </row>
    <row r="15" spans="1:10" x14ac:dyDescent="0.25">
      <c r="A15" s="124" t="s">
        <v>215</v>
      </c>
      <c r="B15" s="118" t="s">
        <v>214</v>
      </c>
      <c r="C15" s="119">
        <v>29.489809999999995</v>
      </c>
      <c r="D15" s="117">
        <f t="shared" si="0"/>
        <v>40</v>
      </c>
      <c r="E15" s="120" t="str">
        <f t="shared" si="2"/>
        <v>Poor</v>
      </c>
      <c r="F15" s="123">
        <f>VLOOKUP(A15,Table1[#All],26,FALSE)</f>
        <v>21.734204101687428</v>
      </c>
      <c r="G15" s="121" t="str">
        <f t="shared" si="1"/>
        <v>Very small</v>
      </c>
      <c r="I15" s="116">
        <f>SUM(I10:I14)</f>
        <v>187534.71688238994</v>
      </c>
      <c r="J15" s="44">
        <f>Table36[[#This Row],[Value of aid]]/SUM($I$10:$I$14)%</f>
        <v>100</v>
      </c>
    </row>
    <row r="16" spans="1:10" x14ac:dyDescent="0.25">
      <c r="A16" s="122" t="s">
        <v>2788</v>
      </c>
      <c r="B16" s="118" t="s">
        <v>2787</v>
      </c>
      <c r="C16" s="119">
        <v>49.639004137678008</v>
      </c>
      <c r="D16" s="117">
        <f t="shared" si="0"/>
        <v>22</v>
      </c>
      <c r="E16" s="120" t="str">
        <f t="shared" si="2"/>
        <v>Fair</v>
      </c>
      <c r="F16" s="123">
        <f>VLOOKUP(A16,Table1[#All],26,FALSE)</f>
        <v>2029.2120762016593</v>
      </c>
      <c r="G16" s="121" t="str">
        <f t="shared" si="1"/>
        <v>Medium</v>
      </c>
    </row>
    <row r="17" spans="1:7" x14ac:dyDescent="0.25">
      <c r="A17" s="122">
        <v>46015</v>
      </c>
      <c r="B17" s="118" t="s">
        <v>255</v>
      </c>
      <c r="C17" s="119">
        <v>24.502645999999995</v>
      </c>
      <c r="D17" s="117">
        <f t="shared" si="0"/>
        <v>46</v>
      </c>
      <c r="E17" s="120" t="str">
        <f t="shared" si="2"/>
        <v>Poor</v>
      </c>
      <c r="F17" s="123">
        <f>VLOOKUP(A17,Table1[#All],26,FALSE)</f>
        <v>3336.3200947489622</v>
      </c>
      <c r="G17" s="121" t="str">
        <f t="shared" si="1"/>
        <v>Medium</v>
      </c>
    </row>
    <row r="18" spans="1:7" x14ac:dyDescent="0.25">
      <c r="A18" s="122" t="s">
        <v>869</v>
      </c>
      <c r="B18" s="118" t="s">
        <v>868</v>
      </c>
      <c r="C18" s="119">
        <v>68.230851769636672</v>
      </c>
      <c r="D18" s="117">
        <f t="shared" si="0"/>
        <v>13</v>
      </c>
      <c r="E18" s="120" t="str">
        <f t="shared" si="2"/>
        <v>Good</v>
      </c>
      <c r="F18" s="123">
        <f>VLOOKUP(A18,Table1[#All],26,FALSE)</f>
        <v>12477.82</v>
      </c>
      <c r="G18" s="121" t="str">
        <f t="shared" si="1"/>
        <v>Very large</v>
      </c>
    </row>
    <row r="19" spans="1:7" x14ac:dyDescent="0.25">
      <c r="A19" s="124" t="s">
        <v>1686</v>
      </c>
      <c r="B19" s="118" t="s">
        <v>1685</v>
      </c>
      <c r="C19" s="119">
        <v>59.913796849686776</v>
      </c>
      <c r="D19" s="117">
        <f t="shared" si="0"/>
        <v>16</v>
      </c>
      <c r="E19" s="120" t="str">
        <f t="shared" si="2"/>
        <v>Fair</v>
      </c>
      <c r="F19" s="123">
        <f>VLOOKUP(A19,Table1[#All],26,FALSE)</f>
        <v>1775.81</v>
      </c>
      <c r="G19" s="121" t="str">
        <f t="shared" si="1"/>
        <v>Medium</v>
      </c>
    </row>
    <row r="20" spans="1:7" x14ac:dyDescent="0.25">
      <c r="A20" s="122" t="s">
        <v>1483</v>
      </c>
      <c r="B20" s="118" t="s">
        <v>1482</v>
      </c>
      <c r="C20" s="119">
        <v>61.767921206882917</v>
      </c>
      <c r="D20" s="117">
        <f t="shared" si="0"/>
        <v>15</v>
      </c>
      <c r="E20" s="120" t="str">
        <f t="shared" si="2"/>
        <v>Good</v>
      </c>
      <c r="F20" s="123">
        <f>VLOOKUP(A20,Table1[#All],26,FALSE)</f>
        <v>2462.14</v>
      </c>
      <c r="G20" s="121" t="str">
        <f t="shared" si="1"/>
        <v>Medium</v>
      </c>
    </row>
    <row r="21" spans="1:7" x14ac:dyDescent="0.25">
      <c r="A21" s="122" t="s">
        <v>2218</v>
      </c>
      <c r="B21" s="118" t="s">
        <v>2217</v>
      </c>
      <c r="C21" s="119">
        <v>69.076054883904291</v>
      </c>
      <c r="D21" s="117">
        <f t="shared" si="0"/>
        <v>12</v>
      </c>
      <c r="E21" s="120" t="str">
        <f t="shared" si="2"/>
        <v>Good</v>
      </c>
      <c r="F21" s="123">
        <f>VLOOKUP(A21,Table1[#All],26,FALSE)</f>
        <v>303</v>
      </c>
      <c r="G21" s="121" t="str">
        <f t="shared" si="1"/>
        <v>Small</v>
      </c>
    </row>
    <row r="22" spans="1:7" x14ac:dyDescent="0.25">
      <c r="A22" s="122">
        <v>42004</v>
      </c>
      <c r="B22" s="118" t="s">
        <v>295</v>
      </c>
      <c r="C22" s="119">
        <v>24.577408999999996</v>
      </c>
      <c r="D22" s="117">
        <f t="shared" si="0"/>
        <v>45</v>
      </c>
      <c r="E22" s="120" t="str">
        <f t="shared" si="2"/>
        <v>Poor</v>
      </c>
      <c r="F22" s="123">
        <f>VLOOKUP(A22,Table1[#All],26,FALSE)</f>
        <v>6825.7544705912405</v>
      </c>
      <c r="G22" s="121" t="str">
        <f t="shared" si="1"/>
        <v>Large</v>
      </c>
    </row>
    <row r="23" spans="1:7" x14ac:dyDescent="0.25">
      <c r="A23" s="124" t="s">
        <v>336</v>
      </c>
      <c r="B23" s="118" t="s">
        <v>335</v>
      </c>
      <c r="C23" s="119">
        <v>28.231219999999993</v>
      </c>
      <c r="D23" s="117">
        <f t="shared" si="0"/>
        <v>41</v>
      </c>
      <c r="E23" s="120" t="str">
        <f t="shared" si="2"/>
        <v>Poor</v>
      </c>
      <c r="F23" s="123">
        <f>VLOOKUP(A23,Table1[#All],26,FALSE)</f>
        <v>23.24</v>
      </c>
      <c r="G23" s="121" t="str">
        <f t="shared" si="1"/>
        <v>Very small</v>
      </c>
    </row>
    <row r="24" spans="1:7" x14ac:dyDescent="0.25">
      <c r="A24" s="122" t="s">
        <v>992</v>
      </c>
      <c r="B24" s="118" t="s">
        <v>991</v>
      </c>
      <c r="C24" s="119">
        <v>46.272840186650129</v>
      </c>
      <c r="D24" s="117">
        <f t="shared" si="0"/>
        <v>24</v>
      </c>
      <c r="E24" s="120" t="str">
        <f t="shared" si="2"/>
        <v>Fair</v>
      </c>
      <c r="F24" s="123">
        <f>VLOOKUP(A24,Table1[#All],26,FALSE)</f>
        <v>730.50915129366513</v>
      </c>
      <c r="G24" s="121" t="str">
        <f t="shared" si="1"/>
        <v>Small</v>
      </c>
    </row>
    <row r="25" spans="1:7" x14ac:dyDescent="0.25">
      <c r="A25" s="124" t="s">
        <v>2136</v>
      </c>
      <c r="B25" s="118" t="s">
        <v>2135</v>
      </c>
      <c r="C25" s="119">
        <v>24.667978499999986</v>
      </c>
      <c r="D25" s="117">
        <f t="shared" si="0"/>
        <v>44</v>
      </c>
      <c r="E25" s="120" t="str">
        <f t="shared" si="2"/>
        <v>Poor</v>
      </c>
      <c r="F25" s="123">
        <f>VLOOKUP(A25,Table1[#All],26,FALSE)</f>
        <v>5571.9438554215149</v>
      </c>
      <c r="G25" s="121" t="str">
        <f t="shared" si="1"/>
        <v>Large</v>
      </c>
    </row>
    <row r="26" spans="1:7" x14ac:dyDescent="0.25">
      <c r="A26" s="122" t="s">
        <v>2829</v>
      </c>
      <c r="B26" s="118" t="s">
        <v>3188</v>
      </c>
      <c r="C26" s="119">
        <v>42.402737318470088</v>
      </c>
      <c r="D26" s="117">
        <f t="shared" si="0"/>
        <v>28</v>
      </c>
      <c r="E26" s="120" t="str">
        <f t="shared" si="2"/>
        <v>Fair</v>
      </c>
      <c r="F26" s="123">
        <f>VLOOKUP(A26,Table1[#All],26,FALSE)</f>
        <v>985.62706283090188</v>
      </c>
      <c r="G26" s="121" t="str">
        <f t="shared" si="1"/>
        <v>Small</v>
      </c>
    </row>
    <row r="27" spans="1:7" x14ac:dyDescent="0.25">
      <c r="A27" s="124" t="s">
        <v>377</v>
      </c>
      <c r="B27" s="118" t="s">
        <v>376</v>
      </c>
      <c r="C27" s="119">
        <v>10.3011585</v>
      </c>
      <c r="D27" s="117">
        <f t="shared" si="0"/>
        <v>58</v>
      </c>
      <c r="E27" s="120" t="str">
        <f t="shared" si="2"/>
        <v>Very Poor</v>
      </c>
      <c r="F27" s="123">
        <f>VLOOKUP(A27,Table1[#All],26,FALSE)</f>
        <v>1921.4261645159163</v>
      </c>
      <c r="G27" s="121" t="str">
        <f t="shared" si="1"/>
        <v>Medium</v>
      </c>
    </row>
    <row r="28" spans="1:7" x14ac:dyDescent="0.25">
      <c r="A28" s="122" t="s">
        <v>1074</v>
      </c>
      <c r="B28" s="118" t="s">
        <v>1073</v>
      </c>
      <c r="C28" s="119">
        <v>46.551687042519696</v>
      </c>
      <c r="D28" s="117">
        <f t="shared" si="0"/>
        <v>23</v>
      </c>
      <c r="E28" s="120" t="str">
        <f t="shared" si="2"/>
        <v>Fair</v>
      </c>
      <c r="F28" s="123">
        <f>VLOOKUP(A28,Table1[#All],26,FALSE)</f>
        <v>2372</v>
      </c>
      <c r="G28" s="121" t="str">
        <f t="shared" si="1"/>
        <v>Medium</v>
      </c>
    </row>
    <row r="29" spans="1:7" x14ac:dyDescent="0.25">
      <c r="A29" s="122">
        <v>47122</v>
      </c>
      <c r="B29" s="118" t="s">
        <v>1319</v>
      </c>
      <c r="C29" s="119">
        <v>86.745722206106777</v>
      </c>
      <c r="D29" s="117">
        <f t="shared" si="0"/>
        <v>4</v>
      </c>
      <c r="E29" s="120" t="str">
        <f t="shared" si="2"/>
        <v>Very good</v>
      </c>
      <c r="F29" s="123">
        <f>VLOOKUP(A29,Table1[#All],26,FALSE)</f>
        <v>1068.2603169999993</v>
      </c>
      <c r="G29" s="121" t="str">
        <f t="shared" si="1"/>
        <v>Medium</v>
      </c>
    </row>
    <row r="30" spans="1:7" x14ac:dyDescent="0.25">
      <c r="A30" s="122" t="s">
        <v>2422</v>
      </c>
      <c r="B30" s="118" t="s">
        <v>2989</v>
      </c>
      <c r="C30" s="119">
        <v>9.1154984999999993</v>
      </c>
      <c r="D30" s="117">
        <f t="shared" si="0"/>
        <v>61</v>
      </c>
      <c r="E30" s="120" t="str">
        <f t="shared" si="2"/>
        <v>Very Poor</v>
      </c>
      <c r="F30" s="123">
        <f>VLOOKUP(A30,Table1[#All],26,FALSE)</f>
        <v>5780.12</v>
      </c>
      <c r="G30" s="121" t="str">
        <f t="shared" si="1"/>
        <v>Large</v>
      </c>
    </row>
    <row r="31" spans="1:7" x14ac:dyDescent="0.25">
      <c r="A31" s="124" t="s">
        <v>2463</v>
      </c>
      <c r="B31" s="118" t="s">
        <v>2421</v>
      </c>
      <c r="C31" s="119">
        <v>53.922389450033187</v>
      </c>
      <c r="D31" s="117">
        <f t="shared" si="0"/>
        <v>17</v>
      </c>
      <c r="E31" s="120" t="str">
        <f t="shared" si="2"/>
        <v>Fair</v>
      </c>
      <c r="F31" s="123">
        <f>VLOOKUP(A31,Table1[#All],26,FALSE)</f>
        <v>1318.9303284099976</v>
      </c>
      <c r="G31" s="121" t="str">
        <f t="shared" si="1"/>
        <v>Medium</v>
      </c>
    </row>
    <row r="32" spans="1:7" x14ac:dyDescent="0.25">
      <c r="A32" s="122" t="s">
        <v>1645</v>
      </c>
      <c r="B32" s="118" t="s">
        <v>2462</v>
      </c>
      <c r="C32" s="119">
        <v>50.824189529418135</v>
      </c>
      <c r="D32" s="117">
        <f t="shared" si="0"/>
        <v>20</v>
      </c>
      <c r="E32" s="120" t="str">
        <f t="shared" si="2"/>
        <v>Fair</v>
      </c>
      <c r="F32" s="123">
        <f>VLOOKUP(A32,Table1[#All],26,FALSE)</f>
        <v>1055.9043893499988</v>
      </c>
      <c r="G32" s="121" t="str">
        <f t="shared" si="1"/>
        <v>Medium</v>
      </c>
    </row>
    <row r="33" spans="1:7" x14ac:dyDescent="0.25">
      <c r="A33" s="124">
        <v>47045</v>
      </c>
      <c r="B33" s="118" t="s">
        <v>1238</v>
      </c>
      <c r="C33" s="119">
        <v>73.298105355600043</v>
      </c>
      <c r="D33" s="117">
        <f t="shared" si="0"/>
        <v>10</v>
      </c>
      <c r="E33" s="120" t="str">
        <f t="shared" si="2"/>
        <v>Good</v>
      </c>
      <c r="F33" s="123">
        <f>VLOOKUP(A33,Table1[#All],26,FALSE)</f>
        <v>3358.8449999999966</v>
      </c>
      <c r="G33" s="121" t="str">
        <f t="shared" si="1"/>
        <v>Medium</v>
      </c>
    </row>
    <row r="34" spans="1:7" x14ac:dyDescent="0.25">
      <c r="A34" s="122" t="s">
        <v>418</v>
      </c>
      <c r="B34" s="118" t="s">
        <v>417</v>
      </c>
      <c r="C34" s="119">
        <v>4.7197779999999998</v>
      </c>
      <c r="D34" s="117">
        <f t="shared" si="0"/>
        <v>67</v>
      </c>
      <c r="E34" s="120" t="str">
        <f t="shared" si="2"/>
        <v>Very Poor</v>
      </c>
      <c r="F34" s="123">
        <f>VLOOKUP(A34,Table1[#All],26,FALSE)</f>
        <v>107.31433477172212</v>
      </c>
      <c r="G34" s="121" t="str">
        <f t="shared" si="1"/>
        <v>Small</v>
      </c>
    </row>
    <row r="35" spans="1:7" x14ac:dyDescent="0.25">
      <c r="A35" s="124" t="s">
        <v>459</v>
      </c>
      <c r="B35" s="118" t="s">
        <v>458</v>
      </c>
      <c r="C35" s="119">
        <v>8.3047779999999989</v>
      </c>
      <c r="D35" s="117">
        <f t="shared" si="0"/>
        <v>62</v>
      </c>
      <c r="E35" s="120" t="str">
        <f t="shared" si="2"/>
        <v>Very Poor</v>
      </c>
      <c r="F35" s="123">
        <f>VLOOKUP(A35,Table1[#All],26,FALSE)</f>
        <v>118.38</v>
      </c>
      <c r="G35" s="121" t="str">
        <f t="shared" si="1"/>
        <v>Small</v>
      </c>
    </row>
    <row r="36" spans="1:7" x14ac:dyDescent="0.25">
      <c r="A36" s="122">
        <v>46012</v>
      </c>
      <c r="B36" s="118" t="s">
        <v>951</v>
      </c>
      <c r="C36" s="119">
        <v>73.917398103455028</v>
      </c>
      <c r="D36" s="117">
        <f t="shared" si="0"/>
        <v>9</v>
      </c>
      <c r="E36" s="120" t="str">
        <f t="shared" si="2"/>
        <v>Good</v>
      </c>
      <c r="F36" s="123">
        <f>VLOOKUP(A36,Table1[#All],26,FALSE)</f>
        <v>8114.5058939999963</v>
      </c>
      <c r="G36" s="121" t="str">
        <f t="shared" si="1"/>
        <v>Large</v>
      </c>
    </row>
    <row r="37" spans="1:7" x14ac:dyDescent="0.25">
      <c r="A37" s="124">
        <v>43000</v>
      </c>
      <c r="B37" s="118" t="s">
        <v>499</v>
      </c>
      <c r="C37" s="119">
        <v>31.595881999999996</v>
      </c>
      <c r="D37" s="117">
        <f t="shared" si="0"/>
        <v>37</v>
      </c>
      <c r="E37" s="120" t="str">
        <f t="shared" si="2"/>
        <v>Poor</v>
      </c>
      <c r="F37" s="123">
        <f>VLOOKUP(A37,Table1[#All],26,FALSE)</f>
        <v>1506.4470299999971</v>
      </c>
      <c r="G37" s="121" t="str">
        <f t="shared" si="1"/>
        <v>Medium</v>
      </c>
    </row>
    <row r="38" spans="1:7" x14ac:dyDescent="0.25">
      <c r="A38" s="122" t="s">
        <v>1442</v>
      </c>
      <c r="B38" s="118" t="s">
        <v>1441</v>
      </c>
      <c r="C38" s="119">
        <v>42.468069724950233</v>
      </c>
      <c r="D38" s="117">
        <f t="shared" si="0"/>
        <v>27</v>
      </c>
      <c r="E38" s="120" t="str">
        <f t="shared" si="2"/>
        <v>Fair</v>
      </c>
      <c r="F38" s="123">
        <f>VLOOKUP(A38,Table1[#All],26,FALSE)</f>
        <v>528.42339798200351</v>
      </c>
      <c r="G38" s="121" t="str">
        <f t="shared" si="1"/>
        <v>Small</v>
      </c>
    </row>
    <row r="39" spans="1:7" x14ac:dyDescent="0.25">
      <c r="A39" s="124" t="s">
        <v>2341</v>
      </c>
      <c r="B39" s="118" t="s">
        <v>2340</v>
      </c>
      <c r="C39" s="119">
        <v>15.646043999999986</v>
      </c>
      <c r="D39" s="117">
        <f t="shared" si="0"/>
        <v>54</v>
      </c>
      <c r="E39" s="120" t="str">
        <f t="shared" si="2"/>
        <v>Very Poor</v>
      </c>
      <c r="F39" s="123">
        <f>VLOOKUP(A39,Table1[#All],26,FALSE)</f>
        <v>252.76032133676014</v>
      </c>
      <c r="G39" s="121" t="str">
        <f t="shared" si="1"/>
        <v>Small</v>
      </c>
    </row>
    <row r="40" spans="1:7" x14ac:dyDescent="0.25">
      <c r="A40" s="122" t="s">
        <v>540</v>
      </c>
      <c r="B40" s="118" t="s">
        <v>539</v>
      </c>
      <c r="C40" s="119">
        <v>37.214129285714243</v>
      </c>
      <c r="D40" s="117">
        <f t="shared" si="0"/>
        <v>33</v>
      </c>
      <c r="E40" s="120" t="str">
        <f t="shared" si="2"/>
        <v>Poor</v>
      </c>
      <c r="F40" s="123">
        <f>VLOOKUP(A40,Table1[#All],26,FALSE)</f>
        <v>10066.530127697526</v>
      </c>
      <c r="G40" s="121" t="str">
        <f t="shared" si="1"/>
        <v>Very large</v>
      </c>
    </row>
    <row r="41" spans="1:7" x14ac:dyDescent="0.25">
      <c r="A41" s="124" t="s">
        <v>582</v>
      </c>
      <c r="B41" s="118" t="s">
        <v>581</v>
      </c>
      <c r="C41" s="119">
        <v>17.012573999999987</v>
      </c>
      <c r="D41" s="117">
        <f t="shared" si="0"/>
        <v>53</v>
      </c>
      <c r="E41" s="120" t="str">
        <f t="shared" si="2"/>
        <v>Very Poor</v>
      </c>
      <c r="F41" s="123">
        <f>VLOOKUP(A41,Table1[#All],26,FALSE)</f>
        <v>3886.126811428383</v>
      </c>
      <c r="G41" s="121" t="str">
        <f t="shared" si="1"/>
        <v>Medium</v>
      </c>
    </row>
    <row r="42" spans="1:7" x14ac:dyDescent="0.25">
      <c r="A42" s="122" t="s">
        <v>623</v>
      </c>
      <c r="B42" s="118" t="s">
        <v>622</v>
      </c>
      <c r="C42" s="119">
        <v>36.894750999999985</v>
      </c>
      <c r="D42" s="117">
        <f t="shared" si="0"/>
        <v>34</v>
      </c>
      <c r="E42" s="120" t="str">
        <f t="shared" si="2"/>
        <v>Poor</v>
      </c>
      <c r="F42" s="123">
        <f>VLOOKUP(A42,Table1[#All],26,FALSE)</f>
        <v>444.53731199999686</v>
      </c>
      <c r="G42" s="121" t="str">
        <f t="shared" si="1"/>
        <v>Small</v>
      </c>
    </row>
    <row r="43" spans="1:7" x14ac:dyDescent="0.25">
      <c r="A43" s="124" t="s">
        <v>664</v>
      </c>
      <c r="B43" s="118" t="s">
        <v>663</v>
      </c>
      <c r="C43" s="119">
        <v>19.032905999999997</v>
      </c>
      <c r="D43" s="117">
        <f t="shared" si="0"/>
        <v>48</v>
      </c>
      <c r="E43" s="120" t="str">
        <f t="shared" si="2"/>
        <v>Very Poor</v>
      </c>
      <c r="F43" s="123">
        <f>VLOOKUP(A43,Table1[#All],26,FALSE)</f>
        <v>21.11</v>
      </c>
      <c r="G43" s="121" t="str">
        <f t="shared" si="1"/>
        <v>Very small</v>
      </c>
    </row>
    <row r="44" spans="1:7" x14ac:dyDescent="0.25">
      <c r="A44" s="122" t="s">
        <v>2014</v>
      </c>
      <c r="B44" s="118" t="s">
        <v>2013</v>
      </c>
      <c r="C44" s="119">
        <v>6.5130569999999999</v>
      </c>
      <c r="D44" s="117">
        <f t="shared" si="0"/>
        <v>65</v>
      </c>
      <c r="E44" s="120" t="str">
        <f t="shared" si="2"/>
        <v>Very Poor</v>
      </c>
      <c r="F44" s="123">
        <f>VLOOKUP(A44,Table1[#All],26,FALSE)</f>
        <v>51.91</v>
      </c>
      <c r="G44" s="121" t="str">
        <f t="shared" si="1"/>
        <v>Very small</v>
      </c>
    </row>
    <row r="45" spans="1:7" x14ac:dyDescent="0.25">
      <c r="A45" s="124" t="s">
        <v>1809</v>
      </c>
      <c r="B45" s="118" t="s">
        <v>1808</v>
      </c>
      <c r="C45" s="119">
        <v>18.812663999999987</v>
      </c>
      <c r="D45" s="117">
        <f t="shared" si="0"/>
        <v>50</v>
      </c>
      <c r="E45" s="120" t="str">
        <f t="shared" si="2"/>
        <v>Very Poor</v>
      </c>
      <c r="F45" s="123">
        <f>VLOOKUP(A45,Table1[#All],26,FALSE)</f>
        <v>279.49746323341827</v>
      </c>
      <c r="G45" s="121" t="str">
        <f t="shared" si="1"/>
        <v>Small</v>
      </c>
    </row>
    <row r="46" spans="1:7" x14ac:dyDescent="0.25">
      <c r="A46" s="122" t="s">
        <v>2259</v>
      </c>
      <c r="B46" s="118" t="s">
        <v>2258</v>
      </c>
      <c r="C46" s="119">
        <v>6.5897159999999975</v>
      </c>
      <c r="D46" s="117">
        <f t="shared" si="0"/>
        <v>64</v>
      </c>
      <c r="E46" s="120" t="str">
        <f t="shared" si="2"/>
        <v>Very Poor</v>
      </c>
      <c r="F46" s="123">
        <f>VLOOKUP(A46,Table1[#All],26,FALSE)</f>
        <v>18.579999999999998</v>
      </c>
      <c r="G46" s="121" t="str">
        <f t="shared" si="1"/>
        <v>Very small</v>
      </c>
    </row>
    <row r="47" spans="1:7" x14ac:dyDescent="0.25">
      <c r="A47" s="124" t="s">
        <v>1768</v>
      </c>
      <c r="B47" s="118" t="s">
        <v>1767</v>
      </c>
      <c r="C47" s="119">
        <v>53.764271701626981</v>
      </c>
      <c r="D47" s="117">
        <f t="shared" si="0"/>
        <v>19</v>
      </c>
      <c r="E47" s="120" t="str">
        <f t="shared" si="2"/>
        <v>Fair</v>
      </c>
      <c r="F47" s="123">
        <f>VLOOKUP(A47,Table1[#All],26,FALSE)</f>
        <v>3963.9788207670044</v>
      </c>
      <c r="G47" s="121" t="str">
        <f t="shared" si="1"/>
        <v>Medium</v>
      </c>
    </row>
    <row r="48" spans="1:7" x14ac:dyDescent="0.25">
      <c r="A48" s="122" t="s">
        <v>1524</v>
      </c>
      <c r="B48" s="118" t="s">
        <v>1523</v>
      </c>
      <c r="C48" s="119">
        <v>45.12154717964065</v>
      </c>
      <c r="D48" s="117">
        <f t="shared" si="0"/>
        <v>26</v>
      </c>
      <c r="E48" s="120" t="str">
        <f t="shared" si="2"/>
        <v>Fair</v>
      </c>
      <c r="F48" s="123">
        <f>VLOOKUP(A48,Table1[#All],26,FALSE)</f>
        <v>346.23670742570158</v>
      </c>
      <c r="G48" s="121" t="str">
        <f t="shared" si="1"/>
        <v>Small</v>
      </c>
    </row>
    <row r="49" spans="1:7" x14ac:dyDescent="0.25">
      <c r="A49" s="124" t="s">
        <v>1727</v>
      </c>
      <c r="B49" s="118" t="s">
        <v>1726</v>
      </c>
      <c r="C49" s="119">
        <v>27.648543999999998</v>
      </c>
      <c r="D49" s="117">
        <f t="shared" si="0"/>
        <v>42</v>
      </c>
      <c r="E49" s="120" t="str">
        <f t="shared" si="2"/>
        <v>Poor</v>
      </c>
      <c r="F49" s="123">
        <f>VLOOKUP(A49,Table1[#All],26,FALSE)</f>
        <v>3212.27</v>
      </c>
      <c r="G49" s="121" t="str">
        <f t="shared" si="1"/>
        <v>Medium</v>
      </c>
    </row>
    <row r="50" spans="1:7" x14ac:dyDescent="0.25">
      <c r="A50" s="122" t="s">
        <v>1565</v>
      </c>
      <c r="B50" s="118" t="s">
        <v>1564</v>
      </c>
      <c r="C50" s="119">
        <v>14.359405999999987</v>
      </c>
      <c r="D50" s="117">
        <f t="shared" si="0"/>
        <v>55</v>
      </c>
      <c r="E50" s="120" t="str">
        <f t="shared" si="2"/>
        <v>Very Poor</v>
      </c>
      <c r="F50" s="123">
        <f>VLOOKUP(A50,Table1[#All],26,FALSE)</f>
        <v>483.09</v>
      </c>
      <c r="G50" s="121" t="str">
        <f t="shared" si="1"/>
        <v>Small</v>
      </c>
    </row>
    <row r="51" spans="1:7" x14ac:dyDescent="0.25">
      <c r="A51" s="124" t="s">
        <v>705</v>
      </c>
      <c r="B51" s="118" t="s">
        <v>704</v>
      </c>
      <c r="C51" s="119">
        <v>26.544537499999997</v>
      </c>
      <c r="D51" s="117">
        <f t="shared" si="0"/>
        <v>43</v>
      </c>
      <c r="E51" s="120" t="str">
        <f t="shared" si="2"/>
        <v>Poor</v>
      </c>
      <c r="F51" s="123">
        <f>VLOOKUP(A51,Table1[#All],26,FALSE)</f>
        <v>27.877892030848262</v>
      </c>
      <c r="G51" s="121" t="str">
        <f t="shared" si="1"/>
        <v>Very small</v>
      </c>
    </row>
    <row r="52" spans="1:7" x14ac:dyDescent="0.25">
      <c r="A52" s="122" t="s">
        <v>746</v>
      </c>
      <c r="B52" s="118" t="s">
        <v>745</v>
      </c>
      <c r="C52" s="119">
        <v>10.551111499999996</v>
      </c>
      <c r="D52" s="117">
        <f t="shared" si="0"/>
        <v>57</v>
      </c>
      <c r="E52" s="120" t="str">
        <f t="shared" si="2"/>
        <v>Very Poor</v>
      </c>
      <c r="F52" s="123">
        <f>VLOOKUP(A52,Table1[#All],26,FALSE)</f>
        <v>142.41</v>
      </c>
      <c r="G52" s="121" t="str">
        <f t="shared" si="1"/>
        <v>Small</v>
      </c>
    </row>
    <row r="53" spans="1:7" x14ac:dyDescent="0.25">
      <c r="A53" s="124" t="s">
        <v>787</v>
      </c>
      <c r="B53" s="118" t="s">
        <v>786</v>
      </c>
      <c r="C53" s="119">
        <v>18.250666999999986</v>
      </c>
      <c r="D53" s="117">
        <f t="shared" si="0"/>
        <v>51</v>
      </c>
      <c r="E53" s="120" t="str">
        <f t="shared" si="2"/>
        <v>Very Poor</v>
      </c>
      <c r="F53" s="123">
        <f>VLOOKUP(A53,Table1[#All],26,FALSE)</f>
        <v>82.95</v>
      </c>
      <c r="G53" s="121" t="str">
        <f t="shared" si="1"/>
        <v>Very small</v>
      </c>
    </row>
    <row r="54" spans="1:7" x14ac:dyDescent="0.25">
      <c r="A54" s="122" t="s">
        <v>828</v>
      </c>
      <c r="B54" s="118" t="s">
        <v>827</v>
      </c>
      <c r="C54" s="119">
        <v>17.784162999999985</v>
      </c>
      <c r="D54" s="117">
        <f t="shared" si="0"/>
        <v>52</v>
      </c>
      <c r="E54" s="120" t="str">
        <f t="shared" si="2"/>
        <v>Very Poor</v>
      </c>
      <c r="F54" s="123">
        <f>VLOOKUP(A54,Table1[#All],26,FALSE)</f>
        <v>58</v>
      </c>
      <c r="G54" s="121" t="str">
        <f t="shared" si="1"/>
        <v>Very small</v>
      </c>
    </row>
    <row r="55" spans="1:7" x14ac:dyDescent="0.25">
      <c r="A55" s="124" t="s">
        <v>1891</v>
      </c>
      <c r="B55" s="118" t="s">
        <v>1890</v>
      </c>
      <c r="C55" s="119">
        <v>50.598212522694539</v>
      </c>
      <c r="D55" s="117">
        <f t="shared" si="0"/>
        <v>21</v>
      </c>
      <c r="E55" s="120" t="str">
        <f t="shared" si="2"/>
        <v>Fair</v>
      </c>
      <c r="F55" s="123">
        <f>VLOOKUP(A55,Table1[#All],26,FALSE)</f>
        <v>618</v>
      </c>
      <c r="G55" s="121" t="str">
        <f t="shared" si="1"/>
        <v>Small</v>
      </c>
    </row>
    <row r="56" spans="1:7" x14ac:dyDescent="0.25">
      <c r="A56" s="122" t="s">
        <v>1116</v>
      </c>
      <c r="B56" s="118" t="s">
        <v>1115</v>
      </c>
      <c r="C56" s="119">
        <v>83.274009759093047</v>
      </c>
      <c r="D56" s="117">
        <f t="shared" si="0"/>
        <v>6</v>
      </c>
      <c r="E56" s="120" t="str">
        <f t="shared" si="2"/>
        <v>Very good</v>
      </c>
      <c r="F56" s="123">
        <f>VLOOKUP(A56,Table1[#All],26,FALSE)</f>
        <v>3587.0513101094398</v>
      </c>
      <c r="G56" s="121" t="str">
        <f t="shared" si="1"/>
        <v>Medium</v>
      </c>
    </row>
    <row r="57" spans="1:7" x14ac:dyDescent="0.25">
      <c r="A57" s="124" t="s">
        <v>1198</v>
      </c>
      <c r="B57" s="118" t="s">
        <v>1197</v>
      </c>
      <c r="C57" s="119">
        <v>53.780289086474419</v>
      </c>
      <c r="D57" s="117">
        <f t="shared" si="0"/>
        <v>18</v>
      </c>
      <c r="E57" s="120" t="str">
        <f t="shared" si="2"/>
        <v>Fair</v>
      </c>
      <c r="F57" s="123">
        <f>VLOOKUP(A57,Table1[#All],26,FALSE)</f>
        <v>1283.0058815999946</v>
      </c>
      <c r="G57" s="121" t="str">
        <f t="shared" si="1"/>
        <v>Medium</v>
      </c>
    </row>
    <row r="58" spans="1:7" x14ac:dyDescent="0.25">
      <c r="A58" s="122" t="s">
        <v>2667</v>
      </c>
      <c r="B58" s="118" t="s">
        <v>2666</v>
      </c>
      <c r="C58" s="119">
        <v>30.756310119433174</v>
      </c>
      <c r="D58" s="117">
        <f t="shared" si="0"/>
        <v>38</v>
      </c>
      <c r="E58" s="120" t="str">
        <f t="shared" si="2"/>
        <v>Poor</v>
      </c>
      <c r="F58" s="123">
        <f>VLOOKUP(A58,Table1[#All],26,FALSE)</f>
        <v>489.80787199999969</v>
      </c>
      <c r="G58" s="121" t="str">
        <f t="shared" si="1"/>
        <v>Small</v>
      </c>
    </row>
    <row r="59" spans="1:7" x14ac:dyDescent="0.25">
      <c r="A59" s="122" t="s">
        <v>2626</v>
      </c>
      <c r="B59" s="118" t="s">
        <v>2625</v>
      </c>
      <c r="C59" s="119">
        <v>86.894622379238967</v>
      </c>
      <c r="D59" s="117">
        <f t="shared" si="0"/>
        <v>3</v>
      </c>
      <c r="E59" s="120" t="str">
        <f t="shared" si="2"/>
        <v>Very good</v>
      </c>
      <c r="F59" s="123">
        <f>VLOOKUP(A59,Table1[#All],26,FALSE)</f>
        <v>1354.5793899999994</v>
      </c>
      <c r="G59" s="121" t="str">
        <f t="shared" si="1"/>
        <v>Medium</v>
      </c>
    </row>
    <row r="60" spans="1:7" x14ac:dyDescent="0.25">
      <c r="A60" s="122" t="s">
        <v>2055</v>
      </c>
      <c r="B60" s="118" t="s">
        <v>2054</v>
      </c>
      <c r="C60" s="119">
        <v>40.666519451891098</v>
      </c>
      <c r="D60" s="117">
        <f t="shared" si="0"/>
        <v>30</v>
      </c>
      <c r="E60" s="120" t="str">
        <f t="shared" si="2"/>
        <v>Fair</v>
      </c>
      <c r="F60" s="123">
        <f>VLOOKUP(A60,Table1[#All],26,FALSE)</f>
        <v>6639</v>
      </c>
      <c r="G60" s="121" t="str">
        <f t="shared" si="1"/>
        <v>Large</v>
      </c>
    </row>
    <row r="61" spans="1:7" x14ac:dyDescent="0.25">
      <c r="A61" s="122" t="s">
        <v>1401</v>
      </c>
      <c r="B61" s="118" t="s">
        <v>1400</v>
      </c>
      <c r="C61" s="119">
        <v>38.802452131578917</v>
      </c>
      <c r="D61" s="117">
        <f t="shared" si="0"/>
        <v>32</v>
      </c>
      <c r="E61" s="120" t="str">
        <f t="shared" si="2"/>
        <v>Poor</v>
      </c>
      <c r="F61" s="123">
        <f>VLOOKUP(A61,Table1[#All],26,FALSE)</f>
        <v>4198.1307190000043</v>
      </c>
      <c r="G61" s="121" t="str">
        <f t="shared" si="1"/>
        <v>Medium</v>
      </c>
    </row>
    <row r="62" spans="1:7" x14ac:dyDescent="0.25">
      <c r="A62" s="122" t="s">
        <v>2585</v>
      </c>
      <c r="B62" s="118" t="s">
        <v>2584</v>
      </c>
      <c r="C62" s="119">
        <v>34.8284995</v>
      </c>
      <c r="D62" s="117">
        <f t="shared" si="0"/>
        <v>36</v>
      </c>
      <c r="E62" s="120" t="str">
        <f t="shared" si="2"/>
        <v>Poor</v>
      </c>
      <c r="F62" s="123">
        <f>VLOOKUP(A62,Table1[#All],26,FALSE)</f>
        <v>184.68668000000005</v>
      </c>
      <c r="G62" s="121" t="str">
        <f t="shared" si="1"/>
        <v>Small</v>
      </c>
    </row>
    <row r="63" spans="1:7" x14ac:dyDescent="0.25">
      <c r="A63" s="122" t="s">
        <v>1279</v>
      </c>
      <c r="B63" s="118" t="s">
        <v>1278</v>
      </c>
      <c r="C63" s="119">
        <v>40.312333617246189</v>
      </c>
      <c r="D63" s="117">
        <f t="shared" si="0"/>
        <v>31</v>
      </c>
      <c r="E63" s="120" t="str">
        <f t="shared" si="2"/>
        <v>Fair</v>
      </c>
      <c r="F63" s="123">
        <f>VLOOKUP(A63,Table1[#All],26,FALSE)</f>
        <v>15572.462420999709</v>
      </c>
      <c r="G63" s="121" t="str">
        <f t="shared" si="1"/>
        <v>Very large</v>
      </c>
    </row>
    <row r="64" spans="1:7" x14ac:dyDescent="0.25">
      <c r="A64" s="122" t="s">
        <v>2544</v>
      </c>
      <c r="B64" s="118" t="s">
        <v>2543</v>
      </c>
      <c r="C64" s="119">
        <v>88.336740299014735</v>
      </c>
      <c r="D64" s="117">
        <f t="shared" si="0"/>
        <v>2</v>
      </c>
      <c r="E64" s="120" t="str">
        <f t="shared" si="2"/>
        <v>Very good</v>
      </c>
      <c r="F64" s="123">
        <f>VLOOKUP(A64,Table1[#All],26,FALSE)</f>
        <v>7227.8603810489385</v>
      </c>
      <c r="G64" s="121" t="str">
        <f t="shared" si="1"/>
        <v>Large</v>
      </c>
    </row>
    <row r="65" spans="1:8" x14ac:dyDescent="0.25">
      <c r="A65" s="124" t="s">
        <v>1360</v>
      </c>
      <c r="B65" s="118" t="s">
        <v>1359</v>
      </c>
      <c r="C65" s="119">
        <v>35.797104351262803</v>
      </c>
      <c r="D65" s="117">
        <f t="shared" si="0"/>
        <v>35</v>
      </c>
      <c r="E65" s="120" t="str">
        <f t="shared" si="2"/>
        <v>Poor</v>
      </c>
      <c r="F65" s="123">
        <f>VLOOKUP(A65,Table1[#All],26,FALSE)</f>
        <v>413.36551334336815</v>
      </c>
      <c r="G65" s="121" t="str">
        <f t="shared" si="1"/>
        <v>Small</v>
      </c>
    </row>
    <row r="66" spans="1:8" x14ac:dyDescent="0.25">
      <c r="A66" s="122" t="s">
        <v>2177</v>
      </c>
      <c r="B66" s="118" t="s">
        <v>2176</v>
      </c>
      <c r="C66" s="119">
        <v>9.6282870000000003</v>
      </c>
      <c r="D66" s="117">
        <f t="shared" si="0"/>
        <v>60</v>
      </c>
      <c r="E66" s="120" t="str">
        <f t="shared" si="2"/>
        <v>Very Poor</v>
      </c>
      <c r="F66" s="123">
        <f>VLOOKUP(A66,Table1[#All],26,FALSE)</f>
        <v>7.9226746949770197</v>
      </c>
      <c r="G66" s="121" t="str">
        <f t="shared" si="1"/>
        <v>Very small</v>
      </c>
    </row>
    <row r="67" spans="1:8" x14ac:dyDescent="0.25">
      <c r="A67" s="124">
        <v>41127</v>
      </c>
      <c r="B67" s="118" t="s">
        <v>1032</v>
      </c>
      <c r="C67" s="119">
        <v>41.297011839690136</v>
      </c>
      <c r="D67" s="117">
        <f t="shared" si="0"/>
        <v>29</v>
      </c>
      <c r="E67" s="120" t="str">
        <f t="shared" si="2"/>
        <v>Fair</v>
      </c>
      <c r="F67" s="123">
        <f>VLOOKUP(A67,Table1[#All],26,FALSE)</f>
        <v>919</v>
      </c>
      <c r="G67" s="121" t="str">
        <f t="shared" si="1"/>
        <v>Small</v>
      </c>
    </row>
    <row r="68" spans="1:8" x14ac:dyDescent="0.25">
      <c r="A68" s="122">
        <v>41114</v>
      </c>
      <c r="B68" s="118" t="s">
        <v>1605</v>
      </c>
      <c r="C68" s="119">
        <v>90.637111812083049</v>
      </c>
      <c r="D68" s="117">
        <f t="shared" ref="D68:D71" si="4">RANK(C68,$C$4:$C$71,0)</f>
        <v>1</v>
      </c>
      <c r="E68" s="120" t="str">
        <f t="shared" si="2"/>
        <v>Very good</v>
      </c>
      <c r="F68" s="123">
        <f>VLOOKUP(A68,Table1[#All],26,FALSE)</f>
        <v>487.21</v>
      </c>
      <c r="G68" s="121" t="str">
        <f t="shared" ref="G68:G71" si="5">IF(F68&gt;9999.99,"Very large",IF(F68&gt;4999.99,"Large",IF(F68&gt;999.99,"Medium", IF(F68&gt;99.99, "Small", "Very small"))))</f>
        <v>Small</v>
      </c>
    </row>
    <row r="69" spans="1:8" x14ac:dyDescent="0.25">
      <c r="A69" s="124">
        <v>41122</v>
      </c>
      <c r="B69" s="118" t="s">
        <v>2095</v>
      </c>
      <c r="C69" s="119">
        <v>64.648942945170745</v>
      </c>
      <c r="D69" s="117">
        <f t="shared" si="4"/>
        <v>14</v>
      </c>
      <c r="E69" s="120" t="str">
        <f t="shared" ref="E69:E71" si="6">IF(C69&gt;79.99,"Very good",IF(C69&gt;59.99,"Good",IF(C69&gt;39.99,"Fair",IF(C69&gt;19.99,"Poor","Very Poor"))))</f>
        <v>Good</v>
      </c>
      <c r="F69" s="123">
        <f>VLOOKUP(A69,Table1[#All],26,FALSE)</f>
        <v>1154.9704235904981</v>
      </c>
      <c r="G69" s="121" t="str">
        <f t="shared" si="5"/>
        <v>Medium</v>
      </c>
    </row>
    <row r="70" spans="1:8" x14ac:dyDescent="0.25">
      <c r="A70" s="122">
        <v>44002</v>
      </c>
      <c r="B70" s="118" t="s">
        <v>2707</v>
      </c>
      <c r="C70" s="119">
        <v>82.268961451623738</v>
      </c>
      <c r="D70" s="117">
        <f t="shared" si="4"/>
        <v>7</v>
      </c>
      <c r="E70" s="120" t="str">
        <f t="shared" si="6"/>
        <v>Very good</v>
      </c>
      <c r="F70" s="123">
        <f>VLOOKUP(A70,Table1[#All],26,FALSE)</f>
        <v>12163.364455978917</v>
      </c>
      <c r="G70" s="121" t="str">
        <f t="shared" si="5"/>
        <v>Very large</v>
      </c>
    </row>
    <row r="71" spans="1:8" x14ac:dyDescent="0.25">
      <c r="A71" s="124">
        <v>44004</v>
      </c>
      <c r="B71" s="118" t="s">
        <v>2503</v>
      </c>
      <c r="C71" s="119">
        <v>30.617910000000002</v>
      </c>
      <c r="D71" s="117">
        <f t="shared" si="4"/>
        <v>39</v>
      </c>
      <c r="E71" s="120" t="str">
        <f t="shared" si="6"/>
        <v>Poor</v>
      </c>
      <c r="F71" s="123">
        <f>VLOOKUP(A71,Table1[#All],26,FALSE)</f>
        <v>18000</v>
      </c>
      <c r="G71" s="121" t="str">
        <f t="shared" si="5"/>
        <v>Very large</v>
      </c>
    </row>
    <row r="74" spans="1:8" x14ac:dyDescent="0.25">
      <c r="A74" s="18" t="s">
        <v>3151</v>
      </c>
      <c r="B74" s="18" t="s">
        <v>3043</v>
      </c>
    </row>
    <row r="75" spans="1:8" x14ac:dyDescent="0.25">
      <c r="A75" s="18" t="s">
        <v>3042</v>
      </c>
      <c r="B75" t="s">
        <v>3148</v>
      </c>
      <c r="C75" t="s">
        <v>3152</v>
      </c>
      <c r="D75" t="s">
        <v>3153</v>
      </c>
      <c r="E75" t="s">
        <v>3154</v>
      </c>
      <c r="F75" t="s">
        <v>3155</v>
      </c>
      <c r="G75" t="s">
        <v>3072</v>
      </c>
      <c r="H75" t="s">
        <v>3162</v>
      </c>
    </row>
    <row r="76" spans="1:8" x14ac:dyDescent="0.25">
      <c r="A76" s="19" t="s">
        <v>3049</v>
      </c>
      <c r="B76" s="45">
        <v>1</v>
      </c>
      <c r="C76" s="45">
        <v>2</v>
      </c>
      <c r="D76" s="45">
        <v>3</v>
      </c>
      <c r="E76" s="45">
        <v>1</v>
      </c>
      <c r="F76" s="45"/>
      <c r="G76" s="45">
        <v>7</v>
      </c>
      <c r="H76">
        <f>SUM(D76+E76)</f>
        <v>4</v>
      </c>
    </row>
    <row r="77" spans="1:8" x14ac:dyDescent="0.25">
      <c r="A77" s="19" t="s">
        <v>3050</v>
      </c>
      <c r="B77" s="45">
        <v>1</v>
      </c>
      <c r="C77" s="45">
        <v>2</v>
      </c>
      <c r="D77" s="45">
        <v>4</v>
      </c>
      <c r="E77" s="45">
        <v>1</v>
      </c>
      <c r="F77" s="45"/>
      <c r="G77" s="45">
        <v>8</v>
      </c>
      <c r="H77">
        <f t="shared" ref="H77:H80" si="7">SUM(D77+E77)</f>
        <v>5</v>
      </c>
    </row>
    <row r="78" spans="1:8" x14ac:dyDescent="0.25">
      <c r="A78" s="19" t="s">
        <v>3051</v>
      </c>
      <c r="B78" s="45">
        <v>1</v>
      </c>
      <c r="C78" s="45">
        <v>2</v>
      </c>
      <c r="D78" s="45">
        <v>7</v>
      </c>
      <c r="E78" s="45">
        <v>6</v>
      </c>
      <c r="F78" s="45"/>
      <c r="G78" s="45">
        <v>16</v>
      </c>
      <c r="H78">
        <f t="shared" si="7"/>
        <v>13</v>
      </c>
    </row>
    <row r="79" spans="1:8" x14ac:dyDescent="0.25">
      <c r="A79" s="19" t="s">
        <v>3112</v>
      </c>
      <c r="B79" s="45">
        <v>2</v>
      </c>
      <c r="C79" s="45">
        <v>2</v>
      </c>
      <c r="D79" s="45">
        <v>4</v>
      </c>
      <c r="E79" s="45">
        <v>4</v>
      </c>
      <c r="F79" s="45">
        <v>3</v>
      </c>
      <c r="G79" s="45">
        <v>15</v>
      </c>
      <c r="H79">
        <f t="shared" si="7"/>
        <v>8</v>
      </c>
    </row>
    <row r="80" spans="1:8" x14ac:dyDescent="0.25">
      <c r="A80" s="19" t="s">
        <v>3113</v>
      </c>
      <c r="B80" s="45"/>
      <c r="C80" s="45"/>
      <c r="D80" s="45">
        <v>4</v>
      </c>
      <c r="E80" s="45">
        <v>8</v>
      </c>
      <c r="F80" s="45">
        <v>10</v>
      </c>
      <c r="G80" s="45">
        <v>22</v>
      </c>
      <c r="H80">
        <f t="shared" si="7"/>
        <v>12</v>
      </c>
    </row>
    <row r="81" spans="1:7" x14ac:dyDescent="0.25">
      <c r="A81" s="19" t="s">
        <v>3072</v>
      </c>
      <c r="B81" s="45">
        <v>5</v>
      </c>
      <c r="C81" s="45">
        <v>8</v>
      </c>
      <c r="D81" s="45">
        <v>22</v>
      </c>
      <c r="E81" s="45">
        <v>20</v>
      </c>
      <c r="F81" s="45">
        <v>13</v>
      </c>
      <c r="G81" s="45">
        <v>68</v>
      </c>
    </row>
  </sheetData>
  <autoFilter ref="A3:G71"/>
  <pageMargins left="0.7" right="0.7" top="0.75" bottom="0.75" header="0.3" footer="0.3"/>
  <drawing r:id="rId3"/>
  <tableParts count="1">
    <tablePart r:id="rId4"/>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D69"/>
  <sheetViews>
    <sheetView workbookViewId="0">
      <selection activeCell="C12" sqref="C12:C69"/>
    </sheetView>
  </sheetViews>
  <sheetFormatPr defaultRowHeight="15" x14ac:dyDescent="0.25"/>
  <cols>
    <col min="1" max="1" width="11.5703125" customWidth="1"/>
    <col min="2" max="2" width="20.140625" bestFit="1" customWidth="1"/>
    <col min="3" max="3" width="15.140625" customWidth="1"/>
    <col min="4" max="4" width="13.85546875" customWidth="1"/>
  </cols>
  <sheetData>
    <row r="1" spans="1:4" x14ac:dyDescent="0.25">
      <c r="A1" s="20" t="s">
        <v>3062</v>
      </c>
      <c r="B1" s="20" t="s">
        <v>3063</v>
      </c>
      <c r="C1" s="20" t="s">
        <v>3064</v>
      </c>
      <c r="D1" s="20" t="s">
        <v>3065</v>
      </c>
    </row>
    <row r="2" spans="1:4" x14ac:dyDescent="0.25">
      <c r="A2" s="20"/>
      <c r="B2" s="20" t="s">
        <v>3066</v>
      </c>
      <c r="C2" s="21">
        <f>AVERAGE(C3:C69)</f>
        <v>32.635499819534239</v>
      </c>
      <c r="D2" s="20"/>
    </row>
    <row r="3" spans="1:4" x14ac:dyDescent="0.25">
      <c r="A3" s="19" t="s">
        <v>2626</v>
      </c>
      <c r="B3" t="s">
        <v>2625</v>
      </c>
      <c r="C3" s="44">
        <v>88.877778520740193</v>
      </c>
      <c r="D3">
        <v>1</v>
      </c>
    </row>
    <row r="4" spans="1:4" x14ac:dyDescent="0.25">
      <c r="A4" s="19">
        <v>47122</v>
      </c>
      <c r="B4" t="s">
        <v>1319</v>
      </c>
      <c r="C4" s="44">
        <v>87.261088999999899</v>
      </c>
      <c r="D4">
        <v>2</v>
      </c>
    </row>
    <row r="5" spans="1:4" x14ac:dyDescent="0.25">
      <c r="A5" s="19" t="s">
        <v>2544</v>
      </c>
      <c r="B5" t="s">
        <v>2543</v>
      </c>
      <c r="C5" s="44">
        <v>83.489192526650868</v>
      </c>
      <c r="D5">
        <v>3</v>
      </c>
    </row>
    <row r="6" spans="1:4" x14ac:dyDescent="0.25">
      <c r="A6" s="19">
        <v>41114</v>
      </c>
      <c r="B6" t="s">
        <v>1605</v>
      </c>
      <c r="C6" s="44">
        <v>83.380783199195051</v>
      </c>
      <c r="D6">
        <v>4</v>
      </c>
    </row>
    <row r="7" spans="1:4" x14ac:dyDescent="0.25">
      <c r="A7" s="19">
        <v>44002</v>
      </c>
      <c r="B7" t="s">
        <v>2707</v>
      </c>
      <c r="C7" s="44">
        <v>73.811278998034524</v>
      </c>
      <c r="D7">
        <v>5</v>
      </c>
    </row>
    <row r="8" spans="1:4" x14ac:dyDescent="0.25">
      <c r="A8" s="19">
        <v>47045</v>
      </c>
      <c r="B8" t="s">
        <v>1238</v>
      </c>
      <c r="C8" s="44">
        <v>70.647756975570815</v>
      </c>
      <c r="D8">
        <v>6</v>
      </c>
    </row>
    <row r="9" spans="1:4" x14ac:dyDescent="0.25">
      <c r="A9" s="19">
        <v>46002</v>
      </c>
      <c r="B9" t="s">
        <v>2747</v>
      </c>
      <c r="C9" s="44">
        <v>63.69639499999991</v>
      </c>
      <c r="D9">
        <v>7</v>
      </c>
    </row>
    <row r="10" spans="1:4" x14ac:dyDescent="0.25">
      <c r="A10" s="19" t="s">
        <v>911</v>
      </c>
      <c r="B10" t="s">
        <v>3142</v>
      </c>
      <c r="C10" s="44">
        <v>62.581767068752399</v>
      </c>
      <c r="D10">
        <v>8</v>
      </c>
    </row>
    <row r="11" spans="1:4" x14ac:dyDescent="0.25">
      <c r="A11" s="19" t="s">
        <v>1116</v>
      </c>
      <c r="B11" t="s">
        <v>3143</v>
      </c>
      <c r="C11" s="44">
        <v>60.379290286872404</v>
      </c>
      <c r="D11">
        <v>9</v>
      </c>
    </row>
    <row r="12" spans="1:4" x14ac:dyDescent="0.25">
      <c r="A12" s="19">
        <v>46004</v>
      </c>
      <c r="B12" t="s">
        <v>2381</v>
      </c>
      <c r="C12" s="44">
        <v>57.643515895213767</v>
      </c>
      <c r="D12">
        <v>10</v>
      </c>
    </row>
    <row r="13" spans="1:4" x14ac:dyDescent="0.25">
      <c r="A13" s="19">
        <v>46012</v>
      </c>
      <c r="B13" t="s">
        <v>951</v>
      </c>
      <c r="C13" s="44">
        <v>57.111155118447378</v>
      </c>
      <c r="D13">
        <v>11</v>
      </c>
    </row>
    <row r="14" spans="1:4" x14ac:dyDescent="0.25">
      <c r="A14" s="19" t="s">
        <v>1686</v>
      </c>
      <c r="B14" t="s">
        <v>1685</v>
      </c>
      <c r="C14" s="44">
        <v>54.240428999999907</v>
      </c>
      <c r="D14">
        <v>12</v>
      </c>
    </row>
    <row r="15" spans="1:4" x14ac:dyDescent="0.25">
      <c r="A15" s="19" t="s">
        <v>869</v>
      </c>
      <c r="B15" t="s">
        <v>868</v>
      </c>
      <c r="C15" s="44">
        <v>52.106287102962433</v>
      </c>
      <c r="D15">
        <v>13</v>
      </c>
    </row>
    <row r="16" spans="1:4" x14ac:dyDescent="0.25">
      <c r="A16" s="19" t="s">
        <v>2218</v>
      </c>
      <c r="B16" t="s">
        <v>2217</v>
      </c>
      <c r="C16" s="44">
        <v>51.143130499999941</v>
      </c>
      <c r="D16">
        <v>14</v>
      </c>
    </row>
    <row r="17" spans="1:4" x14ac:dyDescent="0.25">
      <c r="A17" s="19" t="s">
        <v>2788</v>
      </c>
      <c r="B17" t="s">
        <v>2787</v>
      </c>
      <c r="C17" s="44">
        <v>50.7011944999999</v>
      </c>
      <c r="D17">
        <v>15</v>
      </c>
    </row>
    <row r="18" spans="1:4" x14ac:dyDescent="0.25">
      <c r="A18" s="19" t="s">
        <v>1768</v>
      </c>
      <c r="B18" t="s">
        <v>1767</v>
      </c>
      <c r="C18" s="44">
        <v>49.368528999999917</v>
      </c>
      <c r="D18">
        <v>16</v>
      </c>
    </row>
    <row r="19" spans="1:4" x14ac:dyDescent="0.25">
      <c r="A19" s="19" t="s">
        <v>1483</v>
      </c>
      <c r="B19" t="s">
        <v>1482</v>
      </c>
      <c r="C19" s="44">
        <v>48.076029141221319</v>
      </c>
      <c r="D19">
        <v>17</v>
      </c>
    </row>
    <row r="20" spans="1:4" x14ac:dyDescent="0.25">
      <c r="A20" s="19" t="s">
        <v>1524</v>
      </c>
      <c r="B20" t="s">
        <v>1523</v>
      </c>
      <c r="C20" s="44">
        <v>47.763188999999933</v>
      </c>
      <c r="D20">
        <v>18</v>
      </c>
    </row>
    <row r="21" spans="1:4" x14ac:dyDescent="0.25">
      <c r="A21" s="19" t="s">
        <v>2585</v>
      </c>
      <c r="B21" t="s">
        <v>2584</v>
      </c>
      <c r="C21" s="44">
        <v>47.372516999999924</v>
      </c>
      <c r="D21">
        <v>19</v>
      </c>
    </row>
    <row r="22" spans="1:4" x14ac:dyDescent="0.25">
      <c r="A22" s="19" t="s">
        <v>2422</v>
      </c>
      <c r="B22" t="s">
        <v>2421</v>
      </c>
      <c r="C22" s="44">
        <v>45.90440938135589</v>
      </c>
      <c r="D22">
        <v>20</v>
      </c>
    </row>
    <row r="23" spans="1:4" x14ac:dyDescent="0.25">
      <c r="A23" s="19">
        <v>41122</v>
      </c>
      <c r="B23" t="s">
        <v>2095</v>
      </c>
      <c r="C23" s="44">
        <v>44.31061949999993</v>
      </c>
      <c r="D23">
        <v>21</v>
      </c>
    </row>
    <row r="24" spans="1:4" x14ac:dyDescent="0.25">
      <c r="A24" s="19" t="s">
        <v>1279</v>
      </c>
      <c r="B24" t="s">
        <v>1278</v>
      </c>
      <c r="C24" s="44">
        <v>44.293991999999953</v>
      </c>
      <c r="D24">
        <v>22</v>
      </c>
    </row>
    <row r="25" spans="1:4" x14ac:dyDescent="0.25">
      <c r="A25" s="19" t="s">
        <v>2463</v>
      </c>
      <c r="B25" t="s">
        <v>2993</v>
      </c>
      <c r="C25" s="44">
        <v>43.712644881355899</v>
      </c>
      <c r="D25">
        <v>23</v>
      </c>
    </row>
    <row r="26" spans="1:4" x14ac:dyDescent="0.25">
      <c r="A26" s="19" t="s">
        <v>2300</v>
      </c>
      <c r="B26" t="s">
        <v>3144</v>
      </c>
      <c r="C26" s="44">
        <v>43.117778999999942</v>
      </c>
      <c r="D26">
        <v>24</v>
      </c>
    </row>
    <row r="27" spans="1:4" x14ac:dyDescent="0.25">
      <c r="A27" s="19">
        <v>41127</v>
      </c>
      <c r="B27" t="s">
        <v>1032</v>
      </c>
      <c r="C27" s="44">
        <v>41.71418631242296</v>
      </c>
      <c r="D27">
        <v>25</v>
      </c>
    </row>
    <row r="28" spans="1:4" x14ac:dyDescent="0.25">
      <c r="A28" s="19" t="s">
        <v>1360</v>
      </c>
      <c r="B28" t="s">
        <v>1359</v>
      </c>
      <c r="C28" s="44">
        <v>34.684080499999936</v>
      </c>
      <c r="D28">
        <v>26</v>
      </c>
    </row>
    <row r="29" spans="1:4" x14ac:dyDescent="0.25">
      <c r="A29" s="19" t="s">
        <v>2667</v>
      </c>
      <c r="B29" t="s">
        <v>2666</v>
      </c>
      <c r="C29" s="44">
        <v>33.675595499999986</v>
      </c>
      <c r="D29">
        <v>27</v>
      </c>
    </row>
    <row r="30" spans="1:4" x14ac:dyDescent="0.25">
      <c r="A30" s="19">
        <v>43000</v>
      </c>
      <c r="B30" t="s">
        <v>499</v>
      </c>
      <c r="C30" s="44">
        <v>31.827525499999993</v>
      </c>
      <c r="D30">
        <v>28</v>
      </c>
    </row>
    <row r="31" spans="1:4" x14ac:dyDescent="0.25">
      <c r="A31" s="19">
        <v>44004</v>
      </c>
      <c r="B31" t="s">
        <v>2503</v>
      </c>
      <c r="C31" s="44">
        <v>30.127958999999997</v>
      </c>
      <c r="D31">
        <v>29</v>
      </c>
    </row>
    <row r="32" spans="1:4" x14ac:dyDescent="0.25">
      <c r="A32" s="19" t="s">
        <v>623</v>
      </c>
      <c r="B32" t="s">
        <v>622</v>
      </c>
      <c r="C32" s="44">
        <v>27.939006999999997</v>
      </c>
      <c r="D32">
        <v>30</v>
      </c>
    </row>
    <row r="33" spans="1:4" x14ac:dyDescent="0.25">
      <c r="A33" s="19" t="s">
        <v>1727</v>
      </c>
      <c r="B33" t="s">
        <v>1726</v>
      </c>
      <c r="C33" s="44">
        <v>26.939993999999981</v>
      </c>
      <c r="D33">
        <v>31</v>
      </c>
    </row>
    <row r="34" spans="1:4" x14ac:dyDescent="0.25">
      <c r="A34" s="19" t="s">
        <v>1442</v>
      </c>
      <c r="B34" t="s">
        <v>3001</v>
      </c>
      <c r="C34" s="44">
        <v>26.651195999999999</v>
      </c>
      <c r="D34">
        <v>32</v>
      </c>
    </row>
    <row r="35" spans="1:4" x14ac:dyDescent="0.25">
      <c r="A35" s="19">
        <v>42004</v>
      </c>
      <c r="B35" t="s">
        <v>295</v>
      </c>
      <c r="C35" s="44">
        <v>26.642354999999988</v>
      </c>
      <c r="D35">
        <v>33</v>
      </c>
    </row>
    <row r="36" spans="1:4" x14ac:dyDescent="0.25">
      <c r="A36" s="19">
        <v>46015</v>
      </c>
      <c r="B36" t="s">
        <v>255</v>
      </c>
      <c r="C36" s="44">
        <v>24.502366999999989</v>
      </c>
      <c r="D36">
        <v>34</v>
      </c>
    </row>
    <row r="37" spans="1:4" x14ac:dyDescent="0.25">
      <c r="A37" s="19" t="s">
        <v>215</v>
      </c>
      <c r="B37" t="s">
        <v>214</v>
      </c>
      <c r="C37" s="44">
        <v>24.409902999999996</v>
      </c>
      <c r="D37">
        <v>35</v>
      </c>
    </row>
    <row r="38" spans="1:4" x14ac:dyDescent="0.25">
      <c r="A38" s="19" t="s">
        <v>336</v>
      </c>
      <c r="B38" t="s">
        <v>335</v>
      </c>
      <c r="C38" s="44">
        <v>23.557765499999995</v>
      </c>
      <c r="D38">
        <v>36</v>
      </c>
    </row>
    <row r="39" spans="1:4" x14ac:dyDescent="0.25">
      <c r="A39" s="19" t="s">
        <v>540</v>
      </c>
      <c r="B39" t="s">
        <v>539</v>
      </c>
      <c r="C39" s="44">
        <v>23.513682499999987</v>
      </c>
      <c r="D39">
        <v>37</v>
      </c>
    </row>
    <row r="40" spans="1:4" x14ac:dyDescent="0.25">
      <c r="A40" s="19" t="s">
        <v>1932</v>
      </c>
      <c r="B40" t="s">
        <v>1931</v>
      </c>
      <c r="C40" s="44">
        <v>23.40126699999999</v>
      </c>
      <c r="D40">
        <v>38</v>
      </c>
    </row>
    <row r="41" spans="1:4" x14ac:dyDescent="0.25">
      <c r="A41" s="19" t="s">
        <v>992</v>
      </c>
      <c r="B41" t="s">
        <v>991</v>
      </c>
      <c r="C41" s="44">
        <v>22.98703849999999</v>
      </c>
      <c r="D41">
        <v>39</v>
      </c>
    </row>
    <row r="42" spans="1:4" x14ac:dyDescent="0.25">
      <c r="A42" s="19" t="s">
        <v>1401</v>
      </c>
      <c r="B42" t="s">
        <v>1400</v>
      </c>
      <c r="C42" s="44">
        <v>22.138253999999989</v>
      </c>
      <c r="D42">
        <v>40</v>
      </c>
    </row>
    <row r="43" spans="1:4" x14ac:dyDescent="0.25">
      <c r="A43" s="19" t="s">
        <v>29</v>
      </c>
      <c r="B43" t="s">
        <v>28</v>
      </c>
      <c r="C43" s="44">
        <v>20.389328499999991</v>
      </c>
      <c r="D43">
        <v>41</v>
      </c>
    </row>
    <row r="44" spans="1:4" x14ac:dyDescent="0.25">
      <c r="A44" s="19" t="s">
        <v>1809</v>
      </c>
      <c r="B44" t="s">
        <v>1808</v>
      </c>
      <c r="C44" s="44">
        <v>19.19591999999999</v>
      </c>
      <c r="D44">
        <v>42</v>
      </c>
    </row>
    <row r="45" spans="1:4" x14ac:dyDescent="0.25">
      <c r="A45" s="19" t="s">
        <v>1074</v>
      </c>
      <c r="B45" t="s">
        <v>1073</v>
      </c>
      <c r="C45" s="44">
        <v>18.118105999999994</v>
      </c>
      <c r="D45">
        <v>43</v>
      </c>
    </row>
    <row r="46" spans="1:4" x14ac:dyDescent="0.25">
      <c r="A46" s="19" t="s">
        <v>1198</v>
      </c>
      <c r="B46" t="s">
        <v>1197</v>
      </c>
      <c r="C46" s="44">
        <v>18.080025499999991</v>
      </c>
      <c r="D46">
        <v>44</v>
      </c>
    </row>
    <row r="47" spans="1:4" x14ac:dyDescent="0.25">
      <c r="A47" s="19" t="s">
        <v>664</v>
      </c>
      <c r="B47" t="s">
        <v>663</v>
      </c>
      <c r="C47" s="44">
        <v>17.799502999999998</v>
      </c>
      <c r="D47">
        <v>45</v>
      </c>
    </row>
    <row r="48" spans="1:4" x14ac:dyDescent="0.25">
      <c r="A48" s="19" t="s">
        <v>705</v>
      </c>
      <c r="B48" t="s">
        <v>704</v>
      </c>
      <c r="C48" s="44">
        <v>17.434498999999988</v>
      </c>
      <c r="D48">
        <v>46</v>
      </c>
    </row>
    <row r="49" spans="1:4" x14ac:dyDescent="0.25">
      <c r="A49" s="19" t="s">
        <v>1891</v>
      </c>
      <c r="B49" t="s">
        <v>3145</v>
      </c>
      <c r="C49" s="44">
        <v>17.412667999999968</v>
      </c>
      <c r="D49">
        <v>47</v>
      </c>
    </row>
    <row r="50" spans="1:4" x14ac:dyDescent="0.25">
      <c r="A50" s="19" t="s">
        <v>582</v>
      </c>
      <c r="B50" t="s">
        <v>581</v>
      </c>
      <c r="C50" s="44">
        <v>17.167449999999985</v>
      </c>
      <c r="D50">
        <v>48</v>
      </c>
    </row>
    <row r="51" spans="1:4" x14ac:dyDescent="0.25">
      <c r="A51" s="19" t="s">
        <v>2136</v>
      </c>
      <c r="B51" t="s">
        <v>2135</v>
      </c>
      <c r="C51" s="44">
        <v>16.314527500000001</v>
      </c>
      <c r="D51">
        <v>49</v>
      </c>
    </row>
    <row r="52" spans="1:4" x14ac:dyDescent="0.25">
      <c r="A52" s="19" t="s">
        <v>2055</v>
      </c>
      <c r="B52" t="s">
        <v>2054</v>
      </c>
      <c r="C52" s="44">
        <v>16.089969499999992</v>
      </c>
      <c r="D52">
        <v>50</v>
      </c>
    </row>
    <row r="53" spans="1:4" x14ac:dyDescent="0.25">
      <c r="A53" s="19" t="s">
        <v>746</v>
      </c>
      <c r="B53" t="s">
        <v>745</v>
      </c>
      <c r="C53" s="44">
        <v>14.784363499999989</v>
      </c>
      <c r="D53">
        <v>51</v>
      </c>
    </row>
    <row r="54" spans="1:4" x14ac:dyDescent="0.25">
      <c r="A54" s="19" t="s">
        <v>2829</v>
      </c>
      <c r="B54" t="s">
        <v>2828</v>
      </c>
      <c r="C54" s="44">
        <v>13.254708499999998</v>
      </c>
      <c r="D54">
        <v>52</v>
      </c>
    </row>
    <row r="55" spans="1:4" x14ac:dyDescent="0.25">
      <c r="A55" s="19" t="s">
        <v>377</v>
      </c>
      <c r="B55" t="s">
        <v>376</v>
      </c>
      <c r="C55" s="44">
        <v>12.1697085</v>
      </c>
      <c r="D55">
        <v>53</v>
      </c>
    </row>
    <row r="56" spans="1:4" x14ac:dyDescent="0.25">
      <c r="A56" s="19" t="s">
        <v>2177</v>
      </c>
      <c r="B56" t="s">
        <v>2176</v>
      </c>
      <c r="C56" s="44">
        <v>12.029930500000001</v>
      </c>
      <c r="D56">
        <v>54</v>
      </c>
    </row>
    <row r="57" spans="1:4" x14ac:dyDescent="0.25">
      <c r="A57" s="19" t="s">
        <v>787</v>
      </c>
      <c r="B57" t="s">
        <v>786</v>
      </c>
      <c r="C57" s="44">
        <v>11.984491499999999</v>
      </c>
      <c r="D57">
        <v>55</v>
      </c>
    </row>
    <row r="58" spans="1:4" x14ac:dyDescent="0.25">
      <c r="A58" s="19" t="s">
        <v>1157</v>
      </c>
      <c r="B58" t="s">
        <v>1156</v>
      </c>
      <c r="C58" s="44">
        <v>11.817717999999999</v>
      </c>
      <c r="D58">
        <v>56</v>
      </c>
    </row>
    <row r="59" spans="1:4" x14ac:dyDescent="0.25">
      <c r="A59" s="19" t="s">
        <v>1565</v>
      </c>
      <c r="B59" t="s">
        <v>1564</v>
      </c>
      <c r="C59" s="44">
        <v>11.349598499999992</v>
      </c>
      <c r="D59">
        <v>57</v>
      </c>
    </row>
    <row r="60" spans="1:4" x14ac:dyDescent="0.25">
      <c r="A60" s="19" t="s">
        <v>828</v>
      </c>
      <c r="B60" t="s">
        <v>827</v>
      </c>
      <c r="C60" s="44">
        <v>10.804860999999999</v>
      </c>
      <c r="D60">
        <v>58</v>
      </c>
    </row>
    <row r="61" spans="1:4" x14ac:dyDescent="0.25">
      <c r="A61" s="19" t="s">
        <v>1645</v>
      </c>
      <c r="B61" t="s">
        <v>2989</v>
      </c>
      <c r="C61" s="44">
        <v>10.035455000000001</v>
      </c>
      <c r="D61">
        <v>59</v>
      </c>
    </row>
    <row r="62" spans="1:4" x14ac:dyDescent="0.25">
      <c r="A62" s="19" t="s">
        <v>2341</v>
      </c>
      <c r="B62" t="s">
        <v>2340</v>
      </c>
      <c r="C62" s="44">
        <v>9.9760439999999875</v>
      </c>
      <c r="D62">
        <v>60</v>
      </c>
    </row>
    <row r="63" spans="1:4" x14ac:dyDescent="0.25">
      <c r="A63" s="19" t="s">
        <v>2014</v>
      </c>
      <c r="B63" t="s">
        <v>2013</v>
      </c>
      <c r="C63" s="44">
        <v>8.2195529999999994</v>
      </c>
      <c r="D63">
        <v>61</v>
      </c>
    </row>
    <row r="64" spans="1:4" x14ac:dyDescent="0.25">
      <c r="A64" s="19" t="s">
        <v>1973</v>
      </c>
      <c r="B64" t="s">
        <v>1972</v>
      </c>
      <c r="C64" s="44">
        <v>6.4529379999999881</v>
      </c>
      <c r="D64">
        <v>62</v>
      </c>
    </row>
    <row r="65" spans="1:4" x14ac:dyDescent="0.25">
      <c r="A65" s="19" t="s">
        <v>1850</v>
      </c>
      <c r="B65" t="s">
        <v>1849</v>
      </c>
      <c r="C65" s="44">
        <v>5.665</v>
      </c>
      <c r="D65">
        <v>63</v>
      </c>
    </row>
    <row r="66" spans="1:4" x14ac:dyDescent="0.25">
      <c r="A66" s="19" t="s">
        <v>459</v>
      </c>
      <c r="B66" t="s">
        <v>458</v>
      </c>
      <c r="C66" s="44">
        <v>4.7197779999999998</v>
      </c>
      <c r="D66">
        <v>64</v>
      </c>
    </row>
    <row r="67" spans="1:4" x14ac:dyDescent="0.25">
      <c r="A67" s="19" t="s">
        <v>2259</v>
      </c>
      <c r="B67" t="s">
        <v>2258</v>
      </c>
      <c r="C67" s="44">
        <v>3.7797469999999986</v>
      </c>
      <c r="D67">
        <v>65</v>
      </c>
    </row>
    <row r="68" spans="1:4" x14ac:dyDescent="0.25">
      <c r="A68" s="19" t="s">
        <v>418</v>
      </c>
      <c r="B68" t="s">
        <v>417</v>
      </c>
      <c r="C68" s="44">
        <v>3.6098889999999999</v>
      </c>
      <c r="D68">
        <v>66</v>
      </c>
    </row>
    <row r="69" spans="1:4" x14ac:dyDescent="0.25">
      <c r="A69" s="19" t="s">
        <v>2870</v>
      </c>
      <c r="B69" t="s">
        <v>2869</v>
      </c>
      <c r="C69" s="44">
        <v>2.2197779999999998</v>
      </c>
      <c r="D69">
        <v>67</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23</vt:i4>
      </vt:variant>
    </vt:vector>
  </HeadingPairs>
  <TitlesOfParts>
    <vt:vector size="23" baseType="lpstr">
      <vt:lpstr>Raw data</vt:lpstr>
      <vt:lpstr>Indicators used</vt:lpstr>
      <vt:lpstr>Donor Attributes</vt:lpstr>
      <vt:lpstr>Overall scores and ranking</vt:lpstr>
      <vt:lpstr>Table of performance groups</vt:lpstr>
      <vt:lpstr>Comparison 2013 &amp; 2014</vt:lpstr>
      <vt:lpstr>Wtd - IATI vs Others</vt:lpstr>
      <vt:lpstr>Overall scores by indicator</vt:lpstr>
      <vt:lpstr>Summary - indicator results</vt:lpstr>
      <vt:lpstr>Format by indicator</vt:lpstr>
      <vt:lpstr>Format by donor</vt:lpstr>
      <vt:lpstr>Documents by donor</vt:lpstr>
      <vt:lpstr>Weighted scores -3 categories</vt:lpstr>
      <vt:lpstr>Category &amp; Ind. Group</vt:lpstr>
      <vt:lpstr>Wtd scores by sub-groups</vt:lpstr>
      <vt:lpstr>Pivot total scores - sub-groups</vt:lpstr>
      <vt:lpstr>% scores - sub-groups</vt:lpstr>
      <vt:lpstr>Sub-groups by performance cat.</vt:lpstr>
      <vt:lpstr>Weighted scores by indicator</vt:lpstr>
      <vt:lpstr>Bilaterals</vt:lpstr>
      <vt:lpstr>Multilaterals</vt:lpstr>
      <vt:lpstr>Donor size data</vt:lpstr>
      <vt:lpstr>2013 ATI summary data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Shreya Basu</dc:creator>
  <cp:lastModifiedBy>Shreya</cp:lastModifiedBy>
  <dcterms:created xsi:type="dcterms:W3CDTF">2014-07-07T10:28:00Z</dcterms:created>
  <dcterms:modified xsi:type="dcterms:W3CDTF">2014-10-02T10:04:44Z</dcterms:modified>
</cp:coreProperties>
</file>